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reforestaction/Commun/00 Projects/04 Low Carbon label/2021-2022_Aizenay partie 2 (85)_LBC/"/>
    </mc:Choice>
  </mc:AlternateContent>
  <xr:revisionPtr revIDLastSave="0" documentId="13_ncr:1_{81749929-D0D6-5F4A-91AB-A0AB7874755A}" xr6:coauthVersionLast="47" xr6:coauthVersionMax="47" xr10:uidLastSave="{00000000-0000-0000-0000-000000000000}"/>
  <bookViews>
    <workbookView xWindow="0" yWindow="500" windowWidth="28800" windowHeight="158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C17" i="1"/>
  <c r="C16" i="1"/>
  <c r="C15" i="1"/>
  <c r="C14" i="1"/>
  <c r="C13" i="1"/>
  <c r="C12" i="1"/>
  <c r="C11" i="1"/>
  <c r="C10" i="1"/>
  <c r="C9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EA4" i="2"/>
  <c r="BR4" i="2"/>
  <c r="EC4" i="2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B7" i="2"/>
  <c r="EA7" i="2"/>
  <c r="HI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HH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HH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FS20" i="2"/>
  <c r="EW20" i="2"/>
  <c r="EC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EC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B28" i="2"/>
  <c r="FS28" i="2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A33" i="2"/>
  <c r="EB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HH38" i="2"/>
  <c r="HI38" i="2"/>
  <c r="EW38" i="2"/>
  <c r="FS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EC44" i="2"/>
  <c r="FS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V60" i="2"/>
  <c r="EW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HI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I85" i="2"/>
  <c r="EV85" i="2"/>
  <c r="EC85" i="2"/>
  <c r="EW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EA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HI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EC113" i="2"/>
  <c r="FS113" i="2"/>
  <c r="EB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HH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I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EW130" i="2"/>
  <c r="EX130" i="2"/>
  <c r="EB130" i="2"/>
  <c r="HI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A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X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FS146" i="2"/>
  <c r="HI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C150" i="2"/>
  <c r="EV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EB154" i="2"/>
  <c r="A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X155" i="2"/>
  <c r="EY154" i="2"/>
  <c r="HH155" i="2"/>
  <c r="HG155" i="2"/>
  <c r="EW155" i="2"/>
  <c r="ED154" i="2"/>
  <c r="DI154" i="2"/>
  <c r="AC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HG156" i="2"/>
  <c r="HH156" i="2"/>
  <c r="ED155" i="2"/>
  <c r="AB156" i="2"/>
  <c r="EB156" i="2"/>
  <c r="DH156" i="2"/>
  <c r="FS156" i="2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HG157" i="2"/>
  <c r="EX157" i="2"/>
  <c r="HH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D157" i="2"/>
  <c r="EC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C160" i="2"/>
  <c r="ED159" i="2"/>
  <c r="FS160" i="2"/>
  <c r="HI160" i="2"/>
  <c r="EY159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FS161" i="2"/>
  <c r="EX161" i="2"/>
  <c r="HH161" i="2"/>
  <c r="ED160" i="2"/>
  <c r="EA161" i="2"/>
  <c r="AB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D161" i="2"/>
  <c r="EC162" i="2"/>
  <c r="DI161" i="2"/>
  <c r="HG162" i="2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G163" i="2"/>
  <c r="HH163" i="2"/>
  <c r="ED162" i="2"/>
  <c r="EB163" i="2"/>
  <c r="EA163" i="2"/>
  <c r="HI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EV164" i="2"/>
  <c r="HG164" i="2"/>
  <c r="ED163" i="2"/>
  <c r="EA164" i="2"/>
  <c r="DI163" i="2"/>
  <c r="DH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HH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ED165" i="2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FR167" i="2"/>
  <c r="HH167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B168" i="2"/>
  <c r="DI167" i="2"/>
  <c r="DG168" i="2"/>
  <c r="EV168" i="2"/>
  <c r="EW168" i="2"/>
  <c r="HH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HI172" i="2"/>
  <c r="EV172" i="2"/>
  <c r="ED171" i="2"/>
  <c r="EB172" i="2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D172" i="2"/>
  <c r="EB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W175" i="2" l="1"/>
  <c r="AA175" i="2"/>
  <c r="ED174" i="2"/>
  <c r="FS175" i="2"/>
  <c r="HI175" i="2"/>
  <c r="EA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FS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W178" i="2"/>
  <c r="FQ178" i="2"/>
  <c r="HH178" i="2"/>
  <c r="ED177" i="2"/>
  <c r="HG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D178" i="2"/>
  <c r="EB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D179" i="2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EB185" i="2"/>
  <c r="HH185" i="2"/>
  <c r="HG185" i="2"/>
  <c r="EW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R186" i="2"/>
  <c r="EW186" i="2"/>
  <c r="HH186" i="2"/>
  <c r="EB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H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V190" i="2"/>
  <c r="HG190" i="2"/>
  <c r="EW190" i="2"/>
  <c r="EY189" i="2"/>
  <c r="HH190" i="2"/>
  <c r="EB190" i="2"/>
  <c r="ED189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D190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G192" i="2"/>
  <c r="EC192" i="2"/>
  <c r="EW192" i="2"/>
  <c r="HI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HI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HI194" i="2"/>
  <c r="ED193" i="2"/>
  <c r="CN193" i="2"/>
  <c r="EB194" i="2"/>
  <c r="EA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Y194" i="2"/>
  <c r="FQ195" i="2"/>
  <c r="HI195" i="2"/>
  <c r="ED194" i="2"/>
  <c r="EA195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FS197" i="2"/>
  <c r="EY196" i="2"/>
  <c r="HH197" i="2"/>
  <c r="AA197" i="2"/>
  <c r="EC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EB199" i="2"/>
  <c r="EA199" i="2"/>
  <c r="HG199" i="2"/>
  <c r="FS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HJ200" i="2"/>
  <c r="FS201" i="2"/>
  <c r="ED200" i="2"/>
  <c r="DI200" i="2"/>
  <c r="EB201" i="2"/>
  <c r="EA201" i="2"/>
  <c r="HH201" i="2"/>
  <c r="HG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Y201" i="2"/>
  <c r="EW202" i="2"/>
  <c r="FS202" i="2"/>
  <c r="HG202" i="2"/>
  <c r="HH202" i="2"/>
  <c r="ED201" i="2"/>
  <c r="FZ6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EI29" i="2" a="1"/>
  <c r="EI29" i="2" s="1"/>
  <c r="EI57" i="2" a="1"/>
  <c r="EI57" i="2" s="1"/>
  <c r="EI139" i="2" a="1"/>
  <c r="EI139" i="2" s="1"/>
  <c r="EI35" i="2" a="1"/>
  <c r="EI35" i="2" s="1"/>
  <c r="DN6" i="2" a="1"/>
  <c r="DN6" i="2" s="1"/>
  <c r="DO6" i="2" s="1"/>
  <c r="AX200" i="2"/>
  <c r="EI150" i="2" l="1" a="1"/>
  <c r="EI150" i="2" s="1"/>
  <c r="EI106" i="2" a="1"/>
  <c r="EI106" i="2" s="1"/>
  <c r="EI37" i="2" a="1"/>
  <c r="EI37" i="2" s="1"/>
  <c r="EI67" i="2" a="1"/>
  <c r="EI67" i="2" s="1"/>
  <c r="EI34" i="2" a="1"/>
  <c r="EI34" i="2" s="1"/>
  <c r="EI71" i="2" a="1"/>
  <c r="EI71" i="2" s="1"/>
  <c r="EI153" i="2" a="1"/>
  <c r="EI153" i="2" s="1"/>
  <c r="EI165" i="2" a="1"/>
  <c r="EI165" i="2" s="1"/>
  <c r="EI109" i="2" a="1"/>
  <c r="EI109" i="2" s="1"/>
  <c r="EI20" i="2" a="1"/>
  <c r="EI20" i="2" s="1"/>
  <c r="EI142" i="2" a="1"/>
  <c r="EI142" i="2" s="1"/>
  <c r="EI170" i="2" a="1"/>
  <c r="EI170" i="2" s="1"/>
  <c r="EI38" i="2" a="1"/>
  <c r="EI38" i="2" s="1"/>
  <c r="EI198" i="2" a="1"/>
  <c r="EI198" i="2" s="1"/>
  <c r="EI16" i="2" a="1"/>
  <c r="EI16" i="2" s="1"/>
  <c r="EI128" i="2" a="1"/>
  <c r="EI128" i="2" s="1"/>
  <c r="EI195" i="2" a="1"/>
  <c r="EI195" i="2" s="1"/>
  <c r="EI178" i="2" a="1"/>
  <c r="EI178" i="2" s="1"/>
  <c r="HJ202" i="2"/>
  <c r="GT15" i="2" a="1"/>
  <c r="GT15" i="2" s="1"/>
  <c r="GT126" i="2" a="1"/>
  <c r="GT126" i="2" s="1"/>
  <c r="GT74" i="2" a="1"/>
  <c r="GT74" i="2" s="1"/>
  <c r="GT178" i="2" a="1"/>
  <c r="GT178" i="2" s="1"/>
  <c r="GT11" i="2" a="1"/>
  <c r="GT11" i="2" s="1"/>
  <c r="GT138" i="2" a="1"/>
  <c r="GT138" i="2" s="1"/>
  <c r="GT102" i="2" a="1"/>
  <c r="GT102" i="2" s="1"/>
  <c r="FY182" i="2" a="1"/>
  <c r="FY182" i="2" s="1"/>
  <c r="FY34" i="2" a="1"/>
  <c r="FY34" i="2" s="1"/>
  <c r="FY82" i="2" a="1"/>
  <c r="FY82" i="2" s="1"/>
  <c r="FY164" i="2" a="1"/>
  <c r="FY164" i="2" s="1"/>
  <c r="FY149" i="2" a="1"/>
  <c r="FY149" i="2" s="1"/>
  <c r="FY121" i="2" a="1"/>
  <c r="FY121" i="2" s="1"/>
  <c r="FY196" i="2" a="1"/>
  <c r="FY196" i="2" s="1"/>
  <c r="FY167" i="2" a="1"/>
  <c r="FY167" i="2" s="1"/>
  <c r="FY58" i="2" a="1"/>
  <c r="FY58" i="2" s="1"/>
  <c r="FY42" i="2" a="1"/>
  <c r="FY42" i="2" s="1"/>
  <c r="FY24" i="2" a="1"/>
  <c r="FY24" i="2" s="1"/>
  <c r="FY142" i="2" a="1"/>
  <c r="FY142" i="2" s="1"/>
  <c r="FY86" i="2" a="1"/>
  <c r="FY86" i="2" s="1"/>
  <c r="FY143" i="2" a="1"/>
  <c r="FY143" i="2" s="1"/>
  <c r="FY115" i="2" a="1"/>
  <c r="FY115" i="2" s="1"/>
  <c r="FY69" i="2" a="1"/>
  <c r="FY69" i="2" s="1"/>
  <c r="FY80" i="2" a="1"/>
  <c r="FY80" i="2" s="1"/>
  <c r="FY30" i="2" a="1"/>
  <c r="FY30" i="2" s="1"/>
  <c r="FY104" i="2" a="1"/>
  <c r="FY104" i="2" s="1"/>
  <c r="FY78" i="2" a="1"/>
  <c r="FY78" i="2" s="1"/>
  <c r="FY174" i="2" a="1"/>
  <c r="FY174" i="2" s="1"/>
  <c r="FY152" i="2" a="1"/>
  <c r="FY152" i="2" s="1"/>
  <c r="FY124" i="2" a="1"/>
  <c r="FY124" i="2" s="1"/>
  <c r="FY66" i="2" a="1"/>
  <c r="FY66" i="2" s="1"/>
  <c r="FY55" i="2" a="1"/>
  <c r="FY55" i="2" s="1"/>
  <c r="FY120" i="2" a="1"/>
  <c r="FY120" i="2" s="1"/>
  <c r="FY172" i="2" a="1"/>
  <c r="FY172" i="2" s="1"/>
  <c r="FY28" i="2" a="1"/>
  <c r="FY28" i="2" s="1"/>
  <c r="FY178" i="2" a="1"/>
  <c r="FY178" i="2" s="1"/>
  <c r="FY173" i="2" a="1"/>
  <c r="FY173" i="2" s="1"/>
  <c r="FY92" i="2" a="1"/>
  <c r="FY92" i="2" s="1"/>
  <c r="FY71" i="2" a="1"/>
  <c r="FY71" i="2" s="1"/>
  <c r="FY50" i="2" a="1"/>
  <c r="FY50" i="2" s="1"/>
  <c r="FY72" i="2" a="1"/>
  <c r="FY72" i="2" s="1"/>
  <c r="FY186" i="2" a="1"/>
  <c r="FY186" i="2" s="1"/>
  <c r="FY190" i="2" a="1"/>
  <c r="FY190" i="2" s="1"/>
  <c r="FY116" i="2" a="1"/>
  <c r="FY116" i="2" s="1"/>
  <c r="FY102" i="2" a="1"/>
  <c r="FY102" i="2" s="1"/>
  <c r="FY146" i="2" a="1"/>
  <c r="FY146" i="2" s="1"/>
  <c r="FY32" i="2" a="1"/>
  <c r="FY32" i="2" s="1"/>
  <c r="FY54" i="2" a="1"/>
  <c r="FY54" i="2" s="1"/>
  <c r="FY109" i="2" a="1"/>
  <c r="FY109" i="2" s="1"/>
  <c r="FY159" i="2" a="1"/>
  <c r="FY159" i="2" s="1"/>
  <c r="FY29" i="2" a="1"/>
  <c r="FY29" i="2" s="1"/>
  <c r="FY79" i="2" a="1"/>
  <c r="FY79" i="2" s="1"/>
  <c r="FY35" i="2" a="1"/>
  <c r="FY35" i="2" s="1"/>
  <c r="FY47" i="2" a="1"/>
  <c r="FY47" i="2" s="1"/>
  <c r="FY62" i="2" a="1"/>
  <c r="FY62" i="2" s="1"/>
  <c r="FY99" i="2" a="1"/>
  <c r="FY99" i="2" s="1"/>
  <c r="FY191" i="2" a="1"/>
  <c r="FY191" i="2" s="1"/>
  <c r="FY165" i="2" a="1"/>
  <c r="FY165" i="2" s="1"/>
  <c r="FD48" i="2" a="1"/>
  <c r="FD48" i="2" s="1"/>
  <c r="FD44" i="2" a="1"/>
  <c r="FD44" i="2" s="1"/>
  <c r="FD188" i="2" a="1"/>
  <c r="FD188" i="2" s="1"/>
  <c r="FD137" i="2" a="1"/>
  <c r="FD137" i="2" s="1"/>
  <c r="FD159" i="2" a="1"/>
  <c r="FD159" i="2" s="1"/>
  <c r="FD107" i="2" a="1"/>
  <c r="FD107" i="2" s="1"/>
  <c r="FD167" i="2" a="1"/>
  <c r="FD167" i="2" s="1"/>
  <c r="FD14" i="2" a="1"/>
  <c r="FD14" i="2" s="1"/>
  <c r="FS203" i="2"/>
  <c r="EI36" i="2" a="1"/>
  <c r="EI36" i="2" s="1"/>
  <c r="EI113" i="2" a="1"/>
  <c r="EI113" i="2" s="1"/>
  <c r="EI87" i="2" a="1"/>
  <c r="EI87" i="2" s="1"/>
  <c r="EI162" i="2" a="1"/>
  <c r="EI162" i="2" s="1"/>
  <c r="EI145" i="2" a="1"/>
  <c r="EI145" i="2" s="1"/>
  <c r="EY202" i="2"/>
  <c r="EI166" i="2" a="1"/>
  <c r="EI166" i="2" s="1"/>
  <c r="BC68" i="2" a="1"/>
  <c r="BC68" i="2" s="1"/>
  <c r="DN167" i="2" a="1"/>
  <c r="DN167" i="2" s="1"/>
  <c r="DN16" i="2" a="1"/>
  <c r="DN16" i="2" s="1"/>
  <c r="GT189" i="2" a="1"/>
  <c r="GT189" i="2" s="1"/>
  <c r="GT38" i="2" a="1"/>
  <c r="GT38" i="2" s="1"/>
  <c r="BC164" i="2" a="1"/>
  <c r="BC164" i="2" s="1"/>
  <c r="GT181" i="2" a="1"/>
  <c r="GT181" i="2" s="1"/>
  <c r="GT174" i="2" a="1"/>
  <c r="GT174" i="2" s="1"/>
  <c r="GT198" i="2" a="1"/>
  <c r="GT198" i="2" s="1"/>
  <c r="AH166" i="2" a="1"/>
  <c r="AH166" i="2" s="1"/>
  <c r="GT121" i="2" a="1"/>
  <c r="GT121" i="2" s="1"/>
  <c r="GT107" i="2" a="1"/>
  <c r="GT107" i="2" s="1"/>
  <c r="GT190" i="2" a="1"/>
  <c r="GT190" i="2" s="1"/>
  <c r="GT21" i="2" a="1"/>
  <c r="GT21" i="2" s="1"/>
  <c r="AH90" i="2" a="1"/>
  <c r="AH90" i="2" s="1"/>
  <c r="GT51" i="2" a="1"/>
  <c r="GT51" i="2" s="1"/>
  <c r="GT147" i="2" a="1"/>
  <c r="GT147" i="2" s="1"/>
  <c r="GT191" i="2" a="1"/>
  <c r="GT191" i="2" s="1"/>
  <c r="GT12" i="2" a="1"/>
  <c r="GT12" i="2" s="1"/>
  <c r="GT68" i="2" a="1"/>
  <c r="GT68" i="2" s="1"/>
  <c r="GT122" i="2" a="1"/>
  <c r="GT122" i="2" s="1"/>
  <c r="BC58" i="2" a="1"/>
  <c r="BC58" i="2" s="1"/>
  <c r="GT152" i="2" a="1"/>
  <c r="GT152" i="2" s="1"/>
  <c r="GT184" i="2" a="1"/>
  <c r="GT184" i="2" s="1"/>
  <c r="GT33" i="2" a="1"/>
  <c r="GT33" i="2" s="1"/>
  <c r="GT115" i="2" a="1"/>
  <c r="GT115" i="2" s="1"/>
  <c r="BC185" i="2" a="1"/>
  <c r="BC185" i="2" s="1"/>
  <c r="GT133" i="2" a="1"/>
  <c r="GT133" i="2" s="1"/>
  <c r="BC47" i="2" a="1"/>
  <c r="BC47" i="2" s="1"/>
  <c r="DN65" i="2" a="1"/>
  <c r="DN65" i="2" s="1"/>
  <c r="CS72" i="2" a="1"/>
  <c r="CS72" i="2" s="1"/>
  <c r="CS24" i="2" a="1"/>
  <c r="CS24" i="2" s="1"/>
  <c r="CS114" i="2" a="1"/>
  <c r="CS114" i="2" s="1"/>
  <c r="CS116" i="2" a="1"/>
  <c r="CS116" i="2" s="1"/>
  <c r="CS56" i="2" a="1"/>
  <c r="CS56" i="2" s="1"/>
  <c r="CS161" i="2" a="1"/>
  <c r="CS161" i="2" s="1"/>
  <c r="CS120" i="2" a="1"/>
  <c r="CS120" i="2" s="1"/>
  <c r="CS105" i="2" a="1"/>
  <c r="CS105" i="2" s="1"/>
  <c r="CS129" i="2" a="1"/>
  <c r="CS129" i="2" s="1"/>
  <c r="CS66" i="2" a="1"/>
  <c r="CS66" i="2" s="1"/>
  <c r="CS134" i="2" a="1"/>
  <c r="CS134" i="2" s="1"/>
  <c r="CS77" i="2" a="1"/>
  <c r="CS77" i="2" s="1"/>
  <c r="CS137" i="2" a="1"/>
  <c r="CS137" i="2" s="1"/>
  <c r="BP203" i="2"/>
  <c r="AH151" i="2" a="1"/>
  <c r="AH151" i="2" s="1"/>
  <c r="AH92" i="2" a="1"/>
  <c r="AH92" i="2" s="1"/>
  <c r="AH199" i="2" a="1"/>
  <c r="AH199" i="2" s="1"/>
  <c r="AH62" i="2" a="1"/>
  <c r="AH62" i="2" s="1"/>
  <c r="DN155" i="2" a="1"/>
  <c r="DN155" i="2" s="1"/>
  <c r="DN176" i="2" a="1"/>
  <c r="DN176" i="2" s="1"/>
  <c r="DN45" i="2" a="1"/>
  <c r="DN45" i="2" s="1"/>
  <c r="DN190" i="2" a="1"/>
  <c r="DN190" i="2" s="1"/>
  <c r="DN150" i="2" a="1"/>
  <c r="DN150" i="2" s="1"/>
  <c r="DN133" i="2" a="1"/>
  <c r="DN133" i="2" s="1"/>
  <c r="DN80" i="2" a="1"/>
  <c r="DN80" i="2" s="1"/>
  <c r="DN162" i="2" a="1"/>
  <c r="DN162" i="2" s="1"/>
  <c r="DN115" i="2" a="1"/>
  <c r="DN115" i="2" s="1"/>
  <c r="DN49" i="2" a="1"/>
  <c r="DN49" i="2" s="1"/>
  <c r="DN129" i="2" a="1"/>
  <c r="DN129" i="2" s="1"/>
  <c r="DN103" i="2" a="1"/>
  <c r="DN103" i="2" s="1"/>
  <c r="DN50" i="2" a="1"/>
  <c r="DN50" i="2" s="1"/>
  <c r="DN124" i="2" a="1"/>
  <c r="DN124" i="2" s="1"/>
  <c r="DN152" i="2" a="1"/>
  <c r="DN152" i="2" s="1"/>
  <c r="DN29" i="2" a="1"/>
  <c r="DN29" i="2" s="1"/>
  <c r="DN31" i="2" a="1"/>
  <c r="DN31" i="2" s="1"/>
  <c r="DN168" i="2" a="1"/>
  <c r="DN168" i="2" s="1"/>
  <c r="DN153" i="2" a="1"/>
  <c r="DN153" i="2" s="1"/>
  <c r="DN192" i="2" a="1"/>
  <c r="DN192" i="2" s="1"/>
  <c r="DN41" i="2" a="1"/>
  <c r="DN41" i="2" s="1"/>
  <c r="DN114" i="2" a="1"/>
  <c r="DN114" i="2" s="1"/>
  <c r="DN66" i="2" a="1"/>
  <c r="DN66" i="2" s="1"/>
  <c r="DN43" i="2" a="1"/>
  <c r="DN43" i="2" s="1"/>
  <c r="DN186" i="2" a="1"/>
  <c r="DN186" i="2" s="1"/>
  <c r="DN170" i="2" a="1"/>
  <c r="DN170" i="2" s="1"/>
  <c r="CS185" i="2" a="1"/>
  <c r="CS185" i="2" s="1"/>
  <c r="CS38" i="2" a="1"/>
  <c r="CS38" i="2" s="1"/>
  <c r="CS52" i="2" a="1"/>
  <c r="CS52" i="2" s="1"/>
  <c r="BX107" i="2" a="1"/>
  <c r="BX107" i="2" s="1"/>
  <c r="BC192" i="2" a="1"/>
  <c r="BC192" i="2" s="1"/>
  <c r="BC55" i="2" a="1"/>
  <c r="BC55" i="2" s="1"/>
  <c r="BC143" i="2" a="1"/>
  <c r="BC143" i="2" s="1"/>
  <c r="BC82" i="2" a="1"/>
  <c r="BC82" i="2" s="1"/>
  <c r="BC83" i="2" a="1"/>
  <c r="BC83" i="2" s="1"/>
  <c r="BC130" i="2" a="1"/>
  <c r="BC130" i="2" s="1"/>
  <c r="BC151" i="2" a="1"/>
  <c r="BC151" i="2" s="1"/>
  <c r="BC7" i="2" a="1"/>
  <c r="BC7" i="2" s="1"/>
  <c r="BD7" i="2" s="1"/>
  <c r="BC34" i="2" a="1"/>
  <c r="BC34" i="2" s="1"/>
  <c r="BC117" i="2" a="1"/>
  <c r="BC117" i="2" s="1"/>
  <c r="BC181" i="2" a="1"/>
  <c r="BC181" i="2" s="1"/>
  <c r="AH163" i="2" a="1"/>
  <c r="AH163" i="2" s="1"/>
  <c r="AH19" i="2" a="1"/>
  <c r="AH19" i="2" s="1"/>
  <c r="HH203" i="2"/>
  <c r="DN56" i="2" a="1"/>
  <c r="DN56" i="2" s="1"/>
  <c r="HG203" i="2"/>
  <c r="FD131" i="2" a="1"/>
  <c r="FD131" i="2" s="1"/>
  <c r="DN132" i="2" a="1"/>
  <c r="DN132" i="2" s="1"/>
  <c r="DN164" i="2" a="1"/>
  <c r="DN164" i="2" s="1"/>
  <c r="DN63" i="2" a="1"/>
  <c r="DN63" i="2" s="1"/>
  <c r="BC31" i="2" a="1"/>
  <c r="BC31" i="2" s="1"/>
  <c r="FD194" i="2" a="1"/>
  <c r="FD194" i="2" s="1"/>
  <c r="FD43" i="2" a="1"/>
  <c r="FD43" i="2" s="1"/>
  <c r="DN188" i="2" a="1"/>
  <c r="DN188" i="2" s="1"/>
  <c r="DN113" i="2" a="1"/>
  <c r="DN113" i="2" s="1"/>
  <c r="DN137" i="2" a="1"/>
  <c r="DN137" i="2" s="1"/>
  <c r="BC65" i="2" a="1"/>
  <c r="BC65" i="2" s="1"/>
  <c r="FD59" i="2" a="1"/>
  <c r="FD59" i="2" s="1"/>
  <c r="FY18" i="2" a="1"/>
  <c r="FY18" i="2" s="1"/>
  <c r="FY22" i="2" a="1"/>
  <c r="FY22" i="2" s="1"/>
  <c r="FR203" i="2"/>
  <c r="DN187" i="2" a="1"/>
  <c r="DN187" i="2" s="1"/>
  <c r="DN30" i="2" a="1"/>
  <c r="DN30" i="2" s="1"/>
  <c r="DN55" i="2" a="1"/>
  <c r="DN55" i="2" s="1"/>
  <c r="DN135" i="2" a="1"/>
  <c r="DN135" i="2" s="1"/>
  <c r="BC18" i="2" a="1"/>
  <c r="BC18" i="2" s="1"/>
  <c r="BC84" i="2" a="1"/>
  <c r="BC84" i="2" s="1"/>
  <c r="FD19" i="2" a="1"/>
  <c r="FD19" i="2" s="1"/>
  <c r="FD64" i="2" a="1"/>
  <c r="FD64" i="2" s="1"/>
  <c r="DN86" i="2" a="1"/>
  <c r="DN86" i="2" s="1"/>
  <c r="DN25" i="2" a="1"/>
  <c r="DN25" i="2" s="1"/>
  <c r="BC114" i="2" a="1"/>
  <c r="BC114" i="2" s="1"/>
  <c r="FD144" i="2" a="1"/>
  <c r="FD14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87" i="2" a="1"/>
  <c r="FD187" i="2" s="1"/>
  <c r="FD60" i="2" a="1"/>
  <c r="FD60" i="2" s="1"/>
  <c r="DN70" i="2" a="1"/>
  <c r="DN70" i="2" s="1"/>
  <c r="FD82" i="2" a="1"/>
  <c r="FD82" i="2" s="1"/>
  <c r="DN46" i="2" a="1"/>
  <c r="DN46" i="2" s="1"/>
  <c r="DN110" i="2" a="1"/>
  <c r="DN110" i="2" s="1"/>
  <c r="DN38" i="2" a="1"/>
  <c r="DN38" i="2" s="1"/>
  <c r="BC38" i="2" a="1"/>
  <c r="BC38" i="2" s="1"/>
  <c r="BC32" i="2" a="1"/>
  <c r="BC32" i="2" s="1"/>
  <c r="FD160" i="2" a="1"/>
  <c r="FD160" i="2" s="1"/>
  <c r="FD189" i="2" a="1"/>
  <c r="FD189" i="2" s="1"/>
  <c r="DN123" i="2" a="1"/>
  <c r="DN123" i="2" s="1"/>
  <c r="DN177" i="2" a="1"/>
  <c r="DN177" i="2" s="1"/>
  <c r="DN184" i="2" a="1"/>
  <c r="DN184" i="2" s="1"/>
  <c r="BC126" i="2" a="1"/>
  <c r="BC12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ED203" i="2"/>
  <c r="DI203" i="2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94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00" i="2" l="1"/>
  <c r="FJ152" i="2"/>
  <c r="FJ170" i="2"/>
  <c r="FJ173" i="2"/>
  <c r="FJ115" i="2"/>
  <c r="FJ162" i="2"/>
  <c r="FJ97" i="2"/>
  <c r="FJ19" i="2"/>
  <c r="FJ142" i="2"/>
  <c r="FJ182" i="2"/>
  <c r="FJ156" i="2"/>
  <c r="FJ47" i="2"/>
  <c r="FJ159" i="2"/>
  <c r="FJ87" i="2"/>
  <c r="FJ4" i="2"/>
  <c r="FJ60" i="2"/>
  <c r="FJ185" i="2"/>
  <c r="FJ112" i="2"/>
  <c r="FJ132" i="2"/>
  <c r="FJ108" i="2"/>
  <c r="FJ192" i="2"/>
  <c r="FJ54" i="2"/>
  <c r="FJ32" i="2"/>
  <c r="FJ202" i="2"/>
  <c r="FJ195" i="2"/>
  <c r="FJ196" i="2"/>
  <c r="FJ101" i="2"/>
  <c r="FJ181" i="2"/>
  <c r="FJ5" i="2"/>
  <c r="FJ50" i="2"/>
  <c r="FJ18" i="2"/>
  <c r="FJ193" i="2"/>
  <c r="FJ199" i="2"/>
  <c r="FJ64" i="2"/>
  <c r="FJ175" i="2"/>
  <c r="FJ148" i="2"/>
  <c r="FJ44" i="2"/>
  <c r="FJ79" i="2"/>
  <c r="FJ125" i="2"/>
  <c r="FJ172" i="2"/>
  <c r="FJ69" i="2"/>
  <c r="FJ197" i="2"/>
  <c r="FJ201" i="2"/>
  <c r="FJ73" i="2"/>
  <c r="FJ86" i="2"/>
  <c r="FJ83" i="2"/>
  <c r="FJ183" i="2"/>
  <c r="FJ103" i="2"/>
  <c r="FJ198" i="2"/>
  <c r="FJ189" i="2"/>
  <c r="FJ184" i="2"/>
  <c r="FJ164" i="2"/>
  <c r="FJ17" i="2"/>
  <c r="FJ25" i="2"/>
  <c r="FJ163" i="2"/>
  <c r="FJ133" i="2"/>
  <c r="FJ28" i="2"/>
  <c r="FJ31" i="2"/>
  <c r="FJ165" i="2"/>
  <c r="FJ168" i="2"/>
  <c r="FJ11" i="2"/>
  <c r="FJ85" i="2"/>
  <c r="FJ171" i="2"/>
  <c r="FJ190" i="2"/>
  <c r="FJ16" i="2"/>
  <c r="FJ166" i="2"/>
  <c r="FJ9" i="2"/>
  <c r="FJ120" i="2"/>
  <c r="FJ75" i="2"/>
  <c r="FJ93" i="2"/>
  <c r="FJ96" i="2"/>
  <c r="FJ65" i="2"/>
  <c r="FJ77" i="2"/>
  <c r="FJ38" i="2"/>
  <c r="FJ123" i="2"/>
  <c r="FJ188" i="2"/>
  <c r="FJ14" i="2"/>
  <c r="FJ191" i="2"/>
  <c r="FJ146" i="2"/>
  <c r="FJ178" i="2"/>
  <c r="FJ130" i="2"/>
  <c r="FJ151" i="2"/>
  <c r="FJ126" i="2"/>
  <c r="FJ109" i="2"/>
  <c r="FJ200" i="2"/>
  <c r="FJ160" i="2"/>
  <c r="FJ105" i="2"/>
  <c r="FJ147" i="2"/>
  <c r="FJ30" i="2"/>
  <c r="FJ90" i="2"/>
  <c r="FJ167" i="2"/>
  <c r="FJ46" i="2"/>
  <c r="FJ27" i="2"/>
  <c r="FJ118" i="2"/>
  <c r="FJ24" i="2"/>
  <c r="FJ78" i="2"/>
  <c r="FJ129" i="2"/>
  <c r="FJ106" i="2"/>
  <c r="FJ56" i="2"/>
  <c r="FJ39" i="2"/>
  <c r="FJ91" i="2"/>
  <c r="FJ150" i="2"/>
  <c r="FJ122" i="2"/>
  <c r="FJ157" i="2"/>
  <c r="FJ13" i="2"/>
  <c r="FJ102" i="2"/>
  <c r="FJ51" i="2"/>
  <c r="FJ15" i="2"/>
  <c r="FJ71" i="2"/>
  <c r="FJ140" i="2"/>
  <c r="FJ21" i="2"/>
  <c r="FJ10" i="2"/>
  <c r="FJ58" i="2"/>
  <c r="FJ40" i="2"/>
  <c r="FJ174" i="2"/>
  <c r="FJ177" i="2"/>
  <c r="FJ45" i="2"/>
  <c r="FJ6" i="2"/>
  <c r="FJ49" i="2"/>
  <c r="FJ62" i="2"/>
  <c r="FJ127" i="2"/>
  <c r="FJ149" i="2"/>
  <c r="FJ131" i="2"/>
  <c r="FJ128" i="2"/>
  <c r="FJ61" i="2"/>
  <c r="FJ154" i="2"/>
  <c r="FJ114" i="2"/>
  <c r="FJ82" i="2"/>
  <c r="FJ124" i="2"/>
  <c r="FJ70" i="2"/>
  <c r="FJ153" i="2"/>
  <c r="FJ74" i="2"/>
  <c r="FJ138" i="2"/>
  <c r="FJ180" i="2"/>
  <c r="FJ41" i="2"/>
  <c r="FJ26" i="2"/>
  <c r="FJ8" i="2"/>
  <c r="FJ161" i="2"/>
  <c r="FJ68" i="2"/>
  <c r="FJ89" i="2"/>
  <c r="FJ186" i="2"/>
  <c r="FJ176" i="2"/>
  <c r="FJ53" i="2"/>
  <c r="FJ116" i="2"/>
  <c r="FJ29" i="2"/>
  <c r="FJ36" i="2"/>
  <c r="FJ134" i="2"/>
  <c r="FJ111" i="2"/>
  <c r="FJ22" i="2"/>
  <c r="FJ72" i="2"/>
  <c r="FJ145" i="2"/>
  <c r="FJ158" i="2"/>
  <c r="FJ187" i="2"/>
  <c r="FJ121" i="2"/>
  <c r="FJ76" i="2"/>
  <c r="FJ104" i="2"/>
  <c r="FJ23" i="2"/>
  <c r="FJ12" i="2"/>
  <c r="FJ63" i="2"/>
  <c r="FJ33" i="2"/>
  <c r="FJ35" i="2"/>
  <c r="FJ37" i="2"/>
  <c r="FJ194" i="2"/>
  <c r="FJ59" i="2"/>
  <c r="FJ43" i="2"/>
  <c r="FJ57" i="2"/>
  <c r="FJ143" i="2"/>
  <c r="FJ117" i="2"/>
  <c r="FJ66" i="2"/>
  <c r="FJ137" i="2"/>
  <c r="FJ107" i="2"/>
  <c r="FJ42" i="2"/>
  <c r="FJ48" i="2"/>
  <c r="FJ81" i="2"/>
  <c r="FJ139" i="2"/>
  <c r="FJ95" i="2"/>
  <c r="FJ203" i="2"/>
  <c r="FJ144" i="2"/>
  <c r="FJ135" i="2"/>
  <c r="FJ169" i="2"/>
  <c r="FJ110" i="2"/>
  <c r="FJ7" i="2"/>
  <c r="FJ88" i="2"/>
  <c r="FJ119" i="2"/>
  <c r="FJ92" i="2"/>
  <c r="FJ179" i="2"/>
  <c r="FJ3" i="2"/>
  <c r="C13" i="4" s="1"/>
  <c r="E13" i="4" s="1"/>
  <c r="F13" i="4" s="1"/>
  <c r="G13" i="4" s="1"/>
  <c r="L13" i="4" s="1"/>
  <c r="FJ80" i="2"/>
  <c r="FJ67" i="2"/>
  <c r="FJ55" i="2"/>
  <c r="FJ98" i="2"/>
  <c r="FJ136" i="2"/>
  <c r="FJ141" i="2"/>
  <c r="FJ99" i="2"/>
  <c r="FJ155" i="2"/>
  <c r="FJ113" i="2"/>
  <c r="FJ84" i="2"/>
  <c r="FJ34" i="2"/>
  <c r="FJ20" i="2"/>
  <c r="FJ52" i="2"/>
  <c r="GE203" i="2"/>
  <c r="GE178" i="2"/>
  <c r="GE104" i="2"/>
  <c r="GE165" i="2"/>
  <c r="GE115" i="2"/>
  <c r="GE47" i="2"/>
  <c r="GE156" i="2"/>
  <c r="GE64" i="2"/>
  <c r="GE147" i="2"/>
  <c r="GE103" i="2"/>
  <c r="GE163" i="2"/>
  <c r="GE161" i="2"/>
  <c r="GE100" i="2"/>
  <c r="GE69" i="2"/>
  <c r="GE70" i="2"/>
  <c r="GE112" i="2"/>
  <c r="GE12" i="2"/>
  <c r="GE172" i="2"/>
  <c r="GE171" i="2"/>
  <c r="GE105" i="2"/>
  <c r="GE164" i="2"/>
  <c r="GE184" i="2"/>
  <c r="GE197" i="2"/>
  <c r="GE192" i="2"/>
  <c r="GE138" i="2"/>
  <c r="GE131" i="2"/>
  <c r="GE79" i="2"/>
  <c r="GE158" i="2"/>
  <c r="GE173" i="2"/>
  <c r="GE80" i="2"/>
  <c r="GE142" i="2"/>
  <c r="GE61" i="2"/>
  <c r="GE16" i="2"/>
  <c r="GE15" i="2"/>
  <c r="GE63" i="2"/>
  <c r="GE183" i="2"/>
  <c r="GE102" i="2"/>
  <c r="GE129" i="2"/>
  <c r="GE60" i="2"/>
  <c r="GE148" i="2"/>
  <c r="GE20" i="2"/>
  <c r="GE59" i="2"/>
  <c r="GE200" i="2"/>
  <c r="GE113" i="2"/>
  <c r="GE180" i="2"/>
  <c r="GE160" i="2"/>
  <c r="GE9" i="2"/>
  <c r="GE181" i="2"/>
  <c r="GE154" i="2"/>
  <c r="GE199" i="2"/>
  <c r="GE22" i="2"/>
  <c r="GE89" i="2"/>
  <c r="GE35" i="2"/>
  <c r="GE10" i="2"/>
  <c r="GE188" i="2"/>
  <c r="GE82" i="2"/>
  <c r="GE114" i="2"/>
  <c r="GE75" i="2"/>
  <c r="GE71" i="2"/>
  <c r="GE52" i="2"/>
  <c r="GE120" i="2"/>
  <c r="GE41" i="2"/>
  <c r="GE30" i="2"/>
  <c r="GE45" i="2"/>
  <c r="GE87" i="2"/>
  <c r="GE195" i="2"/>
  <c r="GE74" i="2"/>
  <c r="GE170" i="2"/>
  <c r="GE117" i="2"/>
  <c r="GE108" i="2"/>
  <c r="GE29" i="2"/>
  <c r="GE99" i="2"/>
  <c r="GE72" i="2"/>
  <c r="GE66" i="2"/>
  <c r="GE162" i="2"/>
  <c r="GE42" i="2"/>
  <c r="GE107" i="2"/>
  <c r="GE11" i="2"/>
  <c r="GE56" i="2"/>
  <c r="GE168" i="2"/>
  <c r="GE7" i="2"/>
  <c r="GE94" i="2"/>
  <c r="GE125" i="2"/>
  <c r="GE186" i="2"/>
  <c r="GE39" i="2"/>
  <c r="GE62" i="2"/>
  <c r="GE32" i="2"/>
  <c r="GE98" i="2"/>
  <c r="GE111" i="2"/>
  <c r="GE54" i="2"/>
  <c r="GE19" i="2"/>
  <c r="GE50" i="2"/>
  <c r="GE177" i="2"/>
  <c r="GE124" i="2"/>
  <c r="GE14" i="2"/>
  <c r="GE169" i="2"/>
  <c r="GE92" i="2"/>
  <c r="GE36" i="2"/>
  <c r="GE76" i="2"/>
  <c r="GE126" i="2"/>
  <c r="GE18" i="2"/>
  <c r="GE95" i="2"/>
  <c r="GE194" i="2"/>
  <c r="GE155" i="2"/>
  <c r="GE27" i="2"/>
  <c r="GE185" i="2"/>
  <c r="GE101" i="2"/>
  <c r="GE91" i="2"/>
  <c r="GE83" i="2"/>
  <c r="GE174" i="2"/>
  <c r="GE31" i="2"/>
  <c r="GE81" i="2"/>
  <c r="GE25" i="2"/>
  <c r="GE65" i="2"/>
  <c r="GE151" i="2"/>
  <c r="GE122" i="2"/>
  <c r="GE187" i="2"/>
  <c r="GE152" i="2"/>
  <c r="GE198" i="2"/>
  <c r="GE140" i="2"/>
  <c r="GE106" i="2"/>
  <c r="GE123" i="2"/>
  <c r="GE202" i="2"/>
  <c r="GE44" i="2"/>
  <c r="GE137" i="2"/>
  <c r="GE201" i="2"/>
  <c r="GE73" i="2"/>
  <c r="GE40" i="2"/>
  <c r="GE78" i="2"/>
  <c r="GE23" i="2"/>
  <c r="GE132" i="2"/>
  <c r="GE166" i="2"/>
  <c r="GE77" i="2"/>
  <c r="GE189" i="2"/>
  <c r="GE191" i="2"/>
  <c r="GE97" i="2"/>
  <c r="GE109" i="2"/>
  <c r="GE85" i="2"/>
  <c r="GE33" i="2"/>
  <c r="GE43" i="2"/>
  <c r="GE93" i="2"/>
  <c r="GE55" i="2"/>
  <c r="GE51" i="2"/>
  <c r="GE88" i="2"/>
  <c r="GE24" i="2"/>
  <c r="GE127" i="2"/>
  <c r="GE141" i="2"/>
  <c r="GE143" i="2"/>
  <c r="GE153" i="2"/>
  <c r="GE68" i="2"/>
  <c r="GE149" i="2"/>
  <c r="GE144" i="2"/>
  <c r="GE8" i="2"/>
  <c r="GE58" i="2"/>
  <c r="GE134" i="2"/>
  <c r="GE118" i="2"/>
  <c r="GE96" i="2"/>
  <c r="GE17" i="2"/>
  <c r="GE3" i="2"/>
  <c r="C14" i="4" s="1"/>
  <c r="E14" i="4" s="1"/>
  <c r="F14" i="4" s="1"/>
  <c r="G14" i="4" s="1"/>
  <c r="L14" i="4" s="1"/>
  <c r="GE175" i="2"/>
  <c r="GE119" i="2"/>
  <c r="GE28" i="2"/>
  <c r="GE90" i="2"/>
  <c r="GE193" i="2"/>
  <c r="GE84" i="2"/>
  <c r="GE139" i="2"/>
  <c r="GE159" i="2"/>
  <c r="GE196" i="2"/>
  <c r="GE5" i="2"/>
  <c r="GE146" i="2"/>
  <c r="GE116" i="2"/>
  <c r="GE128" i="2"/>
  <c r="GE13" i="2"/>
  <c r="GE136" i="2"/>
  <c r="GE57" i="2"/>
  <c r="GE26" i="2"/>
  <c r="GE130" i="2"/>
  <c r="GE121" i="2"/>
  <c r="GE53" i="2"/>
  <c r="GE46" i="2"/>
  <c r="GE6" i="2"/>
  <c r="GE176" i="2"/>
  <c r="GE135" i="2"/>
  <c r="GE179" i="2"/>
  <c r="GE86" i="2"/>
  <c r="GE167" i="2"/>
  <c r="GE38" i="2"/>
  <c r="GE110" i="2"/>
  <c r="GE190" i="2"/>
  <c r="GE182" i="2"/>
  <c r="GE48" i="2"/>
  <c r="GE4" i="2"/>
  <c r="GE133" i="2"/>
  <c r="GE150" i="2"/>
  <c r="GE145" i="2"/>
  <c r="GE34" i="2"/>
  <c r="GE37" i="2"/>
  <c r="GE21" i="2"/>
  <c r="GE157" i="2"/>
  <c r="GE67" i="2"/>
  <c r="GE49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140" i="2" l="1"/>
  <c r="CY125" i="2"/>
  <c r="CY24" i="2"/>
  <c r="CY46" i="2"/>
  <c r="CY12" i="2"/>
  <c r="CY183" i="2"/>
  <c r="CY197" i="2"/>
  <c r="CY134" i="2"/>
  <c r="CY42" i="2"/>
  <c r="CY169" i="2"/>
  <c r="CY98" i="2"/>
  <c r="CY53" i="2"/>
  <c r="CY45" i="2"/>
  <c r="CY57" i="2"/>
  <c r="CY146" i="2"/>
  <c r="CY160" i="2"/>
  <c r="CY180" i="2"/>
  <c r="CY129" i="2"/>
  <c r="CY87" i="2"/>
  <c r="CY113" i="2"/>
  <c r="CY18" i="2"/>
  <c r="CY21" i="2"/>
  <c r="CY47" i="2"/>
  <c r="CY16" i="2"/>
  <c r="CY10" i="2"/>
  <c r="CY153" i="2"/>
  <c r="CY94" i="2"/>
  <c r="CY194" i="2"/>
  <c r="CY95" i="2"/>
  <c r="CY130" i="2"/>
  <c r="CY8" i="2"/>
  <c r="CY145" i="2"/>
  <c r="CY7" i="2"/>
  <c r="CY5" i="2"/>
  <c r="CY149" i="2"/>
  <c r="CY22" i="2"/>
  <c r="CY81" i="2"/>
  <c r="CY70" i="2"/>
  <c r="CY133" i="2"/>
  <c r="CY201" i="2"/>
  <c r="CY109" i="2"/>
  <c r="CY112" i="2"/>
  <c r="CY154" i="2"/>
  <c r="CY96" i="2"/>
  <c r="CY78" i="2"/>
  <c r="CY191" i="2"/>
  <c r="CY39" i="2"/>
  <c r="CY67" i="2"/>
  <c r="CY175" i="2"/>
  <c r="CY82" i="2"/>
  <c r="CY116" i="2"/>
  <c r="CY110" i="2"/>
  <c r="CY3" i="2"/>
  <c r="C10" i="4" s="1"/>
  <c r="E10" i="4" s="1"/>
  <c r="F10" i="4" s="1"/>
  <c r="G10" i="4" s="1"/>
  <c r="L10" i="4" s="1"/>
  <c r="CY190" i="2"/>
  <c r="CY48" i="2"/>
  <c r="CY99" i="2"/>
  <c r="CY162" i="2"/>
  <c r="CY54" i="2"/>
  <c r="CY158" i="2"/>
  <c r="CY101" i="2"/>
  <c r="CY178" i="2"/>
  <c r="CY108" i="2"/>
  <c r="CY40" i="2"/>
  <c r="CY159" i="2"/>
  <c r="CY192" i="2"/>
  <c r="CY137" i="2"/>
  <c r="CY184" i="2"/>
  <c r="CY31" i="2"/>
  <c r="CY163" i="2"/>
  <c r="CY176" i="2"/>
  <c r="CY144" i="2"/>
  <c r="CY177" i="2"/>
  <c r="CY124" i="2"/>
  <c r="CY165" i="2"/>
  <c r="CY171" i="2"/>
  <c r="CY68" i="2"/>
  <c r="CY132" i="2"/>
  <c r="CY143" i="2"/>
  <c r="CY139" i="2"/>
  <c r="CY196" i="2"/>
  <c r="CY107" i="2"/>
  <c r="CY32" i="2"/>
  <c r="CY63" i="2"/>
  <c r="CY13" i="2"/>
  <c r="CY52" i="2"/>
  <c r="CY119" i="2"/>
  <c r="CY14" i="2"/>
  <c r="CY69" i="2"/>
  <c r="CY168" i="2"/>
  <c r="CY64" i="2"/>
  <c r="CY66" i="2"/>
  <c r="CY188" i="2"/>
  <c r="CY59" i="2"/>
  <c r="CY142" i="2"/>
  <c r="CY181" i="2"/>
  <c r="CY93" i="2"/>
  <c r="CY199" i="2"/>
  <c r="CY167" i="2"/>
  <c r="CY36" i="2"/>
  <c r="CY174" i="2"/>
  <c r="CY156" i="2"/>
  <c r="CY41" i="2"/>
  <c r="CY89" i="2"/>
  <c r="CY104" i="2"/>
  <c r="CY157" i="2"/>
  <c r="CY195" i="2"/>
  <c r="CY27" i="2"/>
  <c r="CY198" i="2"/>
  <c r="CY141" i="2"/>
  <c r="CY120" i="2"/>
  <c r="CY91" i="2"/>
  <c r="CY38" i="2"/>
  <c r="CY111" i="2"/>
  <c r="CY44" i="2"/>
  <c r="CY74" i="2"/>
  <c r="CY136" i="2"/>
  <c r="CY138" i="2"/>
  <c r="CY43" i="2"/>
  <c r="CY71" i="2"/>
  <c r="CY77" i="2"/>
  <c r="CY172" i="2"/>
  <c r="CY23" i="2"/>
  <c r="CY28" i="2"/>
  <c r="CY148" i="2"/>
  <c r="CY92" i="2"/>
  <c r="CY105" i="2"/>
  <c r="CY122" i="2"/>
  <c r="CY152" i="2"/>
  <c r="CY80" i="2"/>
  <c r="CY189" i="2"/>
  <c r="CY102" i="2"/>
  <c r="CY131" i="2"/>
  <c r="CY29" i="2"/>
  <c r="CY118" i="2"/>
  <c r="CY84" i="2"/>
  <c r="CY128" i="2"/>
  <c r="CY37" i="2"/>
  <c r="CY34" i="2"/>
  <c r="CY49" i="2"/>
  <c r="CY35" i="2"/>
  <c r="CY135" i="2"/>
  <c r="CY33" i="2"/>
  <c r="CY200" i="2"/>
  <c r="CY86" i="2"/>
  <c r="CY19" i="2"/>
  <c r="CY79" i="2"/>
  <c r="CY127" i="2"/>
  <c r="CY15" i="2"/>
  <c r="CY55" i="2"/>
  <c r="CY60" i="2"/>
  <c r="CY85" i="2"/>
  <c r="CY25" i="2"/>
  <c r="CY126" i="2"/>
  <c r="CY11" i="2"/>
  <c r="CY179" i="2"/>
  <c r="CY62" i="2"/>
  <c r="CY193" i="2"/>
  <c r="CY6" i="2"/>
  <c r="CY17" i="2"/>
  <c r="CY123" i="2"/>
  <c r="CY187" i="2"/>
  <c r="CY182" i="2"/>
  <c r="CY75" i="2"/>
  <c r="CY100" i="2"/>
  <c r="CY65" i="2"/>
  <c r="CY186" i="2"/>
  <c r="CY83" i="2"/>
  <c r="CY150" i="2"/>
  <c r="CY203" i="2"/>
  <c r="CY121" i="2"/>
  <c r="CY115" i="2"/>
  <c r="CY50" i="2"/>
  <c r="CY90" i="2"/>
  <c r="CY155" i="2"/>
  <c r="CY51" i="2"/>
  <c r="CY161" i="2"/>
  <c r="CY72" i="2"/>
  <c r="CY147" i="2"/>
  <c r="CY26" i="2"/>
  <c r="CY30" i="2"/>
  <c r="CY185" i="2"/>
  <c r="CY88" i="2"/>
  <c r="CY4" i="2"/>
  <c r="CY9" i="2"/>
  <c r="CY20" i="2"/>
  <c r="CY106" i="2"/>
  <c r="CY170" i="2"/>
  <c r="CY151" i="2"/>
  <c r="CY166" i="2"/>
  <c r="CY56" i="2"/>
  <c r="CY103" i="2"/>
  <c r="CY164" i="2"/>
  <c r="CY173" i="2"/>
  <c r="CY117" i="2"/>
  <c r="CY97" i="2"/>
  <c r="CY76" i="2"/>
  <c r="CY73" i="2"/>
  <c r="CY58" i="2"/>
  <c r="CY114" i="2"/>
  <c r="CY61" i="2"/>
  <c r="CY202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Z116" i="2" l="1"/>
  <c r="GZ38" i="2"/>
  <c r="GZ42" i="2"/>
  <c r="GZ84" i="2"/>
  <c r="GZ160" i="2"/>
  <c r="GZ95" i="2"/>
  <c r="GZ88" i="2"/>
  <c r="GZ17" i="2"/>
  <c r="GZ200" i="2"/>
  <c r="GZ46" i="2"/>
  <c r="GZ50" i="2"/>
  <c r="GZ163" i="2"/>
  <c r="GZ114" i="2"/>
  <c r="GZ105" i="2"/>
  <c r="GZ14" i="2"/>
  <c r="GZ59" i="2"/>
  <c r="GZ11" i="2"/>
  <c r="GZ13" i="2"/>
  <c r="GZ85" i="2"/>
  <c r="GZ175" i="2"/>
  <c r="GZ179" i="2"/>
  <c r="GZ66" i="2"/>
  <c r="GZ199" i="2"/>
  <c r="GZ117" i="2"/>
  <c r="GZ149" i="2"/>
  <c r="GZ48" i="2"/>
  <c r="GZ165" i="2"/>
  <c r="GZ202" i="2"/>
  <c r="GZ9" i="2"/>
  <c r="GZ82" i="2"/>
  <c r="GZ89" i="2"/>
  <c r="GZ81" i="2"/>
  <c r="GZ68" i="2"/>
  <c r="GZ24" i="2"/>
  <c r="GZ119" i="2"/>
  <c r="GZ87" i="2"/>
  <c r="GZ159" i="2"/>
  <c r="GZ94" i="2"/>
  <c r="GZ10" i="2"/>
  <c r="GZ76" i="2"/>
  <c r="GZ158" i="2"/>
  <c r="GZ98" i="2"/>
  <c r="GZ178" i="2"/>
  <c r="GZ188" i="2"/>
  <c r="GZ25" i="2"/>
  <c r="GZ185" i="2"/>
  <c r="GZ102" i="2"/>
  <c r="GZ172" i="2"/>
  <c r="GZ169" i="2"/>
  <c r="GZ201" i="2"/>
  <c r="GZ29" i="2"/>
  <c r="GZ40" i="2"/>
  <c r="GZ134" i="2"/>
  <c r="GZ162" i="2"/>
  <c r="GZ154" i="2"/>
  <c r="GZ12" i="2"/>
  <c r="GZ23" i="2"/>
  <c r="GZ118" i="2"/>
  <c r="GZ18" i="2"/>
  <c r="GZ197" i="2"/>
  <c r="GZ27" i="2"/>
  <c r="GZ4" i="2"/>
  <c r="GZ109" i="2"/>
  <c r="GZ168" i="2"/>
  <c r="GZ128" i="2"/>
  <c r="GZ115" i="2"/>
  <c r="GZ183" i="2"/>
  <c r="GZ86" i="2"/>
  <c r="GZ151" i="2"/>
  <c r="GZ15" i="2"/>
  <c r="GZ51" i="2"/>
  <c r="GZ100" i="2"/>
  <c r="GZ121" i="2"/>
  <c r="GZ99" i="2"/>
  <c r="GZ90" i="2"/>
  <c r="GZ135" i="2"/>
  <c r="GZ173" i="2"/>
  <c r="GZ37" i="2"/>
  <c r="GZ155" i="2"/>
  <c r="GZ182" i="2"/>
  <c r="GZ77" i="2"/>
  <c r="GZ150" i="2"/>
  <c r="GZ16" i="2"/>
  <c r="GZ35" i="2"/>
  <c r="GZ181" i="2"/>
  <c r="GZ83" i="2"/>
  <c r="GZ45" i="2"/>
  <c r="GZ103" i="2"/>
  <c r="GZ111" i="2"/>
  <c r="GZ176" i="2"/>
  <c r="GZ5" i="2"/>
  <c r="GZ33" i="2"/>
  <c r="GZ140" i="2"/>
  <c r="GZ145" i="2"/>
  <c r="GZ21" i="2"/>
  <c r="GZ92" i="2"/>
  <c r="GZ73" i="2"/>
  <c r="GZ43" i="2"/>
  <c r="GZ144" i="2"/>
  <c r="GZ196" i="2"/>
  <c r="GZ78" i="2"/>
  <c r="GZ174" i="2"/>
  <c r="GZ72" i="2"/>
  <c r="GZ143" i="2"/>
  <c r="GZ28" i="2"/>
  <c r="GZ34" i="2"/>
  <c r="GZ203" i="2"/>
  <c r="GZ137" i="2"/>
  <c r="GZ61" i="2"/>
  <c r="GZ74" i="2"/>
  <c r="GZ131" i="2"/>
  <c r="GZ112" i="2"/>
  <c r="GZ124" i="2"/>
  <c r="GZ191" i="2"/>
  <c r="GZ32" i="2"/>
  <c r="GZ36" i="2"/>
  <c r="GZ44" i="2"/>
  <c r="GZ75" i="2"/>
  <c r="GZ67" i="2"/>
  <c r="GZ189" i="2"/>
  <c r="GZ20" i="2"/>
  <c r="GZ57" i="2"/>
  <c r="GZ62" i="2"/>
  <c r="GZ56" i="2"/>
  <c r="GZ156" i="2"/>
  <c r="GZ41" i="2"/>
  <c r="GZ69" i="2"/>
  <c r="GZ104" i="2"/>
  <c r="GZ198" i="2"/>
  <c r="GZ101" i="2"/>
  <c r="GZ167" i="2"/>
  <c r="GZ64" i="2"/>
  <c r="GZ6" i="2"/>
  <c r="GZ157" i="2"/>
  <c r="GZ93" i="2"/>
  <c r="GZ63" i="2"/>
  <c r="GZ139" i="2"/>
  <c r="GZ148" i="2"/>
  <c r="GZ71" i="2"/>
  <c r="GZ31" i="2"/>
  <c r="GZ171" i="2"/>
  <c r="GZ7" i="2"/>
  <c r="GZ136" i="2"/>
  <c r="GZ123" i="2"/>
  <c r="GZ126" i="2"/>
  <c r="GZ164" i="2"/>
  <c r="GZ58" i="2"/>
  <c r="GZ30" i="2"/>
  <c r="GZ55" i="2"/>
  <c r="GZ141" i="2"/>
  <c r="GZ192" i="2"/>
  <c r="GZ108" i="2"/>
  <c r="GZ170" i="2"/>
  <c r="GZ190" i="2"/>
  <c r="GZ161" i="2"/>
  <c r="GZ147" i="2"/>
  <c r="GZ130" i="2"/>
  <c r="GZ53" i="2"/>
  <c r="GZ142" i="2"/>
  <c r="GZ184" i="2"/>
  <c r="GZ65" i="2"/>
  <c r="GZ107" i="2"/>
  <c r="GZ91" i="2"/>
  <c r="GZ194" i="2"/>
  <c r="GZ120" i="2"/>
  <c r="GZ129" i="2"/>
  <c r="GZ193" i="2"/>
  <c r="GZ52" i="2"/>
  <c r="GZ187" i="2"/>
  <c r="GZ132" i="2"/>
  <c r="GZ49" i="2"/>
  <c r="GZ146" i="2"/>
  <c r="GZ186" i="2"/>
  <c r="GZ39" i="2"/>
  <c r="GZ113" i="2"/>
  <c r="GZ106" i="2"/>
  <c r="GZ97" i="2"/>
  <c r="GZ125" i="2"/>
  <c r="GZ110" i="2"/>
  <c r="GZ26" i="2"/>
  <c r="GZ166" i="2"/>
  <c r="GZ80" i="2"/>
  <c r="GZ133" i="2"/>
  <c r="GZ60" i="2"/>
  <c r="GZ177" i="2"/>
  <c r="GZ127" i="2"/>
  <c r="GZ96" i="2"/>
  <c r="GZ22" i="2"/>
  <c r="GZ70" i="2"/>
  <c r="GZ47" i="2"/>
  <c r="GZ180" i="2"/>
  <c r="GZ8" i="2"/>
  <c r="GZ54" i="2"/>
  <c r="GZ195" i="2"/>
  <c r="GZ19" i="2"/>
  <c r="GZ153" i="2"/>
  <c r="GZ122" i="2"/>
  <c r="GZ152" i="2"/>
  <c r="GZ138" i="2"/>
  <c r="GZ79" i="2"/>
  <c r="GZ3" i="2"/>
  <c r="C15" i="4" s="1"/>
  <c r="E15" i="4" s="1"/>
  <c r="F15" i="4" s="1"/>
  <c r="G15" i="4" s="1"/>
  <c r="L15" i="4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CD100" i="2" l="1"/>
  <c r="CD164" i="2"/>
  <c r="CD177" i="2"/>
  <c r="CD52" i="2"/>
  <c r="CD21" i="2"/>
  <c r="CD74" i="2"/>
  <c r="CD65" i="2"/>
  <c r="CD99" i="2"/>
  <c r="CD32" i="2"/>
  <c r="CD174" i="2"/>
  <c r="CD67" i="2"/>
  <c r="CD73" i="2"/>
  <c r="CD126" i="2"/>
  <c r="CD51" i="2"/>
  <c r="CD81" i="2"/>
  <c r="CD182" i="2"/>
  <c r="CD33" i="2"/>
  <c r="CD101" i="2"/>
  <c r="CD35" i="2"/>
  <c r="CD123" i="2"/>
  <c r="CD37" i="2"/>
  <c r="CD60" i="2"/>
  <c r="CD18" i="2"/>
  <c r="CD165" i="2"/>
  <c r="CD154" i="2"/>
  <c r="CD79" i="2"/>
  <c r="CD129" i="2"/>
  <c r="CD141" i="2"/>
  <c r="CD58" i="2"/>
  <c r="CD122" i="2"/>
  <c r="CD93" i="2"/>
  <c r="CD10" i="2"/>
  <c r="CD146" i="2"/>
  <c r="CD28" i="2"/>
  <c r="CD116" i="2"/>
  <c r="CD69" i="2"/>
  <c r="CD31" i="2"/>
  <c r="CD50" i="2"/>
  <c r="CD151" i="2"/>
  <c r="CD163" i="2"/>
  <c r="CD195" i="2"/>
  <c r="CD188" i="2"/>
  <c r="CD42" i="2"/>
  <c r="CD197" i="2"/>
  <c r="CD110" i="2"/>
  <c r="CD189" i="2"/>
  <c r="CD39" i="2"/>
  <c r="CD134" i="2"/>
  <c r="CD19" i="2"/>
  <c r="CD47" i="2"/>
  <c r="CD49" i="2"/>
  <c r="CD80" i="2"/>
  <c r="CD185" i="2"/>
  <c r="CD97" i="2"/>
  <c r="CD30" i="2"/>
  <c r="CD29" i="2"/>
  <c r="CD137" i="2"/>
  <c r="CD96" i="2"/>
  <c r="CD190" i="2"/>
  <c r="CD86" i="2"/>
  <c r="CD120" i="2"/>
  <c r="CD22" i="2"/>
  <c r="CD127" i="2"/>
  <c r="CD183" i="2"/>
  <c r="CD144" i="2"/>
  <c r="CD102" i="2"/>
  <c r="CD119" i="2"/>
  <c r="CD23" i="2"/>
  <c r="CD72" i="2"/>
  <c r="CD87" i="2"/>
  <c r="CD167" i="2"/>
  <c r="CD95" i="2"/>
  <c r="CD85" i="2"/>
  <c r="CD43" i="2"/>
  <c r="CD92" i="2"/>
  <c r="CD34" i="2"/>
  <c r="CD77" i="2"/>
  <c r="CD192" i="2"/>
  <c r="CD61" i="2"/>
  <c r="CD109" i="2"/>
  <c r="CD71" i="2"/>
  <c r="CD17" i="2"/>
  <c r="CD157" i="2"/>
  <c r="CD130" i="2"/>
  <c r="CD133" i="2"/>
  <c r="CD15" i="2"/>
  <c r="CD90" i="2"/>
  <c r="CD198" i="2"/>
  <c r="CD105" i="2"/>
  <c r="CD94" i="2"/>
  <c r="CD200" i="2"/>
  <c r="CD179" i="2"/>
  <c r="CD38" i="2"/>
  <c r="CD108" i="2"/>
  <c r="CD13" i="2"/>
  <c r="CD104" i="2"/>
  <c r="CD117" i="2"/>
  <c r="CD3" i="2"/>
  <c r="C9" i="4" s="1"/>
  <c r="E9" i="4" s="1"/>
  <c r="F9" i="4" s="1"/>
  <c r="G9" i="4" s="1"/>
  <c r="L9" i="4" s="1"/>
  <c r="CD56" i="2"/>
  <c r="CD64" i="2"/>
  <c r="CD63" i="2"/>
  <c r="CD113" i="2"/>
  <c r="CD201" i="2"/>
  <c r="CD155" i="2"/>
  <c r="CD78" i="2"/>
  <c r="CD180" i="2"/>
  <c r="CD112" i="2"/>
  <c r="CD88" i="2"/>
  <c r="CD68" i="2"/>
  <c r="CD131" i="2"/>
  <c r="CD83" i="2"/>
  <c r="CD143" i="2"/>
  <c r="CD145" i="2"/>
  <c r="CD162" i="2"/>
  <c r="CD118" i="2"/>
  <c r="CD176" i="2"/>
  <c r="CD106" i="2"/>
  <c r="CD171" i="2"/>
  <c r="CD181" i="2"/>
  <c r="CD20" i="2"/>
  <c r="CD121" i="2"/>
  <c r="CD36" i="2"/>
  <c r="CD124" i="2"/>
  <c r="CD53" i="2"/>
  <c r="CD25" i="2"/>
  <c r="CD5" i="2"/>
  <c r="CD111" i="2"/>
  <c r="CD168" i="2"/>
  <c r="CD135" i="2"/>
  <c r="CD6" i="2"/>
  <c r="CD57" i="2"/>
  <c r="CD184" i="2"/>
  <c r="CD172" i="2"/>
  <c r="CD7" i="2"/>
  <c r="CD199" i="2"/>
  <c r="CD132" i="2"/>
  <c r="CD160" i="2"/>
  <c r="CD194" i="2"/>
  <c r="CD11" i="2"/>
  <c r="CD173" i="2"/>
  <c r="CD186" i="2"/>
  <c r="CD156" i="2"/>
  <c r="CD46" i="2"/>
  <c r="CD142" i="2"/>
  <c r="CD178" i="2"/>
  <c r="CD41" i="2"/>
  <c r="CD150" i="2"/>
  <c r="CD89" i="2"/>
  <c r="CD76" i="2"/>
  <c r="CD153" i="2"/>
  <c r="CD103" i="2"/>
  <c r="CD114" i="2"/>
  <c r="CD55" i="2"/>
  <c r="CD16" i="2"/>
  <c r="CD4" i="2"/>
  <c r="CD40" i="2"/>
  <c r="CD152" i="2"/>
  <c r="CD107" i="2"/>
  <c r="CD140" i="2"/>
  <c r="CD59" i="2"/>
  <c r="CD138" i="2"/>
  <c r="CD9" i="2"/>
  <c r="CD203" i="2"/>
  <c r="CD48" i="2"/>
  <c r="CD82" i="2"/>
  <c r="CD139" i="2"/>
  <c r="CD98" i="2"/>
  <c r="CD196" i="2"/>
  <c r="CD202" i="2"/>
  <c r="CD54" i="2"/>
  <c r="CD158" i="2"/>
  <c r="CD169" i="2"/>
  <c r="CD62" i="2"/>
  <c r="CD27" i="2"/>
  <c r="CD44" i="2"/>
  <c r="CD125" i="2"/>
  <c r="CD187" i="2"/>
  <c r="CD166" i="2"/>
  <c r="CD148" i="2"/>
  <c r="CD84" i="2"/>
  <c r="CD66" i="2"/>
  <c r="CD191" i="2"/>
  <c r="CD70" i="2"/>
  <c r="CD75" i="2"/>
  <c r="CD12" i="2"/>
  <c r="CD45" i="2"/>
  <c r="CD175" i="2"/>
  <c r="CD193" i="2"/>
  <c r="CD8" i="2"/>
  <c r="CD159" i="2"/>
  <c r="CD161" i="2"/>
  <c r="CD26" i="2"/>
  <c r="CD14" i="2"/>
  <c r="CD115" i="2"/>
  <c r="CD24" i="2"/>
  <c r="CD91" i="2"/>
  <c r="CD136" i="2"/>
  <c r="CD149" i="2"/>
  <c r="CD170" i="2"/>
  <c r="CD128" i="2"/>
  <c r="CD147" i="2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I47" i="2" l="1"/>
  <c r="BI32" i="2"/>
  <c r="BI72" i="2"/>
  <c r="BI126" i="2"/>
  <c r="BI170" i="2"/>
  <c r="BI8" i="2"/>
  <c r="BI146" i="2"/>
  <c r="BI201" i="2"/>
  <c r="BI88" i="2"/>
  <c r="BI15" i="2"/>
  <c r="BI6" i="2"/>
  <c r="BI74" i="2"/>
  <c r="BI172" i="2"/>
  <c r="BI4" i="2"/>
  <c r="BI107" i="2"/>
  <c r="BI83" i="2"/>
  <c r="BI143" i="2"/>
  <c r="BI138" i="2"/>
  <c r="BI151" i="2"/>
  <c r="BI160" i="2"/>
  <c r="BI188" i="2"/>
  <c r="BI81" i="2"/>
  <c r="BI65" i="2"/>
  <c r="BI110" i="2"/>
  <c r="BI141" i="2"/>
  <c r="BI26" i="2"/>
  <c r="BI78" i="2"/>
  <c r="BI13" i="2"/>
  <c r="BI70" i="2"/>
  <c r="BI56" i="2"/>
  <c r="BI158" i="2"/>
  <c r="BI28" i="2"/>
  <c r="BI190" i="2"/>
  <c r="BI152" i="2"/>
  <c r="BI197" i="2"/>
  <c r="BI49" i="2"/>
  <c r="BI161" i="2"/>
  <c r="BI174" i="2"/>
  <c r="BI86" i="2"/>
  <c r="BI121" i="2"/>
  <c r="BI67" i="2"/>
  <c r="BI75" i="2"/>
  <c r="BI159" i="2"/>
  <c r="BI102" i="2"/>
  <c r="BI51" i="2"/>
  <c r="BI89" i="2"/>
  <c r="BI175" i="2"/>
  <c r="BI9" i="2"/>
  <c r="BI186" i="2"/>
  <c r="BI187" i="2"/>
  <c r="BI120" i="2"/>
  <c r="BI54" i="2"/>
  <c r="BI198" i="2"/>
  <c r="BI96" i="2"/>
  <c r="BI97" i="2"/>
  <c r="BI114" i="2"/>
  <c r="BI59" i="2"/>
  <c r="BI85" i="2"/>
  <c r="BI37" i="2"/>
  <c r="BI147" i="2"/>
  <c r="BI36" i="2"/>
  <c r="BI84" i="2"/>
  <c r="BI106" i="2"/>
  <c r="BI185" i="2"/>
  <c r="BI44" i="2"/>
  <c r="BI34" i="2"/>
  <c r="BI18" i="2"/>
  <c r="BI25" i="2"/>
  <c r="BI129" i="2"/>
  <c r="BI33" i="2"/>
  <c r="BI150" i="2"/>
  <c r="BI98" i="2"/>
  <c r="BI162" i="2"/>
  <c r="BI27" i="2"/>
  <c r="BI99" i="2"/>
  <c r="BI16" i="2"/>
  <c r="BI191" i="2"/>
  <c r="BI168" i="2"/>
  <c r="BI183" i="2"/>
  <c r="BI90" i="2"/>
  <c r="BI45" i="2"/>
  <c r="BI154" i="2"/>
  <c r="BI132" i="2"/>
  <c r="BI196" i="2"/>
  <c r="BI39" i="2"/>
  <c r="BI22" i="2"/>
  <c r="BI195" i="2"/>
  <c r="BI145" i="2"/>
  <c r="BI48" i="2"/>
  <c r="BI124" i="2"/>
  <c r="BI164" i="2"/>
  <c r="BI71" i="2"/>
  <c r="BI200" i="2"/>
  <c r="BI149" i="2"/>
  <c r="BI63" i="2"/>
  <c r="BI137" i="2"/>
  <c r="BI108" i="2"/>
  <c r="BI199" i="2"/>
  <c r="BI131" i="2"/>
  <c r="BI112" i="2"/>
  <c r="BI91" i="2"/>
  <c r="BI116" i="2"/>
  <c r="BI40" i="2"/>
  <c r="BI41" i="2"/>
  <c r="BI111" i="2"/>
  <c r="BI103" i="2"/>
  <c r="BI11" i="2"/>
  <c r="BI166" i="2"/>
  <c r="BI153" i="2"/>
  <c r="BI105" i="2"/>
  <c r="BI130" i="2"/>
  <c r="BI123" i="2"/>
  <c r="BI92" i="2"/>
  <c r="BI66" i="2"/>
  <c r="BI53" i="2"/>
  <c r="BI117" i="2"/>
  <c r="BI122" i="2"/>
  <c r="BI192" i="2"/>
  <c r="BI163" i="2"/>
  <c r="BI135" i="2"/>
  <c r="BI139" i="2"/>
  <c r="BI171" i="2"/>
  <c r="BI50" i="2"/>
  <c r="BI62" i="2"/>
  <c r="BI104" i="2"/>
  <c r="BI115" i="2"/>
  <c r="BI202" i="2"/>
  <c r="BI144" i="2"/>
  <c r="BI133" i="2"/>
  <c r="BI68" i="2"/>
  <c r="BI101" i="2"/>
  <c r="BI43" i="2"/>
  <c r="BI140" i="2"/>
  <c r="BI128" i="2"/>
  <c r="BI69" i="2"/>
  <c r="BI30" i="2"/>
  <c r="BI52" i="2"/>
  <c r="BI173" i="2"/>
  <c r="BI180" i="2"/>
  <c r="BI169" i="2"/>
  <c r="BI118" i="2"/>
  <c r="BI82" i="2"/>
  <c r="BI64" i="2"/>
  <c r="BI156" i="2"/>
  <c r="BI157" i="2"/>
  <c r="BI7" i="2"/>
  <c r="BI76" i="2"/>
  <c r="BI167" i="2"/>
  <c r="BI165" i="2"/>
  <c r="BI58" i="2"/>
  <c r="BI203" i="2"/>
  <c r="BI73" i="2"/>
  <c r="BI60" i="2"/>
  <c r="BI179" i="2"/>
  <c r="BI29" i="2"/>
  <c r="BI79" i="2"/>
  <c r="BI184" i="2"/>
  <c r="BI93" i="2"/>
  <c r="BI177" i="2"/>
  <c r="BI182" i="2"/>
  <c r="BI155" i="2"/>
  <c r="BI19" i="2"/>
  <c r="BI57" i="2"/>
  <c r="BI127" i="2"/>
  <c r="BI35" i="2"/>
  <c r="BI61" i="2"/>
  <c r="BI95" i="2"/>
  <c r="BI87" i="2"/>
  <c r="BI113" i="2"/>
  <c r="BI20" i="2"/>
  <c r="BI23" i="2"/>
  <c r="BI24" i="2"/>
  <c r="BI38" i="2"/>
  <c r="BI100" i="2"/>
  <c r="BI176" i="2"/>
  <c r="BI10" i="2"/>
  <c r="BI80" i="2"/>
  <c r="BI125" i="2"/>
  <c r="BI55" i="2"/>
  <c r="BI194" i="2"/>
  <c r="BI148" i="2"/>
  <c r="BI94" i="2"/>
  <c r="BI31" i="2"/>
  <c r="BI17" i="2"/>
  <c r="BI189" i="2"/>
  <c r="BI119" i="2"/>
  <c r="BI46" i="2"/>
  <c r="BI181" i="2"/>
  <c r="BI77" i="2"/>
  <c r="BI109" i="2"/>
  <c r="BI142" i="2"/>
  <c r="BI134" i="2"/>
  <c r="BI12" i="2"/>
  <c r="BI42" i="2"/>
  <c r="BI136" i="2"/>
  <c r="BI14" i="2"/>
  <c r="BI5" i="2"/>
  <c r="BI193" i="2"/>
  <c r="BI3" i="2"/>
  <c r="C8" i="4" s="1"/>
  <c r="E8" i="4" s="1"/>
  <c r="F8" i="4" s="1"/>
  <c r="G8" i="4" s="1"/>
  <c r="L8" i="4" s="1"/>
  <c r="BI21" i="2"/>
  <c r="BI178" i="2"/>
  <c r="BF144" i="2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<sst xmlns="http://schemas.openxmlformats.org/spreadsheetml/2006/main" count="1179" uniqueCount="324">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</sst>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2.8132671657816672</c:v>
                </c:pt>
                <c:pt idx="2">
                  <c:v>3.2123939427262584</c:v>
                </c:pt>
                <c:pt idx="3">
                  <c:v>3.6683472857578625</c:v>
                </c:pt>
                <c:pt idx="4">
                  <c:v>4.189245078515258</c:v>
                </c:pt>
                <c:pt idx="5">
                  <c:v>4.7843685038446617</c:v>
                </c:pt>
                <c:pt idx="6">
                  <c:v>5.4643292304991684</c:v>
                </c:pt>
                <c:pt idx="7">
                  <c:v>6.2412606921294538</c:v>
                </c:pt>
                <c:pt idx="8">
                  <c:v>7.1290369389440507</c:v>
                </c:pt>
                <c:pt idx="9">
                  <c:v>8.1435230463303068</c:v>
                </c:pt>
                <c:pt idx="10">
                  <c:v>9.3028616417499386</c:v>
                </c:pt>
                <c:pt idx="11">
                  <c:v>10.627800771983097</c:v>
                </c:pt>
                <c:pt idx="12">
                  <c:v>12.142069089465975</c:v>
                </c:pt>
                <c:pt idx="13">
                  <c:v>13.872805202996664</c:v>
                </c:pt>
                <c:pt idx="14">
                  <c:v>15.851049030450801</c:v>
                </c:pt>
                <c:pt idx="15">
                  <c:v>18.112304127658813</c:v>
                </c:pt>
                <c:pt idx="16">
                  <c:v>20.697181269224675</c:v>
                </c:pt>
                <c:pt idx="17">
                  <c:v>23.65213504784224</c:v>
                </c:pt>
                <c:pt idx="18">
                  <c:v>27.030306966123078</c:v>
                </c:pt>
                <c:pt idx="19">
                  <c:v>30.892490450636974</c:v>
                </c:pt>
                <c:pt idx="20">
                  <c:v>35.308235457930238</c:v>
                </c:pt>
                <c:pt idx="21">
                  <c:v>40.357112908147641</c:v>
                </c:pt>
                <c:pt idx="22">
                  <c:v>46.130162121001781</c:v>
                </c:pt>
                <c:pt idx="23">
                  <c:v>52.731547795595169</c:v>
                </c:pt>
                <c:pt idx="24">
                  <c:v>60.280456932325443</c:v>
                </c:pt>
                <c:pt idx="25">
                  <c:v>68.913270513209838</c:v>
                </c:pt>
                <c:pt idx="26">
                  <c:v>25.755420687933597</c:v>
                </c:pt>
                <c:pt idx="27">
                  <c:v>27.793755985142255</c:v>
                </c:pt>
                <c:pt idx="28">
                  <c:v>29.827899789877904</c:v>
                </c:pt>
                <c:pt idx="29">
                  <c:v>31.858179885152822</c:v>
                </c:pt>
                <c:pt idx="30">
                  <c:v>33.884878610568173</c:v>
                </c:pt>
                <c:pt idx="31">
                  <c:v>35.908241574196445</c:v>
                </c:pt>
                <c:pt idx="32">
                  <c:v>37.928484285153658</c:v>
                </c:pt>
                <c:pt idx="33">
                  <c:v>39.945797290171164</c:v>
                </c:pt>
                <c:pt idx="34">
                  <c:v>41.960350211948068</c:v>
                </c:pt>
                <c:pt idx="35">
                  <c:v>43.972294966824755</c:v>
                </c:pt>
                <c:pt idx="36">
                  <c:v>24.800010171889159</c:v>
                </c:pt>
                <c:pt idx="37">
                  <c:v>27.141199080239492</c:v>
                </c:pt>
                <c:pt idx="38">
                  <c:v>29.476712502235959</c:v>
                </c:pt>
                <c:pt idx="39">
                  <c:v>31.807066006693351</c:v>
                </c:pt>
                <c:pt idx="40">
                  <c:v>34.13269298359635</c:v>
                </c:pt>
                <c:pt idx="41">
                  <c:v>36.45396259504642</c:v>
                </c:pt>
                <c:pt idx="42">
                  <c:v>38.771192882822227</c:v>
                </c:pt>
                <c:pt idx="43">
                  <c:v>41.084660557807638</c:v>
                </c:pt>
                <c:pt idx="44">
                  <c:v>43.394608455346805</c:v>
                </c:pt>
                <c:pt idx="45">
                  <c:v>45.70125131066299</c:v>
                </c:pt>
                <c:pt idx="46">
                  <c:v>48.004780300615131</c:v>
                </c:pt>
                <c:pt idx="47">
                  <c:v>50.305366663286712</c:v>
                </c:pt>
                <c:pt idx="48">
                  <c:v>52.603164617268881</c:v>
                </c:pt>
                <c:pt idx="49">
                  <c:v>54.898313741536775</c:v>
                </c:pt>
                <c:pt idx="50">
                  <c:v>57.190940934512035</c:v>
                </c:pt>
                <c:pt idx="51">
                  <c:v>26.306160948999928</c:v>
                </c:pt>
                <c:pt idx="52">
                  <c:v>29.112232192720796</c:v>
                </c:pt>
                <c:pt idx="53">
                  <c:v>31.910751789860296</c:v>
                </c:pt>
                <c:pt idx="54">
                  <c:v>34.702478809368039</c:v>
                </c:pt>
                <c:pt idx="55">
                  <c:v>37.488039482032889</c:v>
                </c:pt>
                <c:pt idx="56">
                  <c:v>40.267958846090082</c:v>
                </c:pt>
                <c:pt idx="57">
                  <c:v>43.042683134774393</c:v>
                </c:pt>
                <c:pt idx="58">
                  <c:v>45.812596051052985</c:v>
                </c:pt>
                <c:pt idx="59">
                  <c:v>48.578030876214278</c:v>
                </c:pt>
                <c:pt idx="60">
                  <c:v>51.339279660940122</c:v>
                </c:pt>
                <c:pt idx="61">
                  <c:v>54.096600324677205</c:v>
                </c:pt>
                <c:pt idx="62">
                  <c:v>56.850222224221149</c:v>
                </c:pt>
                <c:pt idx="63">
                  <c:v>59.60035058150202</c:v>
                </c:pt>
                <c:pt idx="64">
                  <c:v>62.347170047379826</c:v>
                </c:pt>
                <c:pt idx="65">
                  <c:v>65.090847601575831</c:v>
                </c:pt>
                <c:pt idx="66">
                  <c:v>67.831534935835109</c:v>
                </c:pt>
                <c:pt idx="67">
                  <c:v>70.569370430059834</c:v>
                </c:pt>
                <c:pt idx="68">
                  <c:v>73.304480804397869</c:v>
                </c:pt>
                <c:pt idx="69">
                  <c:v>76.036982510816145</c:v>
                </c:pt>
                <c:pt idx="70">
                  <c:v>78.766982913345473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2.8967503831784032</c:v>
                </c:pt>
                <c:pt idx="2">
                  <c:v>3.2542874412520102</c:v>
                </c:pt>
                <c:pt idx="3">
                  <c:v>3.6561084408483016</c:v>
                </c:pt>
                <c:pt idx="4">
                  <c:v>4.1077163740702707</c:v>
                </c:pt>
                <c:pt idx="5">
                  <c:v>4.6153001750378158</c:v>
                </c:pt>
                <c:pt idx="6">
                  <c:v>5.1858204668022303</c:v>
                </c:pt>
                <c:pt idx="7">
                  <c:v>5.8271060555461043</c:v>
                </c:pt>
                <c:pt idx="8">
                  <c:v>6.5479625223872802</c:v>
                </c:pt>
                <c:pt idx="9">
                  <c:v>7.3582944331418041</c:v>
                </c:pt>
                <c:pt idx="10">
                  <c:v>8.2692428778920881</c:v>
                </c:pt>
                <c:pt idx="11">
                  <c:v>9.2933402678650214</c:v>
                </c:pt>
                <c:pt idx="12">
                  <c:v>10.444684560006101</c:v>
                </c:pt>
                <c:pt idx="13">
                  <c:v>11.739135353182215</c:v>
                </c:pt>
                <c:pt idx="14">
                  <c:v>13.194534608036477</c:v>
                </c:pt>
                <c:pt idx="15">
                  <c:v>14.830955089523037</c:v>
                </c:pt>
                <c:pt idx="16">
                  <c:v>16.670980021992118</c:v>
                </c:pt>
                <c:pt idx="17">
                  <c:v>18.740017886923187</c:v>
                </c:pt>
                <c:pt idx="18">
                  <c:v>21.066656789267952</c:v>
                </c:pt>
                <c:pt idx="19">
                  <c:v>23.683063376908109</c:v>
                </c:pt>
                <c:pt idx="20">
                  <c:v>26.625431926891665</c:v>
                </c:pt>
                <c:pt idx="21">
                  <c:v>29.93448992082855</c:v>
                </c:pt>
                <c:pt idx="22">
                  <c:v>33.656067230178444</c:v>
                </c:pt>
                <c:pt idx="23">
                  <c:v>37.84173693150565</c:v>
                </c:pt>
                <c:pt idx="24">
                  <c:v>42.549536784903047</c:v>
                </c:pt>
                <c:pt idx="25">
                  <c:v>47.844781550119137</c:v>
                </c:pt>
                <c:pt idx="26">
                  <c:v>53.800977600707107</c:v>
                </c:pt>
                <c:pt idx="27">
                  <c:v>60.500852745064293</c:v>
                </c:pt>
                <c:pt idx="28">
                  <c:v>68.037515795179573</c:v>
                </c:pt>
                <c:pt idx="29">
                  <c:v>76.515762262510847</c:v>
                </c:pt>
                <c:pt idx="30">
                  <c:v>86.053544631882332</c:v>
                </c:pt>
                <c:pt idx="31">
                  <c:v>79.093611244401487</c:v>
                </c:pt>
                <c:pt idx="32">
                  <c:v>85.838784798044244</c:v>
                </c:pt>
                <c:pt idx="33">
                  <c:v>92.570616038106252</c:v>
                </c:pt>
                <c:pt idx="34">
                  <c:v>99.290214287231876</c:v>
                </c:pt>
                <c:pt idx="35">
                  <c:v>105.9985260157023</c:v>
                </c:pt>
                <c:pt idx="36">
                  <c:v>94.615407254209842</c:v>
                </c:pt>
                <c:pt idx="37">
                  <c:v>101.19780357721397</c:v>
                </c:pt>
                <c:pt idx="38">
                  <c:v>107.7695933925291</c:v>
                </c:pt>
                <c:pt idx="39">
                  <c:v>114.33151610709506</c:v>
                </c:pt>
                <c:pt idx="40">
                  <c:v>120.88421910365992</c:v>
                </c:pt>
                <c:pt idx="41">
                  <c:v>102.46309410678008</c:v>
                </c:pt>
                <c:pt idx="42">
                  <c:v>108.87725756135961</c:v>
                </c:pt>
                <c:pt idx="43">
                  <c:v>115.2821264303973</c:v>
                </c:pt>
                <c:pt idx="44">
                  <c:v>121.678291051795</c:v>
                </c:pt>
                <c:pt idx="45">
                  <c:v>128.06627447877207</c:v>
                </c:pt>
                <c:pt idx="46">
                  <c:v>101.13541999933619</c:v>
                </c:pt>
                <c:pt idx="47">
                  <c:v>107.58273090602508</c:v>
                </c:pt>
                <c:pt idx="48">
                  <c:v>114.02052685725552</c:v>
                </c:pt>
                <c:pt idx="49">
                  <c:v>120.44942201455153</c:v>
                </c:pt>
                <c:pt idx="50">
                  <c:v>126.86995946237033</c:v>
                </c:pt>
                <c:pt idx="51">
                  <c:v>133.28262269739221</c:v>
                </c:pt>
                <c:pt idx="52">
                  <c:v>139.68784478475536</c:v>
                </c:pt>
                <c:pt idx="53">
                  <c:v>146.08601574259635</c:v>
                </c:pt>
                <c:pt idx="54">
                  <c:v>152.47748856199027</c:v>
                </c:pt>
                <c:pt idx="55">
                  <c:v>158.86258416233861</c:v>
                </c:pt>
                <c:pt idx="56">
                  <c:v>140.04593626656413</c:v>
                </c:pt>
                <c:pt idx="57">
                  <c:v>146.61594575580509</c:v>
                </c:pt>
                <c:pt idx="58">
                  <c:v>153.17892055256829</c:v>
                </c:pt>
                <c:pt idx="59">
                  <c:v>159.73520514327259</c:v>
                </c:pt>
                <c:pt idx="60">
                  <c:v>166.28511336976726</c:v>
                </c:pt>
                <c:pt idx="61">
                  <c:v>150.63310467214743</c:v>
                </c:pt>
                <c:pt idx="62">
                  <c:v>157.02441865105513</c:v>
                </c:pt>
                <c:pt idx="63">
                  <c:v>163.40955813649262</c:v>
                </c:pt>
                <c:pt idx="64">
                  <c:v>169.78879888230929</c:v>
                </c:pt>
                <c:pt idx="65">
                  <c:v>176.16239418876725</c:v>
                </c:pt>
                <c:pt idx="66">
                  <c:v>159.63384589481387</c:v>
                </c:pt>
                <c:pt idx="67">
                  <c:v>165.82281447366253</c:v>
                </c:pt>
                <c:pt idx="68">
                  <c:v>172.00632962192674</c:v>
                </c:pt>
                <c:pt idx="69">
                  <c:v>178.18461541578941</c:v>
                </c:pt>
                <c:pt idx="70">
                  <c:v>184.35787909351566</c:v>
                </c:pt>
                <c:pt idx="71">
                  <c:v>170.88884924031368</c:v>
                </c:pt>
                <c:pt idx="72">
                  <c:v>176.98453645369239</c:v>
                </c:pt>
                <c:pt idx="73">
                  <c:v>183.07529850594128</c:v>
                </c:pt>
                <c:pt idx="74">
                  <c:v>189.16132267527885</c:v>
                </c:pt>
                <c:pt idx="75">
                  <c:v>195.24278318241963</c:v>
                </c:pt>
                <c:pt idx="76">
                  <c:v>182.9544967195117</c:v>
                </c:pt>
                <c:pt idx="77">
                  <c:v>189.2578889945963</c:v>
                </c:pt>
                <c:pt idx="78">
                  <c:v>195.55638859574742</c:v>
                </c:pt>
                <c:pt idx="79">
                  <c:v>201.85017561338327</c:v>
                </c:pt>
                <c:pt idx="80">
                  <c:v>208.13941797061625</c:v>
                </c:pt>
                <c:pt idx="81">
                  <c:v>214.42427259645135</c:v>
                </c:pt>
                <c:pt idx="82">
                  <c:v>220.70488645402705</c:v>
                </c:pt>
                <c:pt idx="83">
                  <c:v>226.98139744551511</c:v>
                </c:pt>
                <c:pt idx="84">
                  <c:v>233.25393521154857</c:v>
                </c:pt>
                <c:pt idx="85">
                  <c:v>239.52262184004098</c:v>
                </c:pt>
                <c:pt idx="86">
                  <c:v>222.74503213678972</c:v>
                </c:pt>
                <c:pt idx="87">
                  <c:v>229.14915399057531</c:v>
                </c:pt>
                <c:pt idx="88">
                  <c:v>235.54918240285778</c:v>
                </c:pt>
                <c:pt idx="89">
                  <c:v>241.9452444567371</c:v>
                </c:pt>
                <c:pt idx="90">
                  <c:v>248.33745995747185</c:v>
                </c:pt>
                <c:pt idx="91">
                  <c:v>228.03692654287329</c:v>
                </c:pt>
                <c:pt idx="92">
                  <c:v>234.41800195712344</c:v>
                </c:pt>
                <c:pt idx="93">
                  <c:v>240.79511356093099</c:v>
                </c:pt>
                <c:pt idx="94">
                  <c:v>247.16838129906833</c:v>
                </c:pt>
                <c:pt idx="95">
                  <c:v>253.53791841653029</c:v>
                </c:pt>
                <c:pt idx="96">
                  <c:v>259.90383199547597</c:v>
                </c:pt>
                <c:pt idx="97">
                  <c:v>266.26622343674779</c:v>
                </c:pt>
                <c:pt idx="98">
                  <c:v>272.6251888929084</c:v>
                </c:pt>
                <c:pt idx="99">
                  <c:v>278.98081965871557</c:v>
                </c:pt>
                <c:pt idx="100">
                  <c:v>285.33320252411488</c:v>
                </c:pt>
                <c:pt idx="101">
                  <c:v>258.66187589470809</c:v>
                </c:pt>
                <c:pt idx="102">
                  <c:v>264.88338953984317</c:v>
                </c:pt>
                <c:pt idx="103">
                  <c:v>271.10160841975988</c:v>
                </c:pt>
                <c:pt idx="104">
                  <c:v>277.31661887466925</c:v>
                </c:pt>
                <c:pt idx="105">
                  <c:v>283.52850305357543</c:v>
                </c:pt>
                <c:pt idx="106">
                  <c:v>252.58668202644802</c:v>
                </c:pt>
                <c:pt idx="107">
                  <c:v>258.70836088650458</c:v>
                </c:pt>
                <c:pt idx="108">
                  <c:v>264.82676610528</c:v>
                </c:pt>
                <c:pt idx="109">
                  <c:v>270.941984096319</c:v>
                </c:pt>
                <c:pt idx="110">
                  <c:v>277.05409704844823</c:v>
                </c:pt>
                <c:pt idx="111">
                  <c:v>283.16318322307103</c:v>
                </c:pt>
                <c:pt idx="112">
                  <c:v>289.26931722443442</c:v>
                </c:pt>
                <c:pt idx="113">
                  <c:v>295.37257024586023</c:v>
                </c:pt>
                <c:pt idx="114">
                  <c:v>301.47301029453882</c:v>
                </c:pt>
                <c:pt idx="115">
                  <c:v>307.5707023971583</c:v>
                </c:pt>
                <c:pt idx="116">
                  <c:v>313.6657087883591</c:v>
                </c:pt>
                <c:pt idx="117">
                  <c:v>319.75808908376047</c:v>
                </c:pt>
                <c:pt idx="118">
                  <c:v>325.84790043910021</c:v>
                </c:pt>
                <c:pt idx="119">
                  <c:v>331.93519769684332</c:v>
                </c:pt>
                <c:pt idx="120">
                  <c:v>338.02003352146693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2.9609870457457874</c:v>
                </c:pt>
                <c:pt idx="2">
                  <c:v>3.6150279671249503</c:v>
                </c:pt>
                <c:pt idx="3">
                  <c:v>4.4140821034881137</c:v>
                </c:pt>
                <c:pt idx="4">
                  <c:v>5.3904154621914815</c:v>
                </c:pt>
                <c:pt idx="5">
                  <c:v>6.583497068363517</c:v>
                </c:pt>
                <c:pt idx="6">
                  <c:v>8.0416118750303891</c:v>
                </c:pt>
                <c:pt idx="7">
                  <c:v>9.8238358556329572</c:v>
                </c:pt>
                <c:pt idx="8">
                  <c:v>12.002454817493136</c:v>
                </c:pt>
                <c:pt idx="9">
                  <c:v>14.665926874782608</c:v>
                </c:pt>
                <c:pt idx="10">
                  <c:v>17.922511080528938</c:v>
                </c:pt>
                <c:pt idx="11">
                  <c:v>21.90471238194057</c:v>
                </c:pt>
                <c:pt idx="12">
                  <c:v>26.774726988599941</c:v>
                </c:pt>
                <c:pt idx="13">
                  <c:v>32.731113848241989</c:v>
                </c:pt>
                <c:pt idx="14">
                  <c:v>40.016968951616128</c:v>
                </c:pt>
                <c:pt idx="15">
                  <c:v>48.929941773684028</c:v>
                </c:pt>
                <c:pt idx="16">
                  <c:v>59.83450992614155</c:v>
                </c:pt>
                <c:pt idx="17">
                  <c:v>73.177022265142185</c:v>
                </c:pt>
                <c:pt idx="18">
                  <c:v>89.504136219151221</c:v>
                </c:pt>
                <c:pt idx="19">
                  <c:v>109.48541682454005</c:v>
                </c:pt>
                <c:pt idx="20">
                  <c:v>133.94103883332869</c:v>
                </c:pt>
                <c:pt idx="21">
                  <c:v>64.023315939557975</c:v>
                </c:pt>
                <c:pt idx="22">
                  <c:v>73.098865735559698</c:v>
                </c:pt>
                <c:pt idx="23">
                  <c:v>82.145588677814942</c:v>
                </c:pt>
                <c:pt idx="24">
                  <c:v>91.16711504052499</c:v>
                </c:pt>
                <c:pt idx="25">
                  <c:v>100.1662950129879</c:v>
                </c:pt>
                <c:pt idx="26">
                  <c:v>109.14542307747099</c:v>
                </c:pt>
                <c:pt idx="27">
                  <c:v>118.10638425568783</c:v>
                </c:pt>
                <c:pt idx="28">
                  <c:v>127.05075343160114</c:v>
                </c:pt>
                <c:pt idx="29">
                  <c:v>135.97986512464789</c:v>
                </c:pt>
                <c:pt idx="30">
                  <c:v>144.8948639110815</c:v>
                </c:pt>
                <c:pt idx="31">
                  <c:v>105.36569678896211</c:v>
                </c:pt>
                <c:pt idx="32">
                  <c:v>119.00057224728077</c:v>
                </c:pt>
                <c:pt idx="33">
                  <c:v>132.59733034965231</c:v>
                </c:pt>
                <c:pt idx="34">
                  <c:v>146.16043518119375</c:v>
                </c:pt>
                <c:pt idx="35">
                  <c:v>159.69345254955027</c:v>
                </c:pt>
                <c:pt idx="36">
                  <c:v>173.19929332380912</c:v>
                </c:pt>
                <c:pt idx="37">
                  <c:v>186.68037658516903</c:v>
                </c:pt>
                <c:pt idx="38">
                  <c:v>200.13874302500744</c:v>
                </c:pt>
                <c:pt idx="39">
                  <c:v>213.57613616044637</c:v>
                </c:pt>
                <c:pt idx="40">
                  <c:v>226.99406199434279</c:v>
                </c:pt>
                <c:pt idx="41">
                  <c:v>240.39383380374977</c:v>
                </c:pt>
                <c:pt idx="42">
                  <c:v>253.77660640357917</c:v>
                </c:pt>
                <c:pt idx="43">
                  <c:v>267.14340279481576</c:v>
                </c:pt>
                <c:pt idx="44">
                  <c:v>280.4951351941279</c:v>
                </c:pt>
                <c:pt idx="45">
                  <c:v>293.83262184608287</c:v>
                </c:pt>
                <c:pt idx="46">
                  <c:v>307.15660062071885</c:v>
                </c:pt>
                <c:pt idx="47">
                  <c:v>320.46774012677076</c:v>
                </c:pt>
                <c:pt idx="48">
                  <c:v>333.76664888090232</c:v>
                </c:pt>
                <c:pt idx="49">
                  <c:v>347.05388293848029</c:v>
                </c:pt>
                <c:pt idx="50">
                  <c:v>360.32995229424205</c:v>
                </c:pt>
                <c:pt idx="51">
                  <c:v>373.59532629008748</c:v>
                </c:pt>
                <c:pt idx="52">
                  <c:v>386.85043821451427</c:v>
                </c:pt>
                <c:pt idx="53">
                  <c:v>400.09568923864737</c:v>
                </c:pt>
                <c:pt idx="54">
                  <c:v>413.33145180379137</c:v>
                </c:pt>
                <c:pt idx="55">
                  <c:v>426.55807255240478</c:v>
                </c:pt>
                <c:pt idx="56">
                  <c:v>439.77587487657252</c:v>
                </c:pt>
                <c:pt idx="57">
                  <c:v>452.98516114412149</c:v>
                </c:pt>
                <c:pt idx="58">
                  <c:v>466.18621465155746</c:v>
                </c:pt>
                <c:pt idx="59">
                  <c:v>479.37930134428672</c:v>
                </c:pt>
                <c:pt idx="60">
                  <c:v>492.56467133762879</c:v>
                </c:pt>
                <c:pt idx="61">
                  <c:v>367.17057360137687</c:v>
                </c:pt>
                <c:pt idx="62">
                  <c:v>386.64641240030164</c:v>
                </c:pt>
                <c:pt idx="63">
                  <c:v>406.10095218724399</c:v>
                </c:pt>
                <c:pt idx="64">
                  <c:v>425.53535631193864</c:v>
                </c:pt>
                <c:pt idx="65">
                  <c:v>444.95067324451384</c:v>
                </c:pt>
                <c:pt idx="66">
                  <c:v>464.34785254020767</c:v>
                </c:pt>
                <c:pt idx="67">
                  <c:v>483.72775799787217</c:v>
                </c:pt>
                <c:pt idx="68">
                  <c:v>503.09117860040186</c:v>
                </c:pt>
                <c:pt idx="69">
                  <c:v>522.43883768363685</c:v>
                </c:pt>
                <c:pt idx="70">
                  <c:v>541.77140067686253</c:v>
                </c:pt>
                <c:pt idx="71">
                  <c:v>561.08948168146082</c:v>
                </c:pt>
                <c:pt idx="72">
                  <c:v>580.39364909688902</c:v>
                </c:pt>
                <c:pt idx="73">
                  <c:v>599.68443045966012</c:v>
                </c:pt>
                <c:pt idx="74">
                  <c:v>618.96231662768548</c:v>
                </c:pt>
                <c:pt idx="75">
                  <c:v>638.2277654165722</c:v>
                </c:pt>
                <c:pt idx="76">
                  <c:v>657.48120477435248</c:v>
                </c:pt>
                <c:pt idx="77">
                  <c:v>676.7230355652996</c:v>
                </c:pt>
                <c:pt idx="78">
                  <c:v>695.95363402092755</c:v>
                </c:pt>
                <c:pt idx="79">
                  <c:v>715.17335390624123</c:v>
                </c:pt>
                <c:pt idx="80">
                  <c:v>734.38252844122792</c:v>
                </c:pt>
                <c:pt idx="81">
                  <c:v>345.37113140386344</c:v>
                </c:pt>
                <c:pt idx="82">
                  <c:v>369.78945614160529</c:v>
                </c:pt>
                <c:pt idx="83">
                  <c:v>394.1726171263399</c:v>
                </c:pt>
                <c:pt idx="84">
                  <c:v>418.5230935203187</c:v>
                </c:pt>
                <c:pt idx="85">
                  <c:v>442.84305264159531</c:v>
                </c:pt>
                <c:pt idx="86">
                  <c:v>467.13440451045108</c:v>
                </c:pt>
                <c:pt idx="87">
                  <c:v>491.39884445772253</c:v>
                </c:pt>
                <c:pt idx="88">
                  <c:v>515.63788687982822</c:v>
                </c:pt>
                <c:pt idx="89">
                  <c:v>539.85289231786828</c:v>
                </c:pt>
                <c:pt idx="90">
                  <c:v>564.04508942716632</c:v>
                </c:pt>
                <c:pt idx="91">
                  <c:v>588.21559298341595</c:v>
                </c:pt>
                <c:pt idx="92">
                  <c:v>612.36541877706077</c:v>
                </c:pt>
                <c:pt idx="93">
                  <c:v>636.49549603755156</c:v>
                </c:pt>
                <c:pt idx="94">
                  <c:v>660.60667787704051</c:v>
                </c:pt>
                <c:pt idx="95">
                  <c:v>684.69975013138867</c:v>
                </c:pt>
                <c:pt idx="96">
                  <c:v>708.77543889325682</c:v>
                </c:pt>
                <c:pt idx="97">
                  <c:v>732.83441696947239</c:v>
                </c:pt>
                <c:pt idx="98">
                  <c:v>756.8773094472366</c:v>
                </c:pt>
                <c:pt idx="99">
                  <c:v>780.90469851709838</c:v>
                </c:pt>
                <c:pt idx="100">
                  <c:v>804.91712767219099</c:v>
                </c:pt>
                <c:pt idx="101">
                  <c:v>828.91510538094792</c:v>
                </c:pt>
                <c:pt idx="102">
                  <c:v>852.89910831294594</c:v>
                </c:pt>
                <c:pt idx="103">
                  <c:v>876.8695841835173</c:v>
                </c:pt>
                <c:pt idx="104">
                  <c:v>900.8269542715808</c:v>
                </c:pt>
                <c:pt idx="105">
                  <c:v>924.77161565608515</c:v>
                </c:pt>
                <c:pt idx="106">
                  <c:v>948.70394320912408</c:v>
                </c:pt>
                <c:pt idx="107">
                  <c:v>972.62429137778327</c:v>
                </c:pt>
                <c:pt idx="108">
                  <c:v>996.5329957818625</c:v>
                </c:pt>
                <c:pt idx="109">
                  <c:v>1020.4303746505365</c:v>
                </c:pt>
                <c:pt idx="110">
                  <c:v>1044.316730117662</c:v>
                </c:pt>
                <c:pt idx="111">
                  <c:v>1068.1923493926099</c:v>
                </c:pt>
                <c:pt idx="112">
                  <c:v>1092.0575058211571</c:v>
                </c:pt>
                <c:pt idx="113">
                  <c:v>1115.9124598489773</c:v>
                </c:pt>
                <c:pt idx="114">
                  <c:v>1139.7574598986091</c:v>
                </c:pt>
                <c:pt idx="115">
                  <c:v>1163.5927431693542</c:v>
                </c:pt>
                <c:pt idx="116">
                  <c:v>1187.4185363683443</c:v>
                </c:pt>
                <c:pt idx="117">
                  <c:v>1211.2350563799876</c:v>
                </c:pt>
                <c:pt idx="118">
                  <c:v>1235.0425108801321</c:v>
                </c:pt>
                <c:pt idx="119">
                  <c:v>1258.8410989004926</c:v>
                </c:pt>
                <c:pt idx="120">
                  <c:v>1282.6310113482627</c:v>
                </c:pt>
                <c:pt idx="121">
                  <c:v>1306.4124314852513</c:v>
                </c:pt>
                <c:pt idx="122">
                  <c:v>1330.1855353703802</c:v>
                </c:pt>
                <c:pt idx="123">
                  <c:v>1353.9504922689723</c:v>
                </c:pt>
                <c:pt idx="124">
                  <c:v>1377.7074650318689</c:v>
                </c:pt>
                <c:pt idx="125">
                  <c:v>1401.456610447088</c:v>
                </c:pt>
                <c:pt idx="126">
                  <c:v>1425.1980795664622</c:v>
                </c:pt>
                <c:pt idx="127">
                  <c:v>1448.9320180094201</c:v>
                </c:pt>
                <c:pt idx="128">
                  <c:v>1472.6585662458758</c:v>
                </c:pt>
                <c:pt idx="129">
                  <c:v>1496.3778598599777</c:v>
                </c:pt>
                <c:pt idx="130">
                  <c:v>1520.090029796301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2.6251282882799609</c:v>
                </c:pt>
                <c:pt idx="2">
                  <c:v>2.9826391034854045</c:v>
                </c:pt>
                <c:pt idx="3">
                  <c:v>3.3890114309344752</c:v>
                </c:pt>
                <c:pt idx="4">
                  <c:v>3.8509455800175814</c:v>
                </c:pt>
                <c:pt idx="5">
                  <c:v>4.3760635403008168</c:v>
                </c:pt>
                <c:pt idx="6">
                  <c:v>4.9730361350200143</c:v>
                </c:pt>
                <c:pt idx="7">
                  <c:v>5.6517277636921941</c:v>
                </c:pt>
                <c:pt idx="8">
                  <c:v>6.4233611729683844</c:v>
                </c:pt>
                <c:pt idx="9">
                  <c:v>7.3007050338573327</c:v>
                </c:pt>
                <c:pt idx="10">
                  <c:v>8.2982874896696952</c:v>
                </c:pt>
                <c:pt idx="11">
                  <c:v>9.4326392790548343</c:v>
                </c:pt>
                <c:pt idx="12">
                  <c:v>10.722570539836466</c:v>
                </c:pt>
                <c:pt idx="13">
                  <c:v>12.189485970557362</c:v>
                </c:pt>
                <c:pt idx="14">
                  <c:v>13.857743677472664</c:v>
                </c:pt>
                <c:pt idx="15">
                  <c:v>15.755063776305427</c:v>
                </c:pt>
                <c:pt idx="16">
                  <c:v>17.912993663071827</c:v>
                </c:pt>
                <c:pt idx="17">
                  <c:v>20.367437831144866</c:v>
                </c:pt>
                <c:pt idx="18">
                  <c:v>23.159261208924132</c:v>
                </c:pt>
                <c:pt idx="19">
                  <c:v>26.334976242790017</c:v>
                </c:pt>
                <c:pt idx="20">
                  <c:v>29.947525374845473</c:v>
                </c:pt>
                <c:pt idx="21">
                  <c:v>34.0571721886866</c:v>
                </c:pt>
                <c:pt idx="22">
                  <c:v>38.73251634690893</c:v>
                </c:pt>
                <c:pt idx="23">
                  <c:v>44.051649552960384</c:v>
                </c:pt>
                <c:pt idx="24">
                  <c:v>50.103472173445063</c:v>
                </c:pt>
                <c:pt idx="25">
                  <c:v>56.989192896281821</c:v>
                </c:pt>
                <c:pt idx="26">
                  <c:v>64.824036922216479</c:v>
                </c:pt>
                <c:pt idx="27">
                  <c:v>73.739191745654892</c:v>
                </c:pt>
                <c:pt idx="28">
                  <c:v>83.884023636707624</c:v>
                </c:pt>
                <c:pt idx="29">
                  <c:v>95.428602559364307</c:v>
                </c:pt>
                <c:pt idx="30">
                  <c:v>108.56657853025757</c:v>
                </c:pt>
                <c:pt idx="31">
                  <c:v>100.25502398257481</c:v>
                </c:pt>
                <c:pt idx="32">
                  <c:v>109.26509671104903</c:v>
                </c:pt>
                <c:pt idx="33">
                  <c:v>118.25689907450841</c:v>
                </c:pt>
                <c:pt idx="34">
                  <c:v>127.23201834685965</c:v>
                </c:pt>
                <c:pt idx="35">
                  <c:v>136.19179906044616</c:v>
                </c:pt>
                <c:pt idx="36">
                  <c:v>122.49714156594366</c:v>
                </c:pt>
                <c:pt idx="37">
                  <c:v>131.90732101507399</c:v>
                </c:pt>
                <c:pt idx="38">
                  <c:v>141.30129360130607</c:v>
                </c:pt>
                <c:pt idx="39">
                  <c:v>150.68029010986837</c:v>
                </c:pt>
                <c:pt idx="40">
                  <c:v>160.0453753141629</c:v>
                </c:pt>
                <c:pt idx="41">
                  <c:v>136.2589030113497</c:v>
                </c:pt>
                <c:pt idx="42">
                  <c:v>145.37780796432179</c:v>
                </c:pt>
                <c:pt idx="43">
                  <c:v>154.48303493849019</c:v>
                </c:pt>
                <c:pt idx="44">
                  <c:v>163.57550481771082</c:v>
                </c:pt>
                <c:pt idx="45">
                  <c:v>172.6560275798706</c:v>
                </c:pt>
                <c:pt idx="46">
                  <c:v>136.43258013096718</c:v>
                </c:pt>
                <c:pt idx="47">
                  <c:v>145.2319842500776</c:v>
                </c:pt>
                <c:pt idx="48">
                  <c:v>154.01863804933711</c:v>
                </c:pt>
                <c:pt idx="49">
                  <c:v>162.7933724723828</c:v>
                </c:pt>
                <c:pt idx="50">
                  <c:v>171.55692141909046</c:v>
                </c:pt>
                <c:pt idx="51">
                  <c:v>180.30993756818023</c:v>
                </c:pt>
                <c:pt idx="52">
                  <c:v>189.05300496035477</c:v>
                </c:pt>
                <c:pt idx="53">
                  <c:v>197.7866491275455</c:v>
                </c:pt>
                <c:pt idx="54">
                  <c:v>206.51134533634266</c:v>
                </c:pt>
                <c:pt idx="55">
                  <c:v>215.22752536323199</c:v>
                </c:pt>
                <c:pt idx="56">
                  <c:v>189.82848472365723</c:v>
                </c:pt>
                <c:pt idx="57">
                  <c:v>198.71389389481871</c:v>
                </c:pt>
                <c:pt idx="58">
                  <c:v>207.59008891763838</c:v>
                </c:pt>
                <c:pt idx="59">
                  <c:v>216.45751976849763</c:v>
                </c:pt>
                <c:pt idx="60">
                  <c:v>225.31659650032586</c:v>
                </c:pt>
                <c:pt idx="61">
                  <c:v>204.30264058260698</c:v>
                </c:pt>
                <c:pt idx="62">
                  <c:v>213.1888920376613</c:v>
                </c:pt>
                <c:pt idx="63">
                  <c:v>222.06661249176034</c:v>
                </c:pt>
                <c:pt idx="64">
                  <c:v>230.93619145100561</c:v>
                </c:pt>
                <c:pt idx="65">
                  <c:v>239.79798602457041</c:v>
                </c:pt>
                <c:pt idx="66">
                  <c:v>217.53900097769989</c:v>
                </c:pt>
                <c:pt idx="67">
                  <c:v>226.20986050037183</c:v>
                </c:pt>
                <c:pt idx="68">
                  <c:v>234.873109576915</c:v>
                </c:pt>
                <c:pt idx="69">
                  <c:v>243.5290688014957</c:v>
                </c:pt>
                <c:pt idx="70">
                  <c:v>252.17803409179001</c:v>
                </c:pt>
                <c:pt idx="71">
                  <c:v>234.01179481896176</c:v>
                </c:pt>
                <c:pt idx="72">
                  <c:v>242.62173387819669</c:v>
                </c:pt>
                <c:pt idx="73">
                  <c:v>251.22472472829824</c:v>
                </c:pt>
                <c:pt idx="74">
                  <c:v>259.82103910232229</c:v>
                </c:pt>
                <c:pt idx="75">
                  <c:v>268.41092926561726</c:v>
                </c:pt>
                <c:pt idx="76">
                  <c:v>251.83757585670978</c:v>
                </c:pt>
                <c:pt idx="77">
                  <c:v>260.83194316032836</c:v>
                </c:pt>
                <c:pt idx="78">
                  <c:v>269.81930757153441</c:v>
                </c:pt>
                <c:pt idx="79">
                  <c:v>278.79993544886798</c:v>
                </c:pt>
                <c:pt idx="80">
                  <c:v>287.77407457462567</c:v>
                </c:pt>
                <c:pt idx="81">
                  <c:v>296.74195600197419</c:v>
                </c:pt>
                <c:pt idx="82">
                  <c:v>305.70379566692787</c:v>
                </c:pt>
                <c:pt idx="83">
                  <c:v>314.65979580128345</c:v>
                </c:pt>
                <c:pt idx="84">
                  <c:v>323.61014617617457</c:v>
                </c:pt>
                <c:pt idx="85">
                  <c:v>332.55502520077397</c:v>
                </c:pt>
                <c:pt idx="86">
                  <c:v>309.56768323154108</c:v>
                </c:pt>
                <c:pt idx="87">
                  <c:v>318.78248578006213</c:v>
                </c:pt>
                <c:pt idx="88">
                  <c:v>327.99139233579933</c:v>
                </c:pt>
                <c:pt idx="89">
                  <c:v>337.19459189330365</c:v>
                </c:pt>
                <c:pt idx="90">
                  <c:v>346.39226228161493</c:v>
                </c:pt>
                <c:pt idx="91">
                  <c:v>318.40510576736773</c:v>
                </c:pt>
                <c:pt idx="92">
                  <c:v>327.66260217671373</c:v>
                </c:pt>
                <c:pt idx="93">
                  <c:v>336.91432485243269</c:v>
                </c:pt>
                <c:pt idx="94">
                  <c:v>346.16045480082425</c:v>
                </c:pt>
                <c:pt idx="95">
                  <c:v>355.40116256336336</c:v>
                </c:pt>
                <c:pt idx="96">
                  <c:v>364.63660908399942</c:v>
                </c:pt>
                <c:pt idx="97">
                  <c:v>373.86694648396173</c:v>
                </c:pt>
                <c:pt idx="98">
                  <c:v>383.09231875602126</c:v>
                </c:pt>
                <c:pt idx="99">
                  <c:v>392.31286238836134</c:v>
                </c:pt>
                <c:pt idx="100">
                  <c:v>401.5287069267153</c:v>
                </c:pt>
                <c:pt idx="101">
                  <c:v>364.31630173038212</c:v>
                </c:pt>
                <c:pt idx="102">
                  <c:v>373.42917334092255</c:v>
                </c:pt>
                <c:pt idx="103">
                  <c:v>382.53719913660933</c:v>
                </c:pt>
                <c:pt idx="104">
                  <c:v>391.64051082457655</c:v>
                </c:pt>
                <c:pt idx="105">
                  <c:v>400.73923348641296</c:v>
                </c:pt>
                <c:pt idx="106">
                  <c:v>357.09230398235849</c:v>
                </c:pt>
                <c:pt idx="107">
                  <c:v>365.87533031338586</c:v>
                </c:pt>
                <c:pt idx="108">
                  <c:v>374.65375295410149</c:v>
                </c:pt>
                <c:pt idx="109">
                  <c:v>383.42769504863281</c:v>
                </c:pt>
                <c:pt idx="110">
                  <c:v>392.19727364217869</c:v>
                </c:pt>
                <c:pt idx="111">
                  <c:v>400.96260011565863</c:v>
                </c:pt>
                <c:pt idx="112">
                  <c:v>409.72378058035656</c:v>
                </c:pt>
                <c:pt idx="113">
                  <c:v>418.48091623703948</c:v>
                </c:pt>
                <c:pt idx="114">
                  <c:v>427.23410370343771</c:v>
                </c:pt>
                <c:pt idx="115">
                  <c:v>435.9834353134799</c:v>
                </c:pt>
                <c:pt idx="116">
                  <c:v>400.78929865482752</c:v>
                </c:pt>
                <c:pt idx="117">
                  <c:v>409.48319617193619</c:v>
                </c:pt>
                <c:pt idx="118">
                  <c:v>418.17310818635116</c:v>
                </c:pt>
                <c:pt idx="119">
                  <c:v>426.85912923883899</c:v>
                </c:pt>
                <c:pt idx="120">
                  <c:v>435.54134970692616</c:v>
                </c:pt>
                <c:pt idx="121">
                  <c:v>402.30466881473723</c:v>
                </c:pt>
                <c:pt idx="122">
                  <c:v>410.95360045411189</c:v>
                </c:pt>
                <c:pt idx="123">
                  <c:v>419.59860322055255</c:v>
                </c:pt>
                <c:pt idx="124">
                  <c:v>428.2397695150874</c:v>
                </c:pt>
                <c:pt idx="125">
                  <c:v>436.87718770379001</c:v>
                </c:pt>
                <c:pt idx="126">
                  <c:v>445.51094237200255</c:v>
                </c:pt>
                <c:pt idx="127">
                  <c:v>454.14111455781909</c:v>
                </c:pt>
                <c:pt idx="128">
                  <c:v>462.76778196689196</c:v>
                </c:pt>
                <c:pt idx="129">
                  <c:v>471.39101917038403</c:v>
                </c:pt>
                <c:pt idx="130">
                  <c:v>480.01089778767664</c:v>
                </c:pt>
                <c:pt idx="131">
                  <c:v>433.16929955462223</c:v>
                </c:pt>
                <c:pt idx="132">
                  <c:v>441.82959702134099</c:v>
                </c:pt>
                <c:pt idx="133">
                  <c:v>450.4862569067875</c:v>
                </c:pt>
                <c:pt idx="134">
                  <c:v>459.13935899646884</c:v>
                </c:pt>
                <c:pt idx="135">
                  <c:v>467.78897982210736</c:v>
                </c:pt>
                <c:pt idx="136">
                  <c:v>476.43519285335037</c:v>
                </c:pt>
                <c:pt idx="137">
                  <c:v>485.0780686748372</c:v>
                </c:pt>
                <c:pt idx="138">
                  <c:v>493.71767514998538</c:v>
                </c:pt>
                <c:pt idx="139">
                  <c:v>502.3540775727156</c:v>
                </c:pt>
                <c:pt idx="140">
                  <c:v>510.98733880819691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3.6660371325815162</c:v>
                </c:pt>
                <c:pt idx="2">
                  <c:v>4.6614118175238257</c:v>
                </c:pt>
                <c:pt idx="3">
                  <c:v>5.928088461465876</c:v>
                </c:pt>
                <c:pt idx="4">
                  <c:v>7.5402817114168892</c:v>
                </c:pt>
                <c:pt idx="5">
                  <c:v>9.5925760053880218</c:v>
                </c:pt>
                <c:pt idx="6">
                  <c:v>12.205533885925199</c:v>
                </c:pt>
                <c:pt idx="7">
                  <c:v>15.53285283098009</c:v>
                </c:pt>
                <c:pt idx="8">
                  <c:v>19.770499278806209</c:v>
                </c:pt>
                <c:pt idx="9">
                  <c:v>25.168367474997826</c:v>
                </c:pt>
                <c:pt idx="10">
                  <c:v>32.045162799023849</c:v>
                </c:pt>
                <c:pt idx="11">
                  <c:v>40.80740355055142</c:v>
                </c:pt>
                <c:pt idx="12">
                  <c:v>51.973683580505345</c:v>
                </c:pt>
                <c:pt idx="13">
                  <c:v>66.205655717224928</c:v>
                </c:pt>
                <c:pt idx="14">
                  <c:v>84.347601954569996</c:v>
                </c:pt>
                <c:pt idx="15">
                  <c:v>107.47697551579846</c:v>
                </c:pt>
                <c:pt idx="16">
                  <c:v>82.971806687946042</c:v>
                </c:pt>
                <c:pt idx="17">
                  <c:v>100.46051937926313</c:v>
                </c:pt>
                <c:pt idx="18">
                  <c:v>117.87356875745895</c:v>
                </c:pt>
                <c:pt idx="19">
                  <c:v>135.223739157278</c:v>
                </c:pt>
                <c:pt idx="20">
                  <c:v>152.52024858602582</c:v>
                </c:pt>
                <c:pt idx="21">
                  <c:v>169.77004580189649</c:v>
                </c:pt>
                <c:pt idx="22">
                  <c:v>186.97854844253732</c:v>
                </c:pt>
                <c:pt idx="23">
                  <c:v>204.1500935904852</c:v>
                </c:pt>
                <c:pt idx="24">
                  <c:v>221.28822812920498</c:v>
                </c:pt>
                <c:pt idx="25">
                  <c:v>238.3959041290608</c:v>
                </c:pt>
                <c:pt idx="26">
                  <c:v>255.47561506047808</c:v>
                </c:pt>
                <c:pt idx="27">
                  <c:v>272.52949359703234</c:v>
                </c:pt>
                <c:pt idx="28">
                  <c:v>289.55938361572817</c:v>
                </c:pt>
                <c:pt idx="29">
                  <c:v>306.56689435048355</c:v>
                </c:pt>
                <c:pt idx="30">
                  <c:v>323.55344188751047</c:v>
                </c:pt>
                <c:pt idx="31">
                  <c:v>234.20754230157786</c:v>
                </c:pt>
                <c:pt idx="32">
                  <c:v>250.55923802114845</c:v>
                </c:pt>
                <c:pt idx="33">
                  <c:v>266.88674573095597</c:v>
                </c:pt>
                <c:pt idx="34">
                  <c:v>283.19175348772779</c:v>
                </c:pt>
                <c:pt idx="35">
                  <c:v>299.475739041145</c:v>
                </c:pt>
                <c:pt idx="36">
                  <c:v>315.74000628785325</c:v>
                </c:pt>
                <c:pt idx="37">
                  <c:v>331.98571381537243</c:v>
                </c:pt>
                <c:pt idx="38">
                  <c:v>348.2138975632418</c:v>
                </c:pt>
                <c:pt idx="39">
                  <c:v>364.42548903700248</c:v>
                </c:pt>
                <c:pt idx="40">
                  <c:v>380.62133011074383</c:v>
                </c:pt>
                <c:pt idx="41">
                  <c:v>396.80218517805389</c:v>
                </c:pt>
                <c:pt idx="42">
                  <c:v>412.96875121727749</c:v>
                </c:pt>
                <c:pt idx="43">
                  <c:v>429.12166619835557</c:v>
                </c:pt>
                <c:pt idx="44">
                  <c:v>445.26151615788223</c:v>
                </c:pt>
                <c:pt idx="45">
                  <c:v>461.38884119494622</c:v>
                </c:pt>
                <c:pt idx="46">
                  <c:v>364.3526310415744</c:v>
                </c:pt>
                <c:pt idx="47">
                  <c:v>380.32046719639311</c:v>
                </c:pt>
                <c:pt idx="48">
                  <c:v>396.27372360687514</c:v>
                </c:pt>
                <c:pt idx="49">
                  <c:v>412.2130697268035</c:v>
                </c:pt>
                <c:pt idx="50">
                  <c:v>428.13911902505441</c:v>
                </c:pt>
                <c:pt idx="51">
                  <c:v>444.0524356191284</c:v>
                </c:pt>
                <c:pt idx="52">
                  <c:v>459.95353990829517</c:v>
                </c:pt>
                <c:pt idx="53">
                  <c:v>475.84291338727439</c:v>
                </c:pt>
                <c:pt idx="54">
                  <c:v>491.72100278359022</c:v>
                </c:pt>
                <c:pt idx="55">
                  <c:v>507.58822363282974</c:v>
                </c:pt>
                <c:pt idx="56">
                  <c:v>523.44496338370391</c:v>
                </c:pt>
                <c:pt idx="57">
                  <c:v>539.29158410740456</c:v>
                </c:pt>
                <c:pt idx="58">
                  <c:v>555.12842487205933</c:v>
                </c:pt>
                <c:pt idx="59">
                  <c:v>570.9558038322474</c:v>
                </c:pt>
                <c:pt idx="60">
                  <c:v>586.77402007487603</c:v>
                </c:pt>
                <c:pt idx="61">
                  <c:v>602.58335525575887</c:v>
                </c:pt>
                <c:pt idx="62">
                  <c:v>618.38407505560599</c:v>
                </c:pt>
                <c:pt idx="63">
                  <c:v>634.17643047955005</c:v>
                </c:pt>
                <c:pt idx="64">
                  <c:v>649.9606590205766</c:v>
                </c:pt>
                <c:pt idx="65">
                  <c:v>665.73698570413501</c:v>
                </c:pt>
                <c:pt idx="66">
                  <c:v>459.73243702646101</c:v>
                </c:pt>
                <c:pt idx="67">
                  <c:v>471.53232137358037</c:v>
                </c:pt>
                <c:pt idx="68">
                  <c:v>483.3259194800965</c:v>
                </c:pt>
                <c:pt idx="69">
                  <c:v>495.11340635005195</c:v>
                </c:pt>
                <c:pt idx="70">
                  <c:v>506.89494797537969</c:v>
                </c:pt>
                <c:pt idx="71">
                  <c:v>518.67070200310673</c:v>
                </c:pt>
                <c:pt idx="72">
                  <c:v>530.44081833881944</c:v>
                </c:pt>
                <c:pt idx="73">
                  <c:v>542.20543969378821</c:v>
                </c:pt>
                <c:pt idx="74">
                  <c:v>553.96470208214635</c:v>
                </c:pt>
                <c:pt idx="75">
                  <c:v>565.71873527366517</c:v>
                </c:pt>
                <c:pt idx="76">
                  <c:v>577.46766320695144</c:v>
                </c:pt>
                <c:pt idx="77">
                  <c:v>589.21160436727962</c:v>
                </c:pt>
                <c:pt idx="78">
                  <c:v>600.95067213274081</c:v>
                </c:pt>
                <c:pt idx="79">
                  <c:v>612.68497509194958</c:v>
                </c:pt>
                <c:pt idx="80">
                  <c:v>624.41461733615188</c:v>
                </c:pt>
                <c:pt idx="81">
                  <c:v>636.13969872825373</c:v>
                </c:pt>
                <c:pt idx="82">
                  <c:v>647.86031515098989</c:v>
                </c:pt>
                <c:pt idx="83">
                  <c:v>659.57655873620922</c:v>
                </c:pt>
                <c:pt idx="84">
                  <c:v>671.28851807702836</c:v>
                </c:pt>
                <c:pt idx="85">
                  <c:v>682.99627842441703</c:v>
                </c:pt>
                <c:pt idx="86">
                  <c:v>440.61826151126928</c:v>
                </c:pt>
                <c:pt idx="87">
                  <c:v>449.77802068124771</c:v>
                </c:pt>
                <c:pt idx="88">
                  <c:v>458.93378966387667</c:v>
                </c:pt>
                <c:pt idx="89">
                  <c:v>468.08565931325774</c:v>
                </c:pt>
                <c:pt idx="90">
                  <c:v>477.2337166399434</c:v>
                </c:pt>
                <c:pt idx="91">
                  <c:v>486.37804504568641</c:v>
                </c:pt>
                <c:pt idx="92">
                  <c:v>495.51872453961681</c:v>
                </c:pt>
                <c:pt idx="93">
                  <c:v>504.65583193763126</c:v>
                </c:pt>
                <c:pt idx="94">
                  <c:v>513.78944104659445</c:v>
                </c:pt>
                <c:pt idx="95">
                  <c:v>522.9196228347555</c:v>
                </c:pt>
                <c:pt idx="96">
                  <c:v>532.04644558964492</c:v>
                </c:pt>
                <c:pt idx="97">
                  <c:v>541.16997506457312</c:v>
                </c:pt>
                <c:pt idx="98">
                  <c:v>550.2902746147339</c:v>
                </c:pt>
                <c:pt idx="99">
                  <c:v>559.40740532381915</c:v>
                </c:pt>
                <c:pt idx="100">
                  <c:v>568.52142612194643</c:v>
                </c:pt>
                <c:pt idx="101">
                  <c:v>577.63239389563557</c:v>
                </c:pt>
                <c:pt idx="102">
                  <c:v>586.74036359048296</c:v>
                </c:pt>
                <c:pt idx="103">
                  <c:v>595.84538830713257</c:v>
                </c:pt>
                <c:pt idx="104">
                  <c:v>604.94751939107425</c:v>
                </c:pt>
                <c:pt idx="105">
                  <c:v>614.04680651675937</c:v>
                </c:pt>
                <c:pt idx="106">
                  <c:v>380.01474634937404</c:v>
                </c:pt>
                <c:pt idx="107">
                  <c:v>387.24386408954047</c:v>
                </c:pt>
                <c:pt idx="108">
                  <c:v>394.47005153746295</c:v>
                </c:pt>
                <c:pt idx="109">
                  <c:v>401.69336998468339</c:v>
                </c:pt>
                <c:pt idx="110">
                  <c:v>408.9138783369678</c:v>
                </c:pt>
                <c:pt idx="111">
                  <c:v>416.13163324858942</c:v>
                </c:pt>
                <c:pt idx="112">
                  <c:v>423.34668924680545</c:v>
                </c:pt>
                <c:pt idx="113">
                  <c:v>430.55909884740117</c:v>
                </c:pt>
                <c:pt idx="114">
                  <c:v>437.76891266208486</c:v>
                </c:pt>
                <c:pt idx="115">
                  <c:v>444.97617949843669</c:v>
                </c:pt>
                <c:pt idx="116">
                  <c:v>1.0220655882243624E-12</c:v>
                </c:pt>
                <c:pt idx="117">
                  <c:v>1.0220655882243624E-12</c:v>
                </c:pt>
                <c:pt idx="118">
                  <c:v>1.0220655882243624E-12</c:v>
                </c:pt>
                <c:pt idx="119">
                  <c:v>1.0220655882243624E-12</c:v>
                </c:pt>
                <c:pt idx="120">
                  <c:v>1.0220655882243624E-12</c:v>
                </c:pt>
                <c:pt idx="121">
                  <c:v>1.0220655882243624E-12</c:v>
                </c:pt>
                <c:pt idx="122">
                  <c:v>1.0220655882243624E-12</c:v>
                </c:pt>
                <c:pt idx="123">
                  <c:v>1.0220655882243624E-12</c:v>
                </c:pt>
                <c:pt idx="124">
                  <c:v>1.0220655882243624E-12</c:v>
                </c:pt>
                <c:pt idx="125">
                  <c:v>1.0220655882243624E-12</c:v>
                </c:pt>
                <c:pt idx="126">
                  <c:v>1.0220655882243624E-12</c:v>
                </c:pt>
                <c:pt idx="127">
                  <c:v>1.0220655882243624E-12</c:v>
                </c:pt>
                <c:pt idx="128">
                  <c:v>1.0220655882243624E-12</c:v>
                </c:pt>
                <c:pt idx="129">
                  <c:v>1.0220655882243624E-12</c:v>
                </c:pt>
                <c:pt idx="130">
                  <c:v>1.0220655882243624E-12</c:v>
                </c:pt>
                <c:pt idx="131">
                  <c:v>1.0220655882243624E-12</c:v>
                </c:pt>
                <c:pt idx="132">
                  <c:v>1.0220655882243624E-12</c:v>
                </c:pt>
                <c:pt idx="133">
                  <c:v>1.0220655882243624E-12</c:v>
                </c:pt>
                <c:pt idx="134">
                  <c:v>1.0220655882243624E-12</c:v>
                </c:pt>
                <c:pt idx="135">
                  <c:v>1.0220655882243624E-12</c:v>
                </c:pt>
                <c:pt idx="136">
                  <c:v>1.0220655882243624E-12</c:v>
                </c:pt>
                <c:pt idx="137">
                  <c:v>1.0220655882243624E-12</c:v>
                </c:pt>
                <c:pt idx="138">
                  <c:v>1.0220655882243624E-12</c:v>
                </c:pt>
                <c:pt idx="139">
                  <c:v>1.0220655882243624E-12</c:v>
                </c:pt>
                <c:pt idx="140">
                  <c:v>1.0220655882243624E-12</c:v>
                </c:pt>
                <c:pt idx="141">
                  <c:v>1.0220655882243624E-12</c:v>
                </c:pt>
                <c:pt idx="142">
                  <c:v>1.0220655882243624E-12</c:v>
                </c:pt>
                <c:pt idx="143">
                  <c:v>1.0220655882243624E-12</c:v>
                </c:pt>
                <c:pt idx="144">
                  <c:v>1.0220655882243624E-12</c:v>
                </c:pt>
                <c:pt idx="145">
                  <c:v>1.0220655882243624E-12</c:v>
                </c:pt>
                <c:pt idx="146">
                  <c:v>1.0220655882243624E-12</c:v>
                </c:pt>
                <c:pt idx="147">
                  <c:v>1.0220655882243624E-12</c:v>
                </c:pt>
                <c:pt idx="148">
                  <c:v>1.0220655882243624E-12</c:v>
                </c:pt>
                <c:pt idx="149">
                  <c:v>1.0220655882243624E-12</c:v>
                </c:pt>
                <c:pt idx="150">
                  <c:v>1.0220655882243624E-12</c:v>
                </c:pt>
                <c:pt idx="151">
                  <c:v>1.0220655882243624E-12</c:v>
                </c:pt>
                <c:pt idx="152">
                  <c:v>1.0220655882243624E-12</c:v>
                </c:pt>
                <c:pt idx="153">
                  <c:v>1.0220655882243624E-12</c:v>
                </c:pt>
                <c:pt idx="154">
                  <c:v>1.0220655882243624E-12</c:v>
                </c:pt>
                <c:pt idx="155">
                  <c:v>1.0220655882243624E-12</c:v>
                </c:pt>
                <c:pt idx="156">
                  <c:v>1.0220655882243624E-12</c:v>
                </c:pt>
                <c:pt idx="157">
                  <c:v>1.0220655882243624E-12</c:v>
                </c:pt>
                <c:pt idx="158">
                  <c:v>1.0220655882243624E-12</c:v>
                </c:pt>
                <c:pt idx="159">
                  <c:v>1.0220655882243624E-12</c:v>
                </c:pt>
                <c:pt idx="160">
                  <c:v>1.0220655882243624E-12</c:v>
                </c:pt>
                <c:pt idx="161">
                  <c:v>1.0220655882243624E-12</c:v>
                </c:pt>
                <c:pt idx="162">
                  <c:v>1.0220655882243624E-12</c:v>
                </c:pt>
                <c:pt idx="163">
                  <c:v>1.0220655882243624E-12</c:v>
                </c:pt>
                <c:pt idx="164">
                  <c:v>1.0220655882243624E-12</c:v>
                </c:pt>
                <c:pt idx="165">
                  <c:v>1.0220655882243624E-12</c:v>
                </c:pt>
                <c:pt idx="166">
                  <c:v>1.0220655882243624E-12</c:v>
                </c:pt>
                <c:pt idx="167">
                  <c:v>1.0220655882243624E-12</c:v>
                </c:pt>
                <c:pt idx="168">
                  <c:v>1.0220655882243624E-12</c:v>
                </c:pt>
                <c:pt idx="169">
                  <c:v>1.0220655882243624E-12</c:v>
                </c:pt>
                <c:pt idx="170">
                  <c:v>1.0220655882243624E-12</c:v>
                </c:pt>
                <c:pt idx="171">
                  <c:v>1.0220655882243624E-12</c:v>
                </c:pt>
                <c:pt idx="172">
                  <c:v>1.0220655882243624E-12</c:v>
                </c:pt>
                <c:pt idx="173">
                  <c:v>1.0220655882243624E-12</c:v>
                </c:pt>
                <c:pt idx="174">
                  <c:v>1.0220655882243624E-12</c:v>
                </c:pt>
                <c:pt idx="175">
                  <c:v>1.0220655882243624E-12</c:v>
                </c:pt>
                <c:pt idx="176">
                  <c:v>1.0220655882243624E-12</c:v>
                </c:pt>
                <c:pt idx="177">
                  <c:v>1.0220655882243624E-12</c:v>
                </c:pt>
                <c:pt idx="178">
                  <c:v>1.0220655882243624E-12</c:v>
                </c:pt>
                <c:pt idx="179">
                  <c:v>1.0220655882243624E-12</c:v>
                </c:pt>
                <c:pt idx="180">
                  <c:v>1.0220655882243624E-12</c:v>
                </c:pt>
                <c:pt idx="181">
                  <c:v>1.0220655882243624E-12</c:v>
                </c:pt>
                <c:pt idx="182">
                  <c:v>1.0220655882243624E-12</c:v>
                </c:pt>
                <c:pt idx="183">
                  <c:v>1.0220655882243624E-12</c:v>
                </c:pt>
                <c:pt idx="184">
                  <c:v>1.0220655882243624E-12</c:v>
                </c:pt>
                <c:pt idx="185">
                  <c:v>1.0220655882243624E-12</c:v>
                </c:pt>
                <c:pt idx="186">
                  <c:v>1.0220655882243624E-12</c:v>
                </c:pt>
                <c:pt idx="187">
                  <c:v>1.0220655882243624E-12</c:v>
                </c:pt>
                <c:pt idx="188">
                  <c:v>1.0220655882243624E-12</c:v>
                </c:pt>
                <c:pt idx="189">
                  <c:v>1.0220655882243624E-12</c:v>
                </c:pt>
                <c:pt idx="190">
                  <c:v>1.0220655882243624E-12</c:v>
                </c:pt>
                <c:pt idx="191">
                  <c:v>1.0220655882243624E-12</c:v>
                </c:pt>
                <c:pt idx="192">
                  <c:v>1.0220655882243624E-12</c:v>
                </c:pt>
                <c:pt idx="193">
                  <c:v>1.0220655882243624E-12</c:v>
                </c:pt>
                <c:pt idx="194">
                  <c:v>1.0220655882243624E-12</c:v>
                </c:pt>
                <c:pt idx="195">
                  <c:v>1.0220655882243624E-12</c:v>
                </c:pt>
                <c:pt idx="196">
                  <c:v>1.0220655882243624E-12</c:v>
                </c:pt>
                <c:pt idx="197">
                  <c:v>1.0220655882243624E-12</c:v>
                </c:pt>
                <c:pt idx="198">
                  <c:v>1.0220655882243624E-12</c:v>
                </c:pt>
                <c:pt idx="199">
                  <c:v>1.0220655882243624E-12</c:v>
                </c:pt>
                <c:pt idx="200">
                  <c:v>1.0220655882243624E-12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2.4816488652855231</c:v>
                </c:pt>
                <c:pt idx="2">
                  <c:v>3.0752409705617736</c:v>
                </c:pt>
                <c:pt idx="3">
                  <c:v>3.8113636234592789</c:v>
                </c:pt>
                <c:pt idx="4">
                  <c:v>4.7243646527182603</c:v>
                </c:pt>
                <c:pt idx="5">
                  <c:v>5.8568972185527963</c:v>
                </c:pt>
                <c:pt idx="6">
                  <c:v>7.2619343423662421</c:v>
                </c:pt>
                <c:pt idx="7">
                  <c:v>9.0052734883782772</c:v>
                </c:pt>
                <c:pt idx="8">
                  <c:v>11.168650721604978</c:v>
                </c:pt>
                <c:pt idx="9">
                  <c:v>13.853613189005126</c:v>
                </c:pt>
                <c:pt idx="10">
                  <c:v>17.186335053104919</c:v>
                </c:pt>
                <c:pt idx="11">
                  <c:v>21.323607307882799</c:v>
                </c:pt>
                <c:pt idx="12">
                  <c:v>26.460288315303103</c:v>
                </c:pt>
                <c:pt idx="13">
                  <c:v>32.838572146613998</c:v>
                </c:pt>
                <c:pt idx="14">
                  <c:v>40.759519295934034</c:v>
                </c:pt>
                <c:pt idx="15">
                  <c:v>50.597403292405318</c:v>
                </c:pt>
                <c:pt idx="16">
                  <c:v>62.817562452424738</c:v>
                </c:pt>
                <c:pt idx="17">
                  <c:v>77.998615067102421</c:v>
                </c:pt>
                <c:pt idx="18">
                  <c:v>96.860106915701223</c:v>
                </c:pt>
                <c:pt idx="19">
                  <c:v>120.29692235868437</c:v>
                </c:pt>
                <c:pt idx="20">
                  <c:v>149.42211714009738</c:v>
                </c:pt>
                <c:pt idx="21">
                  <c:v>115.7266126148085</c:v>
                </c:pt>
                <c:pt idx="22">
                  <c:v>130.73570903973979</c:v>
                </c:pt>
                <c:pt idx="23">
                  <c:v>145.70314667878102</c:v>
                </c:pt>
                <c:pt idx="24">
                  <c:v>160.63381204218527</c:v>
                </c:pt>
                <c:pt idx="25">
                  <c:v>175.5316069575961</c:v>
                </c:pt>
                <c:pt idx="26">
                  <c:v>155.38147138439186</c:v>
                </c:pt>
                <c:pt idx="27">
                  <c:v>170.81845102541374</c:v>
                </c:pt>
                <c:pt idx="28">
                  <c:v>186.22258767558631</c:v>
                </c:pt>
                <c:pt idx="29">
                  <c:v>201.59698182283049</c:v>
                </c:pt>
                <c:pt idx="30">
                  <c:v>216.94422185354446</c:v>
                </c:pt>
                <c:pt idx="31">
                  <c:v>191.65547324705247</c:v>
                </c:pt>
                <c:pt idx="32">
                  <c:v>207.51192345464938</c:v>
                </c:pt>
                <c:pt idx="33">
                  <c:v>223.34039309405077</c:v>
                </c:pt>
                <c:pt idx="34">
                  <c:v>239.1431447417219</c:v>
                </c:pt>
                <c:pt idx="35">
                  <c:v>254.92211732872124</c:v>
                </c:pt>
                <c:pt idx="36">
                  <c:v>222.68784865562807</c:v>
                </c:pt>
                <c:pt idx="37">
                  <c:v>238.47482868961114</c:v>
                </c:pt>
                <c:pt idx="38">
                  <c:v>254.23800400865943</c:v>
                </c:pt>
                <c:pt idx="39">
                  <c:v>269.979058445666</c:v>
                </c:pt>
                <c:pt idx="40">
                  <c:v>285.69946337477552</c:v>
                </c:pt>
                <c:pt idx="41">
                  <c:v>248.93470217300015</c:v>
                </c:pt>
                <c:pt idx="42">
                  <c:v>264.27425446313589</c:v>
                </c:pt>
                <c:pt idx="43">
                  <c:v>279.59373151771996</c:v>
                </c:pt>
                <c:pt idx="44">
                  <c:v>294.8943882251998</c:v>
                </c:pt>
                <c:pt idx="45">
                  <c:v>310.17733859100434</c:v>
                </c:pt>
                <c:pt idx="46">
                  <c:v>269.35611846540371</c:v>
                </c:pt>
                <c:pt idx="47">
                  <c:v>284.19086926749952</c:v>
                </c:pt>
                <c:pt idx="48">
                  <c:v>299.0082853376008</c:v>
                </c:pt>
                <c:pt idx="49">
                  <c:v>313.8093467149734</c:v>
                </c:pt>
                <c:pt idx="50">
                  <c:v>328.59493342700091</c:v>
                </c:pt>
                <c:pt idx="51">
                  <c:v>288.56229214652512</c:v>
                </c:pt>
                <c:pt idx="52">
                  <c:v>302.68666455976444</c:v>
                </c:pt>
                <c:pt idx="53">
                  <c:v>316.79637464672629</c:v>
                </c:pt>
                <c:pt idx="54">
                  <c:v>330.89216748480658</c:v>
                </c:pt>
                <c:pt idx="55">
                  <c:v>344.9747194800288</c:v>
                </c:pt>
                <c:pt idx="56">
                  <c:v>303.95265143464235</c:v>
                </c:pt>
                <c:pt idx="57">
                  <c:v>317.62729129390618</c:v>
                </c:pt>
                <c:pt idx="58">
                  <c:v>331.28889643907809</c:v>
                </c:pt>
                <c:pt idx="59">
                  <c:v>344.93808016636996</c:v>
                </c:pt>
                <c:pt idx="60">
                  <c:v>358.57540326704765</c:v>
                </c:pt>
                <c:pt idx="61">
                  <c:v>315.49484181645755</c:v>
                </c:pt>
                <c:pt idx="62">
                  <c:v>328.98172037030128</c:v>
                </c:pt>
                <c:pt idx="63">
                  <c:v>342.45639981848177</c:v>
                </c:pt>
                <c:pt idx="64">
                  <c:v>355.91942782837458</c:v>
                </c:pt>
                <c:pt idx="65">
                  <c:v>369.37130724824937</c:v>
                </c:pt>
                <c:pt idx="66">
                  <c:v>326.97098529047418</c:v>
                </c:pt>
                <c:pt idx="67">
                  <c:v>340.14758243786906</c:v>
                </c:pt>
                <c:pt idx="68">
                  <c:v>353.31295472350394</c:v>
                </c:pt>
                <c:pt idx="69">
                  <c:v>366.46757938961508</c:v>
                </c:pt>
                <c:pt idx="70">
                  <c:v>379.61189661599133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1.9246920270899779</c:v>
                </c:pt>
                <c:pt idx="2">
                  <c:v>2.3886308555876563</c:v>
                </c:pt>
                <c:pt idx="3">
                  <c:v>2.9648378091570593</c:v>
                </c:pt>
                <c:pt idx="4">
                  <c:v>3.680580623588066</c:v>
                </c:pt>
                <c:pt idx="5">
                  <c:v>4.5697726308870639</c:v>
                </c:pt>
                <c:pt idx="6">
                  <c:v>5.6745975738273193</c:v>
                </c:pt>
                <c:pt idx="7">
                  <c:v>7.0475328494415725</c:v>
                </c:pt>
                <c:pt idx="8">
                  <c:v>8.7538691459988573</c:v>
                </c:pt>
                <c:pt idx="9">
                  <c:v>10.874848584535634</c:v>
                </c:pt>
                <c:pt idx="10">
                  <c:v>13.51157358752387</c:v>
                </c:pt>
                <c:pt idx="11">
                  <c:v>16.789876250275515</c:v>
                </c:pt>
                <c:pt idx="12">
                  <c:v>20.866384827870672</c:v>
                </c:pt>
                <c:pt idx="13">
                  <c:v>25.936082371516232</c:v>
                </c:pt>
                <c:pt idx="14">
                  <c:v>32.241725423712943</c:v>
                </c:pt>
                <c:pt idx="15">
                  <c:v>40.085581594336269</c:v>
                </c:pt>
                <c:pt idx="16">
                  <c:v>49.844058262228344</c:v>
                </c:pt>
                <c:pt idx="17">
                  <c:v>61.985936162477088</c:v>
                </c:pt>
                <c:pt idx="18">
                  <c:v>77.095098198652252</c:v>
                </c:pt>
                <c:pt idx="19">
                  <c:v>95.898864164510769</c:v>
                </c:pt>
                <c:pt idx="20">
                  <c:v>119.30331703698498</c:v>
                </c:pt>
                <c:pt idx="21">
                  <c:v>93.762458964691973</c:v>
                </c:pt>
                <c:pt idx="22">
                  <c:v>111.34811794311695</c:v>
                </c:pt>
                <c:pt idx="23">
                  <c:v>128.8654845335254</c:v>
                </c:pt>
                <c:pt idx="24">
                  <c:v>146.32516932800016</c:v>
                </c:pt>
                <c:pt idx="25">
                  <c:v>163.73503303682895</c:v>
                </c:pt>
                <c:pt idx="26">
                  <c:v>181.1011231500124</c:v>
                </c:pt>
                <c:pt idx="27">
                  <c:v>198.42823012701322</c:v>
                </c:pt>
                <c:pt idx="28">
                  <c:v>215.72023817189506</c:v>
                </c:pt>
                <c:pt idx="29">
                  <c:v>232.98035721581141</c:v>
                </c:pt>
                <c:pt idx="30">
                  <c:v>250.21128235043417</c:v>
                </c:pt>
                <c:pt idx="31">
                  <c:v>267.41530694188435</c:v>
                </c:pt>
                <c:pt idx="32">
                  <c:v>284.59440505920855</c:v>
                </c:pt>
                <c:pt idx="33">
                  <c:v>301.75029293005008</c:v>
                </c:pt>
                <c:pt idx="34">
                  <c:v>318.88447567330826</c:v>
                </c:pt>
                <c:pt idx="35">
                  <c:v>335.99828345370412</c:v>
                </c:pt>
                <c:pt idx="36">
                  <c:v>253.51326789891502</c:v>
                </c:pt>
                <c:pt idx="37">
                  <c:v>276.35944157453878</c:v>
                </c:pt>
                <c:pt idx="38">
                  <c:v>299.16321401743147</c:v>
                </c:pt>
                <c:pt idx="39">
                  <c:v>321.9282701194345</c:v>
                </c:pt>
                <c:pt idx="40">
                  <c:v>344.65773107164119</c:v>
                </c:pt>
                <c:pt idx="41">
                  <c:v>367.35427286717959</c:v>
                </c:pt>
                <c:pt idx="42">
                  <c:v>390.02021395834862</c:v>
                </c:pt>
                <c:pt idx="43">
                  <c:v>412.65758145922655</c:v>
                </c:pt>
                <c:pt idx="44">
                  <c:v>435.26816205724987</c:v>
                </c:pt>
                <c:pt idx="45">
                  <c:v>457.85354179217615</c:v>
                </c:pt>
                <c:pt idx="46">
                  <c:v>337.42270081665902</c:v>
                </c:pt>
                <c:pt idx="47">
                  <c:v>360.63587270268198</c:v>
                </c:pt>
                <c:pt idx="48">
                  <c:v>383.81637840060642</c:v>
                </c:pt>
                <c:pt idx="49">
                  <c:v>406.96646668650448</c:v>
                </c:pt>
                <c:pt idx="50">
                  <c:v>430.08810976010068</c:v>
                </c:pt>
                <c:pt idx="51">
                  <c:v>453.18305060489746</c:v>
                </c:pt>
                <c:pt idx="52">
                  <c:v>476.25284018981523</c:v>
                </c:pt>
                <c:pt idx="53">
                  <c:v>499.29886708747608</c:v>
                </c:pt>
                <c:pt idx="54">
                  <c:v>522.32238134046599</c:v>
                </c:pt>
                <c:pt idx="55">
                  <c:v>545.32451390188692</c:v>
                </c:pt>
                <c:pt idx="56">
                  <c:v>401.3632235075238</c:v>
                </c:pt>
                <c:pt idx="57">
                  <c:v>428.54768524755804</c:v>
                </c:pt>
                <c:pt idx="58">
                  <c:v>455.69508977897812</c:v>
                </c:pt>
                <c:pt idx="59">
                  <c:v>482.80795257852623</c:v>
                </c:pt>
                <c:pt idx="60">
                  <c:v>509.8884838172205</c:v>
                </c:pt>
                <c:pt idx="61">
                  <c:v>536.93863998862162</c:v>
                </c:pt>
                <c:pt idx="62">
                  <c:v>563.96016459410839</c:v>
                </c:pt>
                <c:pt idx="63">
                  <c:v>590.95462062793024</c:v>
                </c:pt>
                <c:pt idx="64">
                  <c:v>617.92341682110077</c:v>
                </c:pt>
                <c:pt idx="65">
                  <c:v>644.86782906848555</c:v>
                </c:pt>
                <c:pt idx="66">
                  <c:v>671.7890180913289</c:v>
                </c:pt>
                <c:pt idx="67">
                  <c:v>698.68804412385225</c:v>
                </c:pt>
                <c:pt idx="68">
                  <c:v>725.5658792227797</c:v>
                </c:pt>
                <c:pt idx="69">
                  <c:v>752.42341766000266</c:v>
                </c:pt>
                <c:pt idx="70">
                  <c:v>779.26148475594948</c:v>
                </c:pt>
                <c:pt idx="71">
                  <c:v>806.0808444342706</c:v>
                </c:pt>
                <c:pt idx="72">
                  <c:v>832.8822057201337</c:v>
                </c:pt>
                <c:pt idx="73">
                  <c:v>859.6662283597226</c:v>
                </c:pt>
                <c:pt idx="74">
                  <c:v>886.43352770398587</c:v>
                </c:pt>
                <c:pt idx="75">
                  <c:v>913.18467897268772</c:v>
                </c:pt>
                <c:pt idx="76">
                  <c:v>939.92022099359167</c:v>
                </c:pt>
                <c:pt idx="77">
                  <c:v>966.64065949475571</c:v>
                </c:pt>
                <c:pt idx="78">
                  <c:v>993.34647001445626</c:v>
                </c:pt>
                <c:pt idx="79">
                  <c:v>1020.0381004824359</c:v>
                </c:pt>
                <c:pt idx="80">
                  <c:v>1046.7159735173848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2.1060271784696512</c:v>
                </c:pt>
                <c:pt idx="2">
                  <c:v>2.8603502127464733</c:v>
                </c:pt>
                <c:pt idx="3">
                  <c:v>3.8859941553786488</c:v>
                </c:pt>
                <c:pt idx="4">
                  <c:v>5.2809368433822721</c:v>
                </c:pt>
                <c:pt idx="5">
                  <c:v>7.1786678325835469</c:v>
                </c:pt>
                <c:pt idx="6">
                  <c:v>9.7611033482680281</c:v>
                </c:pt>
                <c:pt idx="7">
                  <c:v>13.276212842589514</c:v>
                </c:pt>
                <c:pt idx="8">
                  <c:v>18.062080935011128</c:v>
                </c:pt>
                <c:pt idx="9">
                  <c:v>24.579760797014959</c:v>
                </c:pt>
                <c:pt idx="10">
                  <c:v>33.458139790893014</c:v>
                </c:pt>
                <c:pt idx="11">
                  <c:v>35.520395328353729</c:v>
                </c:pt>
                <c:pt idx="12">
                  <c:v>48.581477192397834</c:v>
                </c:pt>
                <c:pt idx="13">
                  <c:v>61.548417197440862</c:v>
                </c:pt>
                <c:pt idx="14">
                  <c:v>74.444047725722484</c:v>
                </c:pt>
                <c:pt idx="15">
                  <c:v>87.282533716808416</c:v>
                </c:pt>
                <c:pt idx="16">
                  <c:v>73.975271056745441</c:v>
                </c:pt>
                <c:pt idx="17">
                  <c:v>92.237724719427149</c:v>
                </c:pt>
                <c:pt idx="18">
                  <c:v>110.4094631655165</c:v>
                </c:pt>
                <c:pt idx="19">
                  <c:v>128.50758144529101</c:v>
                </c:pt>
                <c:pt idx="20">
                  <c:v>146.54393231878566</c:v>
                </c:pt>
                <c:pt idx="21">
                  <c:v>124.66315755042029</c:v>
                </c:pt>
                <c:pt idx="22">
                  <c:v>147.56732708621183</c:v>
                </c:pt>
                <c:pt idx="23">
                  <c:v>170.3864572609402</c:v>
                </c:pt>
                <c:pt idx="24">
                  <c:v>193.1335560514085</c:v>
                </c:pt>
                <c:pt idx="25">
                  <c:v>215.8183063595927</c:v>
                </c:pt>
                <c:pt idx="26">
                  <c:v>196.71629544140504</c:v>
                </c:pt>
                <c:pt idx="27">
                  <c:v>225.38026604409905</c:v>
                </c:pt>
                <c:pt idx="28">
                  <c:v>253.96065796419626</c:v>
                </c:pt>
                <c:pt idx="29">
                  <c:v>282.46819887055068</c:v>
                </c:pt>
                <c:pt idx="30">
                  <c:v>310.91127136886564</c:v>
                </c:pt>
                <c:pt idx="31">
                  <c:v>257.39519879120456</c:v>
                </c:pt>
                <c:pt idx="32">
                  <c:v>280.60587089178966</c:v>
                </c:pt>
                <c:pt idx="33">
                  <c:v>303.7735052859602</c:v>
                </c:pt>
                <c:pt idx="34">
                  <c:v>326.90184405765842</c:v>
                </c:pt>
                <c:pt idx="35">
                  <c:v>349.99405657378128</c:v>
                </c:pt>
                <c:pt idx="36">
                  <c:v>319.95115551735358</c:v>
                </c:pt>
                <c:pt idx="37">
                  <c:v>332.8449286003717</c:v>
                </c:pt>
                <c:pt idx="38">
                  <c:v>345.72769396952634</c:v>
                </c:pt>
                <c:pt idx="39">
                  <c:v>358.59991965906846</c:v>
                </c:pt>
                <c:pt idx="40">
                  <c:v>371.46203735406419</c:v>
                </c:pt>
                <c:pt idx="41">
                  <c:v>384.31444640091928</c:v>
                </c:pt>
                <c:pt idx="42">
                  <c:v>397.15751725330182</c:v>
                </c:pt>
                <c:pt idx="43">
                  <c:v>409.9915944490063</c:v>
                </c:pt>
                <c:pt idx="44">
                  <c:v>422.81699919459237</c:v>
                </c:pt>
                <c:pt idx="45">
                  <c:v>435.63403162004511</c:v>
                </c:pt>
                <c:pt idx="46">
                  <c:v>448.44297275425441</c:v>
                </c:pt>
                <c:pt idx="47">
                  <c:v>461.24408626302937</c:v>
                </c:pt>
                <c:pt idx="48">
                  <c:v>474.03761998412574</c:v>
                </c:pt>
                <c:pt idx="49">
                  <c:v>486.8238072879422</c:v>
                </c:pt>
                <c:pt idx="50">
                  <c:v>499.60286828783848</c:v>
                </c:pt>
                <c:pt idx="51">
                  <c:v>512.37501092018863</c:v>
                </c:pt>
                <c:pt idx="52">
                  <c:v>525.14043191116025</c:v>
                </c:pt>
                <c:pt idx="53">
                  <c:v>537.89931764461403</c:v>
                </c:pt>
                <c:pt idx="54">
                  <c:v>550.65184494339326</c:v>
                </c:pt>
                <c:pt idx="55">
                  <c:v>563.39818177449217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1.8066224697922453</c:v>
                </c:pt>
                <c:pt idx="2">
                  <c:v>2.2455817620809011</c:v>
                </c:pt>
                <c:pt idx="3">
                  <c:v>2.7916153405271413</c:v>
                </c:pt>
                <c:pt idx="4">
                  <c:v>3.4709382707946248</c:v>
                </c:pt>
                <c:pt idx="5">
                  <c:v>4.3162060790117946</c:v>
                </c:pt>
                <c:pt idx="6">
                  <c:v>5.3681021125597894</c:v>
                </c:pt>
                <c:pt idx="7">
                  <c:v>6.6773172919355828</c:v>
                </c:pt>
                <c:pt idx="8">
                  <c:v>8.3070195151327297</c:v>
                </c:pt>
                <c:pt idx="9">
                  <c:v>10.335934143762827</c:v>
                </c:pt>
                <c:pt idx="10">
                  <c:v>12.862187186694447</c:v>
                </c:pt>
                <c:pt idx="11">
                  <c:v>16.008100504279099</c:v>
                </c:pt>
                <c:pt idx="12">
                  <c:v>19.926175461727418</c:v>
                </c:pt>
                <c:pt idx="13">
                  <c:v>24.806560310879757</c:v>
                </c:pt>
                <c:pt idx="14">
                  <c:v>30.886370109603504</c:v>
                </c:pt>
                <c:pt idx="15">
                  <c:v>38.461319865708951</c:v>
                </c:pt>
                <c:pt idx="16">
                  <c:v>47.900246404236832</c:v>
                </c:pt>
                <c:pt idx="17">
                  <c:v>59.663237938337097</c:v>
                </c:pt>
                <c:pt idx="18">
                  <c:v>74.324269646299967</c:v>
                </c:pt>
                <c:pt idx="19">
                  <c:v>92.599467688965618</c:v>
                </c:pt>
                <c:pt idx="20">
                  <c:v>115.38240425865224</c:v>
                </c:pt>
                <c:pt idx="21">
                  <c:v>92.184358544223088</c:v>
                </c:pt>
                <c:pt idx="22">
                  <c:v>105.72981299986661</c:v>
                </c:pt>
                <c:pt idx="23">
                  <c:v>119.2324233639966</c:v>
                </c:pt>
                <c:pt idx="24">
                  <c:v>132.6977330966441</c:v>
                </c:pt>
                <c:pt idx="25">
                  <c:v>146.13006509373548</c:v>
                </c:pt>
                <c:pt idx="26">
                  <c:v>122.56844347963907</c:v>
                </c:pt>
                <c:pt idx="27">
                  <c:v>137.25911828694618</c:v>
                </c:pt>
                <c:pt idx="28">
                  <c:v>151.9119659991488</c:v>
                </c:pt>
                <c:pt idx="29">
                  <c:v>166.53115237800458</c:v>
                </c:pt>
                <c:pt idx="30">
                  <c:v>181.12005058083091</c:v>
                </c:pt>
                <c:pt idx="31">
                  <c:v>149.44022539252447</c:v>
                </c:pt>
                <c:pt idx="32">
                  <c:v>164.48485456769262</c:v>
                </c:pt>
                <c:pt idx="33">
                  <c:v>179.49696717114855</c:v>
                </c:pt>
                <c:pt idx="34">
                  <c:v>194.47966708351365</c:v>
                </c:pt>
                <c:pt idx="35">
                  <c:v>209.43554025032617</c:v>
                </c:pt>
                <c:pt idx="36">
                  <c:v>173.94558115685052</c:v>
                </c:pt>
                <c:pt idx="37">
                  <c:v>190.86119517680262</c:v>
                </c:pt>
                <c:pt idx="38">
                  <c:v>207.74189755618568</c:v>
                </c:pt>
                <c:pt idx="39">
                  <c:v>224.59092509668702</c:v>
                </c:pt>
                <c:pt idx="40">
                  <c:v>241.41098883297801</c:v>
                </c:pt>
                <c:pt idx="41">
                  <c:v>258.20439091721272</c:v>
                </c:pt>
                <c:pt idx="42">
                  <c:v>274.97310944376892</c:v>
                </c:pt>
                <c:pt idx="43">
                  <c:v>291.71886146744805</c:v>
                </c:pt>
                <c:pt idx="44">
                  <c:v>308.44315077693375</c:v>
                </c:pt>
                <c:pt idx="45">
                  <c:v>325.1473047549207</c:v>
                </c:pt>
                <c:pt idx="46">
                  <c:v>266.47108012987468</c:v>
                </c:pt>
                <c:pt idx="47">
                  <c:v>284.16210054487732</c:v>
                </c:pt>
                <c:pt idx="48">
                  <c:v>301.82846556326257</c:v>
                </c:pt>
                <c:pt idx="49">
                  <c:v>319.47182108419275</c:v>
                </c:pt>
                <c:pt idx="50">
                  <c:v>337.09361636894073</c:v>
                </c:pt>
                <c:pt idx="51">
                  <c:v>284.96760014478861</c:v>
                </c:pt>
                <c:pt idx="52">
                  <c:v>301.77100538104639</c:v>
                </c:pt>
                <c:pt idx="53">
                  <c:v>318.55358980075744</c:v>
                </c:pt>
                <c:pt idx="54">
                  <c:v>335.31660453516457</c:v>
                </c:pt>
                <c:pt idx="55">
                  <c:v>352.06116541631496</c:v>
                </c:pt>
                <c:pt idx="56">
                  <c:v>304.76340036248041</c:v>
                </c:pt>
                <c:pt idx="57">
                  <c:v>320.82275833089238</c:v>
                </c:pt>
                <c:pt idx="58">
                  <c:v>336.86433613683789</c:v>
                </c:pt>
                <c:pt idx="59">
                  <c:v>352.8890995593697</c:v>
                </c:pt>
                <c:pt idx="60">
                  <c:v>368.89791951120077</c:v>
                </c:pt>
                <c:pt idx="61">
                  <c:v>325.48432189727879</c:v>
                </c:pt>
                <c:pt idx="62">
                  <c:v>340.88340953239339</c:v>
                </c:pt>
                <c:pt idx="63">
                  <c:v>356.26720328865423</c:v>
                </c:pt>
                <c:pt idx="64">
                  <c:v>371.63645647626817</c:v>
                </c:pt>
                <c:pt idx="65">
                  <c:v>386.99185501795313</c:v>
                </c:pt>
                <c:pt idx="66">
                  <c:v>348.0437643666026</c:v>
                </c:pt>
                <c:pt idx="67">
                  <c:v>363.58880057680949</c:v>
                </c:pt>
                <c:pt idx="68">
                  <c:v>379.11931818431594</c:v>
                </c:pt>
                <c:pt idx="69">
                  <c:v>394.63599558271966</c:v>
                </c:pt>
                <c:pt idx="70">
                  <c:v>410.13945347306708</c:v>
                </c:pt>
                <c:pt idx="71">
                  <c:v>425.6302618109799</c:v>
                </c:pt>
                <c:pt idx="72">
                  <c:v>441.10894568967734</c:v>
                </c:pt>
                <c:pt idx="73">
                  <c:v>456.57599035425056</c:v>
                </c:pt>
                <c:pt idx="74">
                  <c:v>472.03184550115043</c:v>
                </c:pt>
                <c:pt idx="75">
                  <c:v>487.47692898531835</c:v>
                </c:pt>
                <c:pt idx="76">
                  <c:v>438.28440093409108</c:v>
                </c:pt>
                <c:pt idx="77">
                  <c:v>453.47945640023596</c:v>
                </c:pt>
                <c:pt idx="78">
                  <c:v>468.66363125156045</c:v>
                </c:pt>
                <c:pt idx="79">
                  <c:v>483.8373275470276</c:v>
                </c:pt>
                <c:pt idx="80">
                  <c:v>499.00092007893818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1.6585930490918344</c:v>
                </c:pt>
                <c:pt idx="2">
                  <c:v>2.3725739696033075</c:v>
                </c:pt>
                <c:pt idx="3">
                  <c:v>3.3952832478817023</c:v>
                </c:pt>
                <c:pt idx="4">
                  <c:v>4.860777612742794</c:v>
                </c:pt>
                <c:pt idx="5">
                  <c:v>6.9615517715523403</c:v>
                </c:pt>
                <c:pt idx="6">
                  <c:v>9.9741045538913564</c:v>
                </c:pt>
                <c:pt idx="7">
                  <c:v>14.295726984272141</c:v>
                </c:pt>
                <c:pt idx="8">
                  <c:v>20.497452810360166</c:v>
                </c:pt>
                <c:pt idx="9">
                  <c:v>29.400293024906262</c:v>
                </c:pt>
                <c:pt idx="10">
                  <c:v>42.185022100811246</c:v>
                </c:pt>
                <c:pt idx="11">
                  <c:v>60.550323063742177</c:v>
                </c:pt>
                <c:pt idx="12">
                  <c:v>86.940649423045627</c:v>
                </c:pt>
                <c:pt idx="13">
                  <c:v>124.87461752107356</c:v>
                </c:pt>
                <c:pt idx="14">
                  <c:v>179.41839349816573</c:v>
                </c:pt>
                <c:pt idx="15">
                  <c:v>257.86824958137225</c:v>
                </c:pt>
                <c:pt idx="16">
                  <c:v>208.92564764255781</c:v>
                </c:pt>
                <c:pt idx="17">
                  <c:v>242.22032176817197</c:v>
                </c:pt>
                <c:pt idx="18">
                  <c:v>275.41078185757311</c:v>
                </c:pt>
                <c:pt idx="19">
                  <c:v>308.51135153810901</c:v>
                </c:pt>
                <c:pt idx="20">
                  <c:v>341.53302513300576</c:v>
                </c:pt>
                <c:pt idx="21">
                  <c:v>246.81093271934807</c:v>
                </c:pt>
                <c:pt idx="22">
                  <c:v>273.60665271837269</c:v>
                </c:pt>
                <c:pt idx="23">
                  <c:v>300.34338671391259</c:v>
                </c:pt>
                <c:pt idx="24">
                  <c:v>327.02712061975529</c:v>
                </c:pt>
                <c:pt idx="25">
                  <c:v>353.6627835842757</c:v>
                </c:pt>
                <c:pt idx="26">
                  <c:v>380.25450178963359</c:v>
                </c:pt>
                <c:pt idx="27">
                  <c:v>406.80577743888131</c:v>
                </c:pt>
                <c:pt idx="28">
                  <c:v>433.31961852664813</c:v>
                </c:pt>
                <c:pt idx="29">
                  <c:v>459.7986351705386</c:v>
                </c:pt>
                <c:pt idx="30">
                  <c:v>486.24511258765887</c:v>
                </c:pt>
                <c:pt idx="31">
                  <c:v>364.0943319113365</c:v>
                </c:pt>
                <c:pt idx="32">
                  <c:v>385.42008176868791</c:v>
                </c:pt>
                <c:pt idx="33">
                  <c:v>406.72020501470388</c:v>
                </c:pt>
                <c:pt idx="34">
                  <c:v>427.99623158589071</c:v>
                </c:pt>
                <c:pt idx="35">
                  <c:v>449.24952698748024</c:v>
                </c:pt>
                <c:pt idx="36">
                  <c:v>341.80487944330429</c:v>
                </c:pt>
                <c:pt idx="37">
                  <c:v>358.06798336404216</c:v>
                </c:pt>
                <c:pt idx="38">
                  <c:v>374.31492697839445</c:v>
                </c:pt>
                <c:pt idx="39">
                  <c:v>390.54651030609608</c:v>
                </c:pt>
                <c:pt idx="40">
                  <c:v>406.76346145357951</c:v>
                </c:pt>
                <c:pt idx="41">
                  <c:v>316.13082786682969</c:v>
                </c:pt>
                <c:pt idx="42">
                  <c:v>328.69374288606559</c:v>
                </c:pt>
                <c:pt idx="43">
                  <c:v>341.24606264199264</c:v>
                </c:pt>
                <c:pt idx="44">
                  <c:v>353.78823186386029</c:v>
                </c:pt>
                <c:pt idx="45">
                  <c:v>366.32066116807056</c:v>
                </c:pt>
                <c:pt idx="46">
                  <c:v>299.36926304999957</c:v>
                </c:pt>
                <c:pt idx="47">
                  <c:v>309.50090665500045</c:v>
                </c:pt>
                <c:pt idx="48">
                  <c:v>319.6251875909943</c:v>
                </c:pt>
                <c:pt idx="49">
                  <c:v>329.74237208578</c:v>
                </c:pt>
                <c:pt idx="50">
                  <c:v>339.85270868752713</c:v>
                </c:pt>
                <c:pt idx="51">
                  <c:v>285.36196859721957</c:v>
                </c:pt>
                <c:pt idx="52">
                  <c:v>293.70676853037054</c:v>
                </c:pt>
                <c:pt idx="53">
                  <c:v>302.04627753122287</c:v>
                </c:pt>
                <c:pt idx="54">
                  <c:v>310.38066241593782</c:v>
                </c:pt>
                <c:pt idx="55">
                  <c:v>318.71008030276249</c:v>
                </c:pt>
                <c:pt idx="56">
                  <c:v>274.91377181091462</c:v>
                </c:pt>
                <c:pt idx="57">
                  <c:v>281.91938841883501</c:v>
                </c:pt>
                <c:pt idx="58">
                  <c:v>288.92110412777578</c:v>
                </c:pt>
                <c:pt idx="59">
                  <c:v>295.91902691943488</c:v>
                </c:pt>
                <c:pt idx="60">
                  <c:v>302.9132592456221</c:v>
                </c:pt>
                <c:pt idx="61">
                  <c:v>309.90389843544352</c:v>
                </c:pt>
                <c:pt idx="62">
                  <c:v>316.89103706379564</c:v>
                </c:pt>
                <c:pt idx="63">
                  <c:v>323.87476328563224</c:v>
                </c:pt>
                <c:pt idx="64">
                  <c:v>330.85516113987137</c:v>
                </c:pt>
                <c:pt idx="65">
                  <c:v>337.83231082629476</c:v>
                </c:pt>
                <c:pt idx="66">
                  <c:v>293.79390216267285</c:v>
                </c:pt>
                <c:pt idx="67">
                  <c:v>299.64380455333702</c:v>
                </c:pt>
                <c:pt idx="68">
                  <c:v>305.49116308464107</c:v>
                </c:pt>
                <c:pt idx="69">
                  <c:v>311.33603338303726</c:v>
                </c:pt>
                <c:pt idx="70">
                  <c:v>317.17846881320776</c:v>
                </c:pt>
                <c:pt idx="71">
                  <c:v>280.91449351645934</c:v>
                </c:pt>
                <c:pt idx="72">
                  <c:v>285.88699377991219</c:v>
                </c:pt>
                <c:pt idx="73">
                  <c:v>290.85755853234849</c:v>
                </c:pt>
                <c:pt idx="74">
                  <c:v>295.82622557005641</c:v>
                </c:pt>
                <c:pt idx="75">
                  <c:v>300.79303131411143</c:v>
                </c:pt>
                <c:pt idx="76">
                  <c:v>268.87024742055877</c:v>
                </c:pt>
                <c:pt idx="77">
                  <c:v>273.1095691721174</c:v>
                </c:pt>
                <c:pt idx="78">
                  <c:v>277.34741154929156</c:v>
                </c:pt>
                <c:pt idx="79">
                  <c:v>281.58380038785884</c:v>
                </c:pt>
                <c:pt idx="80">
                  <c:v>285.81876068139195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A270" sqref="A270:H289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4" t="s">
        <v>231</v>
      </c>
      <c r="B5" s="304"/>
      <c r="C5" s="26">
        <v>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</v>
      </c>
      <c r="C9" s="35">
        <f>560/41840</f>
        <v>1.338432122370937E-2</v>
      </c>
      <c r="D9" s="36">
        <f t="shared" ref="D9:D18" si="0">C9*$C$5</f>
        <v>0.33460803059273425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6</v>
      </c>
      <c r="C10" s="35">
        <f>9500/41840</f>
        <v>0.22705544933078395</v>
      </c>
      <c r="D10" s="36">
        <f t="shared" si="0"/>
        <v>5.6763862332695991</v>
      </c>
      <c r="E10" s="37">
        <v>130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14</v>
      </c>
      <c r="C11" s="35">
        <f>12000/41840</f>
        <v>0.28680688336520077</v>
      </c>
      <c r="D11" s="36">
        <f t="shared" si="0"/>
        <v>7.1701720841300194</v>
      </c>
      <c r="E11" s="37">
        <v>140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16</v>
      </c>
      <c r="C12" s="35">
        <f>1500/41840</f>
        <v>3.5850860420650096E-2</v>
      </c>
      <c r="D12" s="36">
        <f t="shared" si="0"/>
        <v>0.89627151051625242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29</v>
      </c>
      <c r="C13" s="35">
        <f>560/41840</f>
        <v>1.338432122370937E-2</v>
      </c>
      <c r="D13" s="36">
        <f t="shared" si="0"/>
        <v>0.33460803059273425</v>
      </c>
      <c r="E13" s="37">
        <v>70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35</v>
      </c>
      <c r="C14" s="35">
        <f>3650/41840</f>
        <v>8.7237093690248568E-2</v>
      </c>
      <c r="D14" s="36">
        <f t="shared" si="0"/>
        <v>2.1809273422562141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 t="s">
        <v>36</v>
      </c>
      <c r="C15" s="35">
        <f>3650/41840</f>
        <v>8.7237093690248568E-2</v>
      </c>
      <c r="D15" s="36">
        <f t="shared" si="0"/>
        <v>2.1809273422562141</v>
      </c>
      <c r="E15" s="37">
        <v>55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 t="s">
        <v>18</v>
      </c>
      <c r="C16" s="35">
        <f>5150/41840</f>
        <v>0.12308795411089866</v>
      </c>
      <c r="D16" s="36">
        <f t="shared" si="0"/>
        <v>3.0771988527724665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 t="s">
        <v>156</v>
      </c>
      <c r="C17" s="35">
        <f>1650/41840</f>
        <v>3.9435946462715102E-2</v>
      </c>
      <c r="D17" s="36">
        <f t="shared" si="0"/>
        <v>0.98589866156787753</v>
      </c>
      <c r="E17" s="37">
        <v>80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 t="s">
        <v>12</v>
      </c>
      <c r="C18" s="35">
        <f>2500/41840</f>
        <v>5.9751434034416823E-2</v>
      </c>
      <c r="D18" s="36">
        <f t="shared" si="0"/>
        <v>1.4937858508604205</v>
      </c>
      <c r="E18" s="37">
        <v>120</v>
      </c>
      <c r="F18" s="38" t="str">
        <f t="array" ref="F18">IF(E18="","",IF(INDEX(A:A,MAX(IF(ISNUMBER($A$270:$A$289),ROW($A$270:$A$289),"")))&lt;&gt;E18,"Corrigez : révolution incorrecte","OK"))</f>
        <v>OK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0.97323135755258128</v>
      </c>
      <c r="D19" s="41">
        <f>SUM(D9:D18)</f>
        <v>24.33078393881453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Alisier torminal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25</v>
      </c>
      <c r="B36" s="63">
        <v>31.23</v>
      </c>
      <c r="C36" s="63">
        <v>1</v>
      </c>
      <c r="D36" s="63">
        <v>20.82</v>
      </c>
      <c r="E36" s="54">
        <v>0</v>
      </c>
      <c r="F36" s="54">
        <v>0</v>
      </c>
      <c r="G36" s="54">
        <v>0.4</v>
      </c>
      <c r="H36" s="54">
        <v>0.6</v>
      </c>
      <c r="I36" s="52">
        <f>IFERROR(B36/A36,"")</f>
        <v>1.2492000000000001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35</v>
      </c>
      <c r="B37" s="63">
        <v>19.670000000000002</v>
      </c>
      <c r="C37" s="63">
        <v>2</v>
      </c>
      <c r="D37" s="63">
        <v>9.83</v>
      </c>
      <c r="E37" s="54">
        <v>0</v>
      </c>
      <c r="F37" s="54">
        <v>0</v>
      </c>
      <c r="G37" s="54">
        <v>0.4</v>
      </c>
      <c r="H37" s="54">
        <v>0.6</v>
      </c>
      <c r="I37" s="56">
        <f t="shared" ref="I37:I55" si="1">IF(A37&lt;&gt;0,(B37-(B36-D36))/(A37-A36),"")</f>
        <v>0.92600000000000016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50</v>
      </c>
      <c r="B38" s="63">
        <v>25.78</v>
      </c>
      <c r="C38" s="63">
        <v>3</v>
      </c>
      <c r="D38" s="63">
        <v>15.47</v>
      </c>
      <c r="E38" s="54">
        <v>0</v>
      </c>
      <c r="F38" s="54">
        <v>0.6</v>
      </c>
      <c r="G38" s="54">
        <v>0.1</v>
      </c>
      <c r="H38" s="54">
        <v>0.3</v>
      </c>
      <c r="I38" s="56">
        <f t="shared" si="1"/>
        <v>1.0626666666666666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70</v>
      </c>
      <c r="B39" s="63">
        <v>35.83</v>
      </c>
      <c r="C39" s="63">
        <v>4</v>
      </c>
      <c r="D39" s="63">
        <v>35.83</v>
      </c>
      <c r="E39" s="54">
        <v>0</v>
      </c>
      <c r="F39" s="54">
        <v>0.8</v>
      </c>
      <c r="G39" s="54">
        <v>0.1</v>
      </c>
      <c r="H39" s="54">
        <v>0.1</v>
      </c>
      <c r="I39" s="52">
        <f t="shared" si="1"/>
        <v>1.2759999999999998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Charme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20</v>
      </c>
      <c r="B62" s="63">
        <v>62.83</v>
      </c>
      <c r="C62" s="63">
        <v>1</v>
      </c>
      <c r="D62" s="63">
        <v>37.700000000000003</v>
      </c>
      <c r="E62" s="54">
        <v>0</v>
      </c>
      <c r="F62" s="54">
        <v>0</v>
      </c>
      <c r="G62" s="54">
        <v>0.4</v>
      </c>
      <c r="H62" s="54">
        <v>0.6</v>
      </c>
      <c r="I62" s="56">
        <f>IFERROR(B62/A62,"")</f>
        <v>3.1414999999999997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30</v>
      </c>
      <c r="B63" s="63">
        <v>68.11</v>
      </c>
      <c r="C63" s="63">
        <v>2</v>
      </c>
      <c r="D63" s="63">
        <v>25.54</v>
      </c>
      <c r="E63" s="54">
        <v>0</v>
      </c>
      <c r="F63" s="54">
        <v>0.4</v>
      </c>
      <c r="G63" s="54">
        <v>0.2</v>
      </c>
      <c r="H63" s="54">
        <v>0.4</v>
      </c>
      <c r="I63" s="52">
        <f>IF(A63&lt;&gt;0,(B63-(B62-D62))/(A63-A62),"")</f>
        <v>4.298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60</v>
      </c>
      <c r="B64" s="63">
        <v>238.7</v>
      </c>
      <c r="C64" s="63">
        <v>3</v>
      </c>
      <c r="D64" s="63">
        <v>71.61</v>
      </c>
      <c r="E64" s="54">
        <v>0.1</v>
      </c>
      <c r="F64" s="54">
        <v>0.5</v>
      </c>
      <c r="G64" s="54">
        <v>0.2</v>
      </c>
      <c r="H64" s="54">
        <v>0.2</v>
      </c>
      <c r="I64" s="52">
        <f>IF(A64&lt;&gt;0,(B64-(B63-D63))/(A64-A63),"")</f>
        <v>6.5376666666666665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80</v>
      </c>
      <c r="B65" s="63">
        <v>359.17</v>
      </c>
      <c r="C65" s="63">
        <v>4</v>
      </c>
      <c r="D65" s="63">
        <v>205.24</v>
      </c>
      <c r="E65" s="54">
        <v>0.6</v>
      </c>
      <c r="F65" s="54">
        <v>0.3</v>
      </c>
      <c r="G65" s="54">
        <v>0</v>
      </c>
      <c r="H65" s="54">
        <v>0.1</v>
      </c>
      <c r="I65" s="52">
        <f>IF(A65&lt;&gt;0,(B65-(B64-D64))/(A65-A64),"")</f>
        <v>9.6040000000000028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130</v>
      </c>
      <c r="B66" s="63">
        <v>755.3</v>
      </c>
      <c r="C66" s="63">
        <v>5</v>
      </c>
      <c r="D66" s="63">
        <v>755.3</v>
      </c>
      <c r="E66" s="54">
        <v>0.7</v>
      </c>
      <c r="F66" s="54">
        <v>0.2</v>
      </c>
      <c r="G66" s="54">
        <v>0</v>
      </c>
      <c r="H66" s="54">
        <v>0.1</v>
      </c>
      <c r="I66" s="52">
        <f t="shared" ref="I66:I81" si="2">IF(A66&lt;&gt;0,(B66-(B65-D65))/(A66-A65),"")</f>
        <v>12.027399999999998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30</v>
      </c>
      <c r="B88" s="63">
        <v>53.26</v>
      </c>
      <c r="C88" s="53">
        <v>1</v>
      </c>
      <c r="D88" s="63">
        <v>8.7200000000000006</v>
      </c>
      <c r="E88" s="54">
        <v>0</v>
      </c>
      <c r="F88" s="54">
        <v>0</v>
      </c>
      <c r="G88" s="54">
        <v>0.3</v>
      </c>
      <c r="H88" s="54">
        <v>0.7</v>
      </c>
      <c r="I88" s="56">
        <f>IFERROR(B88/A88,"")</f>
        <v>1.7753333333333332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35</v>
      </c>
      <c r="B89" s="63">
        <v>67.22</v>
      </c>
      <c r="C89" s="53">
        <v>2</v>
      </c>
      <c r="D89" s="63">
        <v>11.69</v>
      </c>
      <c r="E89" s="54">
        <v>0</v>
      </c>
      <c r="F89" s="54">
        <v>0</v>
      </c>
      <c r="G89" s="54">
        <v>0.3</v>
      </c>
      <c r="H89" s="54">
        <v>0.7</v>
      </c>
      <c r="I89" s="56">
        <f t="shared" ref="I89:I107" si="3">IF(A89&lt;&gt;0,(B89-(B88-D88))/(A89-A88),"")</f>
        <v>4.5359999999999996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40</v>
      </c>
      <c r="B90" s="63">
        <v>79.33</v>
      </c>
      <c r="C90" s="53">
        <v>3</v>
      </c>
      <c r="D90" s="63">
        <v>16.7</v>
      </c>
      <c r="E90" s="54">
        <v>0</v>
      </c>
      <c r="F90" s="54">
        <v>0</v>
      </c>
      <c r="G90" s="54">
        <v>0.3</v>
      </c>
      <c r="H90" s="54">
        <v>0.7</v>
      </c>
      <c r="I90" s="56">
        <f t="shared" si="3"/>
        <v>4.76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45</v>
      </c>
      <c r="B91" s="63">
        <v>85.75</v>
      </c>
      <c r="C91" s="53">
        <v>4</v>
      </c>
      <c r="D91" s="63">
        <v>22.87</v>
      </c>
      <c r="E91" s="54">
        <v>0</v>
      </c>
      <c r="F91" s="54">
        <v>0</v>
      </c>
      <c r="G91" s="54">
        <v>0.3</v>
      </c>
      <c r="H91" s="54">
        <v>0.7</v>
      </c>
      <c r="I91" s="56">
        <f t="shared" si="3"/>
        <v>4.6240000000000006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55</v>
      </c>
      <c r="B92" s="63">
        <v>107.5</v>
      </c>
      <c r="C92" s="53">
        <v>5</v>
      </c>
      <c r="D92" s="63">
        <v>17.53</v>
      </c>
      <c r="E92" s="54">
        <v>0</v>
      </c>
      <c r="F92" s="54">
        <v>0.1</v>
      </c>
      <c r="G92" s="54">
        <v>0.3</v>
      </c>
      <c r="H92" s="54">
        <v>0.6</v>
      </c>
      <c r="I92" s="56">
        <f t="shared" si="3"/>
        <v>4.4620000000000006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60</v>
      </c>
      <c r="B93" s="63">
        <v>112.67</v>
      </c>
      <c r="C93" s="53">
        <v>6</v>
      </c>
      <c r="D93" s="63">
        <v>15.31</v>
      </c>
      <c r="E93" s="54">
        <v>0.4</v>
      </c>
      <c r="F93" s="54">
        <v>0.3</v>
      </c>
      <c r="G93" s="54">
        <v>0</v>
      </c>
      <c r="H93" s="54">
        <v>0.3</v>
      </c>
      <c r="I93" s="56">
        <f t="shared" si="3"/>
        <v>4.5400000000000009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63">
        <v>65</v>
      </c>
      <c r="B94" s="63">
        <v>120.1</v>
      </c>
      <c r="C94" s="63">
        <v>7</v>
      </c>
      <c r="D94" s="63">
        <v>15.86</v>
      </c>
      <c r="E94" s="93">
        <v>0.4</v>
      </c>
      <c r="F94" s="93">
        <v>0.3</v>
      </c>
      <c r="G94" s="54">
        <v>0</v>
      </c>
      <c r="H94" s="93">
        <v>0.3</v>
      </c>
      <c r="I94" s="56">
        <f t="shared" si="3"/>
        <v>4.5479999999999992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70</v>
      </c>
      <c r="B95" s="63">
        <v>126.46</v>
      </c>
      <c r="C95" s="63">
        <v>8</v>
      </c>
      <c r="D95" s="63">
        <v>13.75</v>
      </c>
      <c r="E95" s="93">
        <v>0.4</v>
      </c>
      <c r="F95" s="93">
        <v>0.3</v>
      </c>
      <c r="G95" s="54">
        <v>0</v>
      </c>
      <c r="H95" s="93">
        <v>0.3</v>
      </c>
      <c r="I95" s="56">
        <f t="shared" si="3"/>
        <v>4.444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75</v>
      </c>
      <c r="B96" s="63">
        <v>134.81</v>
      </c>
      <c r="C96" s="63">
        <v>9</v>
      </c>
      <c r="D96" s="63">
        <v>13.15</v>
      </c>
      <c r="E96" s="93">
        <v>0.6</v>
      </c>
      <c r="F96" s="93">
        <v>0.1</v>
      </c>
      <c r="G96" s="54">
        <v>0</v>
      </c>
      <c r="H96" s="93">
        <v>0.3</v>
      </c>
      <c r="I96" s="56">
        <f t="shared" si="3"/>
        <v>4.4200000000000017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85</v>
      </c>
      <c r="B97" s="63">
        <v>167.91</v>
      </c>
      <c r="C97" s="63">
        <v>10</v>
      </c>
      <c r="D97" s="63">
        <v>16.64</v>
      </c>
      <c r="E97" s="93">
        <v>0.6</v>
      </c>
      <c r="F97" s="93">
        <v>0.2</v>
      </c>
      <c r="G97" s="54">
        <v>0</v>
      </c>
      <c r="H97" s="93">
        <v>0.2</v>
      </c>
      <c r="I97" s="56">
        <f t="shared" si="3"/>
        <v>4.625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90</v>
      </c>
      <c r="B98" s="63">
        <v>175.07</v>
      </c>
      <c r="C98" s="63">
        <v>11</v>
      </c>
      <c r="D98" s="63">
        <v>19.260000000000002</v>
      </c>
      <c r="E98" s="93">
        <v>0.6</v>
      </c>
      <c r="F98" s="93">
        <v>0.2</v>
      </c>
      <c r="G98" s="54">
        <v>0</v>
      </c>
      <c r="H98" s="93">
        <v>0.2</v>
      </c>
      <c r="I98" s="56">
        <f t="shared" si="3"/>
        <v>4.7600000000000025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100</v>
      </c>
      <c r="B99" s="63">
        <v>203.66</v>
      </c>
      <c r="C99" s="63">
        <v>12</v>
      </c>
      <c r="D99" s="63">
        <v>24.03</v>
      </c>
      <c r="E99" s="93">
        <v>0.6</v>
      </c>
      <c r="F99" s="93">
        <v>0.2</v>
      </c>
      <c r="G99" s="54">
        <v>0</v>
      </c>
      <c r="H99" s="93">
        <v>0.2</v>
      </c>
      <c r="I99" s="56">
        <f t="shared" si="3"/>
        <v>4.7849999999999993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105</v>
      </c>
      <c r="B100" s="63">
        <v>203.25</v>
      </c>
      <c r="C100" s="63">
        <v>13</v>
      </c>
      <c r="D100" s="63">
        <v>27.19</v>
      </c>
      <c r="E100" s="68">
        <v>0.8</v>
      </c>
      <c r="F100" s="68">
        <v>0</v>
      </c>
      <c r="G100" s="54">
        <v>0</v>
      </c>
      <c r="H100" s="93">
        <v>0.2</v>
      </c>
      <c r="I100" s="56">
        <f t="shared" si="3"/>
        <v>4.7240000000000011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115</v>
      </c>
      <c r="B101" s="63">
        <v>221.57</v>
      </c>
      <c r="C101" s="63">
        <v>14</v>
      </c>
      <c r="D101" s="63">
        <v>22.81</v>
      </c>
      <c r="E101" s="68">
        <v>0.8</v>
      </c>
      <c r="F101" s="68">
        <v>0</v>
      </c>
      <c r="G101" s="54">
        <v>0</v>
      </c>
      <c r="H101" s="93">
        <v>0.2</v>
      </c>
      <c r="I101" s="56">
        <f t="shared" si="3"/>
        <v>4.5509999999999993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53">
        <v>120</v>
      </c>
      <c r="B102" s="53">
        <v>221.34</v>
      </c>
      <c r="C102" s="53">
        <v>15</v>
      </c>
      <c r="D102" s="53">
        <v>21.77</v>
      </c>
      <c r="E102" s="57">
        <v>0.8</v>
      </c>
      <c r="F102" s="57">
        <v>0</v>
      </c>
      <c r="G102" s="54">
        <v>0</v>
      </c>
      <c r="H102" s="93">
        <v>0.2</v>
      </c>
      <c r="I102" s="56">
        <f t="shared" si="3"/>
        <v>4.5160000000000027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53">
        <v>130</v>
      </c>
      <c r="B103" s="53">
        <v>244.5</v>
      </c>
      <c r="C103" s="53">
        <v>16</v>
      </c>
      <c r="D103" s="53">
        <v>28.9</v>
      </c>
      <c r="E103" s="57">
        <v>0.8</v>
      </c>
      <c r="F103" s="57">
        <v>0</v>
      </c>
      <c r="G103" s="54">
        <v>0</v>
      </c>
      <c r="H103" s="93">
        <v>0.2</v>
      </c>
      <c r="I103" s="56">
        <f t="shared" si="3"/>
        <v>4.4930000000000003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53">
        <v>140</v>
      </c>
      <c r="B104" s="53">
        <v>260.66000000000003</v>
      </c>
      <c r="C104" s="53">
        <v>17</v>
      </c>
      <c r="D104" s="53">
        <v>260.66000000000003</v>
      </c>
      <c r="E104" s="57">
        <v>0.8</v>
      </c>
      <c r="F104" s="57">
        <v>0</v>
      </c>
      <c r="G104" s="54">
        <v>0</v>
      </c>
      <c r="H104" s="93">
        <v>0.2</v>
      </c>
      <c r="I104" s="56">
        <f t="shared" si="3"/>
        <v>4.5060000000000029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Chêne vert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15</v>
      </c>
      <c r="B114" s="63">
        <v>41.88</v>
      </c>
      <c r="C114" s="53">
        <v>1</v>
      </c>
      <c r="D114" s="63">
        <v>16.75</v>
      </c>
      <c r="E114" s="54">
        <v>0</v>
      </c>
      <c r="F114" s="54">
        <v>0</v>
      </c>
      <c r="G114" s="54">
        <v>0.3</v>
      </c>
      <c r="H114" s="54">
        <v>0.7</v>
      </c>
      <c r="I114" s="56">
        <f>IFERROR(B114/A114,"")</f>
        <v>2.7920000000000003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30</v>
      </c>
      <c r="B115" s="63">
        <v>129.71</v>
      </c>
      <c r="C115" s="53">
        <v>2</v>
      </c>
      <c r="D115" s="63">
        <v>43.24</v>
      </c>
      <c r="E115" s="54">
        <v>0</v>
      </c>
      <c r="F115" s="54">
        <v>0.1</v>
      </c>
      <c r="G115" s="54">
        <v>0.3</v>
      </c>
      <c r="H115" s="54">
        <v>0.6</v>
      </c>
      <c r="I115" s="56">
        <f t="shared" ref="I115:I133" si="4">IF(A115&lt;&gt;0,(B115-(B114-D114))/(A115-A114),"")</f>
        <v>6.9720000000000004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45</v>
      </c>
      <c r="B116" s="63">
        <v>186.55</v>
      </c>
      <c r="C116" s="53">
        <v>3</v>
      </c>
      <c r="D116" s="63">
        <v>46.64</v>
      </c>
      <c r="E116" s="54">
        <v>0</v>
      </c>
      <c r="F116" s="54">
        <v>0.2</v>
      </c>
      <c r="G116" s="54">
        <v>0.2</v>
      </c>
      <c r="H116" s="54">
        <v>0.6</v>
      </c>
      <c r="I116" s="56">
        <f t="shared" si="4"/>
        <v>6.6720000000000006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65</v>
      </c>
      <c r="B117" s="63">
        <v>271.47000000000003</v>
      </c>
      <c r="C117" s="53">
        <v>4</v>
      </c>
      <c r="D117" s="63">
        <v>90.49</v>
      </c>
      <c r="E117" s="54">
        <v>0</v>
      </c>
      <c r="F117" s="54">
        <v>0.2</v>
      </c>
      <c r="G117" s="54">
        <v>0.2</v>
      </c>
      <c r="H117" s="54">
        <v>0.6</v>
      </c>
      <c r="I117" s="56">
        <f t="shared" si="4"/>
        <v>6.5780000000000003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85</v>
      </c>
      <c r="B118" s="63">
        <v>278.67</v>
      </c>
      <c r="C118" s="53">
        <v>5</v>
      </c>
      <c r="D118" s="63">
        <v>104.5</v>
      </c>
      <c r="E118" s="54">
        <v>0</v>
      </c>
      <c r="F118" s="54">
        <v>0.2</v>
      </c>
      <c r="G118" s="54">
        <v>0.2</v>
      </c>
      <c r="H118" s="54">
        <v>0.6</v>
      </c>
      <c r="I118" s="56">
        <f t="shared" si="4"/>
        <v>4.8845000000000001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105</v>
      </c>
      <c r="B119" s="63">
        <v>249.93</v>
      </c>
      <c r="C119" s="53">
        <v>6</v>
      </c>
      <c r="D119" s="63">
        <v>99.97</v>
      </c>
      <c r="E119" s="54">
        <v>0.6</v>
      </c>
      <c r="F119" s="54">
        <v>0.2</v>
      </c>
      <c r="G119" s="54">
        <v>0</v>
      </c>
      <c r="H119" s="54">
        <v>0.2</v>
      </c>
      <c r="I119" s="56">
        <f t="shared" si="4"/>
        <v>3.7879999999999994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53">
        <v>115</v>
      </c>
      <c r="B120" s="63">
        <v>179.76</v>
      </c>
      <c r="C120" s="53">
        <v>7</v>
      </c>
      <c r="D120" s="63">
        <v>179.76</v>
      </c>
      <c r="E120" s="54">
        <v>0.6</v>
      </c>
      <c r="F120" s="54">
        <v>0.2</v>
      </c>
      <c r="G120" s="54">
        <v>0</v>
      </c>
      <c r="H120" s="54">
        <v>0.2</v>
      </c>
      <c r="I120" s="56">
        <f t="shared" si="4"/>
        <v>2.9799999999999982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54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54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54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54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54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54"/>
      <c r="H126" s="93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54"/>
      <c r="H127" s="93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4"/>
      <c r="H128" s="93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4"/>
      <c r="H129" s="93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4"/>
      <c r="H130" s="93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Merisier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20</v>
      </c>
      <c r="B140" s="63">
        <v>85.76</v>
      </c>
      <c r="C140" s="63">
        <v>1</v>
      </c>
      <c r="D140" s="63">
        <v>28.59</v>
      </c>
      <c r="E140" s="54">
        <v>0</v>
      </c>
      <c r="F140" s="54">
        <v>0</v>
      </c>
      <c r="G140" s="54">
        <v>0.4</v>
      </c>
      <c r="H140" s="54">
        <v>0.6</v>
      </c>
      <c r="I140" s="60">
        <f>IFERROR(B140/A140,"")</f>
        <v>4.2880000000000003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25</v>
      </c>
      <c r="B141" s="63">
        <v>101.17</v>
      </c>
      <c r="C141" s="63">
        <v>2</v>
      </c>
      <c r="D141" s="63">
        <v>21.01</v>
      </c>
      <c r="E141" s="54">
        <v>0</v>
      </c>
      <c r="F141" s="54">
        <v>0.4</v>
      </c>
      <c r="G141" s="54">
        <v>0.2</v>
      </c>
      <c r="H141" s="54">
        <v>0.4</v>
      </c>
      <c r="I141" s="60">
        <f t="shared" ref="I141:I159" si="5">IF(A141&lt;&gt;0,(B141-(B140-D140))/(A141-A140),"")</f>
        <v>8.8000000000000007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30</v>
      </c>
      <c r="B142" s="63">
        <v>125.72</v>
      </c>
      <c r="C142" s="63">
        <v>3</v>
      </c>
      <c r="D142" s="63">
        <v>24.41</v>
      </c>
      <c r="E142" s="54">
        <v>0</v>
      </c>
      <c r="F142" s="54">
        <v>0.4</v>
      </c>
      <c r="G142" s="54">
        <v>0.2</v>
      </c>
      <c r="H142" s="54">
        <v>0.4</v>
      </c>
      <c r="I142" s="60">
        <f t="shared" si="5"/>
        <v>9.1120000000000001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35</v>
      </c>
      <c r="B143" s="63">
        <v>148.33000000000001</v>
      </c>
      <c r="C143" s="63">
        <v>4</v>
      </c>
      <c r="D143" s="63">
        <v>28.59</v>
      </c>
      <c r="E143" s="54">
        <v>0</v>
      </c>
      <c r="F143" s="54">
        <v>0.6</v>
      </c>
      <c r="G143" s="54">
        <v>0.2</v>
      </c>
      <c r="H143" s="54">
        <v>0.2</v>
      </c>
      <c r="I143" s="60">
        <f t="shared" si="5"/>
        <v>9.4040000000000017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40</v>
      </c>
      <c r="B144" s="63">
        <v>166.71</v>
      </c>
      <c r="C144" s="63">
        <v>5</v>
      </c>
      <c r="D144" s="63">
        <v>31.1</v>
      </c>
      <c r="E144" s="54">
        <v>0</v>
      </c>
      <c r="F144" s="54">
        <v>0.6</v>
      </c>
      <c r="G144" s="54">
        <v>0.2</v>
      </c>
      <c r="H144" s="54">
        <v>0.2</v>
      </c>
      <c r="I144" s="60">
        <f t="shared" si="5"/>
        <v>9.3940000000000001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45</v>
      </c>
      <c r="B145" s="63">
        <v>181.36</v>
      </c>
      <c r="C145" s="63">
        <v>6</v>
      </c>
      <c r="D145" s="63">
        <v>33.28</v>
      </c>
      <c r="E145" s="54">
        <v>0</v>
      </c>
      <c r="F145" s="54">
        <v>0.7</v>
      </c>
      <c r="G145" s="54">
        <v>0.1</v>
      </c>
      <c r="H145" s="54">
        <v>0.2</v>
      </c>
      <c r="I145" s="60">
        <f t="shared" si="5"/>
        <v>9.15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50</v>
      </c>
      <c r="B146" s="63">
        <v>192.4</v>
      </c>
      <c r="C146" s="63">
        <v>7</v>
      </c>
      <c r="D146" s="63">
        <v>32.43</v>
      </c>
      <c r="E146" s="54">
        <v>0</v>
      </c>
      <c r="F146" s="54">
        <v>0.7</v>
      </c>
      <c r="G146" s="54">
        <v>0.1</v>
      </c>
      <c r="H146" s="54">
        <v>0.2</v>
      </c>
      <c r="I146" s="60">
        <f t="shared" si="5"/>
        <v>8.863999999999999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>
        <v>55</v>
      </c>
      <c r="B147" s="53">
        <v>202.23</v>
      </c>
      <c r="C147" s="53">
        <v>8</v>
      </c>
      <c r="D147" s="53">
        <v>32.79</v>
      </c>
      <c r="E147" s="54">
        <v>0</v>
      </c>
      <c r="F147" s="54">
        <v>0.7</v>
      </c>
      <c r="G147" s="54">
        <v>0.1</v>
      </c>
      <c r="H147" s="54">
        <v>0.2</v>
      </c>
      <c r="I147" s="60">
        <f>IF(A147&lt;&gt;0,(B147-(B146-D146))/(A147-A146),"")</f>
        <v>8.4519999999999982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>
        <v>60</v>
      </c>
      <c r="B148" s="53">
        <v>210.4</v>
      </c>
      <c r="C148" s="53">
        <v>9</v>
      </c>
      <c r="D148" s="53">
        <v>33.94</v>
      </c>
      <c r="E148" s="54">
        <v>0</v>
      </c>
      <c r="F148" s="54">
        <v>0.8</v>
      </c>
      <c r="G148" s="54">
        <v>0.1</v>
      </c>
      <c r="H148" s="54">
        <v>0.1</v>
      </c>
      <c r="I148" s="60">
        <f t="shared" si="5"/>
        <v>8.1920000000000019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>
        <v>65</v>
      </c>
      <c r="B149" s="53">
        <v>216.89</v>
      </c>
      <c r="C149" s="53">
        <v>10</v>
      </c>
      <c r="D149" s="53">
        <v>33.369999999999997</v>
      </c>
      <c r="E149" s="54">
        <v>0</v>
      </c>
      <c r="F149" s="54">
        <v>0.8</v>
      </c>
      <c r="G149" s="54">
        <v>0.1</v>
      </c>
      <c r="H149" s="54">
        <v>0.1</v>
      </c>
      <c r="I149" s="60">
        <f t="shared" si="5"/>
        <v>8.085999999999995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>
        <v>70</v>
      </c>
      <c r="B150" s="53">
        <v>223.05</v>
      </c>
      <c r="C150" s="53">
        <v>11</v>
      </c>
      <c r="D150" s="53">
        <v>223.05</v>
      </c>
      <c r="E150" s="54">
        <v>0</v>
      </c>
      <c r="F150" s="54">
        <v>0.9</v>
      </c>
      <c r="G150" s="54">
        <v>0</v>
      </c>
      <c r="H150" s="54">
        <v>0.1</v>
      </c>
      <c r="I150" s="60">
        <f t="shared" si="5"/>
        <v>7.9060000000000059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Pin laricio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>
        <v>20</v>
      </c>
      <c r="B166" s="63">
        <v>88.78</v>
      </c>
      <c r="C166" s="63">
        <v>1</v>
      </c>
      <c r="D166" s="63">
        <v>32.85</v>
      </c>
      <c r="E166" s="54">
        <v>0</v>
      </c>
      <c r="F166" s="54">
        <v>0.6</v>
      </c>
      <c r="G166" s="54">
        <v>0.2</v>
      </c>
      <c r="H166" s="54">
        <v>0.2</v>
      </c>
      <c r="I166" s="52">
        <f>IFERROR(B166/A166,"")</f>
        <v>4.4390000000000001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>
        <v>35</v>
      </c>
      <c r="B167" s="63">
        <v>256.75</v>
      </c>
      <c r="C167" s="63">
        <v>2</v>
      </c>
      <c r="D167" s="63">
        <v>82.16</v>
      </c>
      <c r="E167" s="54">
        <v>0</v>
      </c>
      <c r="F167" s="54">
        <v>0.6</v>
      </c>
      <c r="G167" s="54">
        <v>0.2</v>
      </c>
      <c r="H167" s="54">
        <v>0.2</v>
      </c>
      <c r="I167" s="52">
        <f t="shared" ref="I167:I185" si="6">IF(A167&lt;&gt;0,(B167-(B166-D166))/(A167-A166),"")</f>
        <v>13.388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>
        <v>45</v>
      </c>
      <c r="B168" s="63">
        <v>352.47</v>
      </c>
      <c r="C168" s="63">
        <v>3</v>
      </c>
      <c r="D168" s="63">
        <v>112.79</v>
      </c>
      <c r="E168" s="54">
        <v>0</v>
      </c>
      <c r="F168" s="54">
        <v>0.8</v>
      </c>
      <c r="G168" s="54">
        <v>0.2</v>
      </c>
      <c r="H168" s="54">
        <v>0</v>
      </c>
      <c r="I168" s="52">
        <f t="shared" si="6"/>
        <v>17.788000000000004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>
        <v>55</v>
      </c>
      <c r="B169" s="63">
        <v>421.53</v>
      </c>
      <c r="C169" s="63">
        <v>4</v>
      </c>
      <c r="D169" s="63">
        <v>134.88999999999999</v>
      </c>
      <c r="E169" s="54">
        <v>0.2</v>
      </c>
      <c r="F169" s="54">
        <v>0.6</v>
      </c>
      <c r="G169" s="54">
        <v>0.2</v>
      </c>
      <c r="H169" s="54">
        <v>0</v>
      </c>
      <c r="I169" s="52">
        <f t="shared" si="6"/>
        <v>18.184999999999995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>
        <v>80</v>
      </c>
      <c r="B170" s="63">
        <v>821.05</v>
      </c>
      <c r="C170" s="63">
        <v>5</v>
      </c>
      <c r="D170" s="63">
        <v>821.05</v>
      </c>
      <c r="E170" s="54">
        <v>0.5</v>
      </c>
      <c r="F170" s="54">
        <v>0.5</v>
      </c>
      <c r="G170" s="54">
        <v>0</v>
      </c>
      <c r="H170" s="54">
        <v>0</v>
      </c>
      <c r="I170" s="52">
        <f t="shared" si="6"/>
        <v>21.3764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>Pin maritime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>
        <v>10</v>
      </c>
      <c r="B192" s="63">
        <v>24.01</v>
      </c>
      <c r="C192" s="53">
        <v>1</v>
      </c>
      <c r="D192" s="63">
        <v>8.19</v>
      </c>
      <c r="E192" s="66">
        <v>0</v>
      </c>
      <c r="F192" s="66">
        <v>0</v>
      </c>
      <c r="G192" s="66">
        <v>0.3</v>
      </c>
      <c r="H192" s="66">
        <v>0.7</v>
      </c>
      <c r="I192" s="52">
        <f>IFERROR(B192/A192,"")</f>
        <v>2.4010000000000002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>
        <v>15</v>
      </c>
      <c r="B193" s="63">
        <v>64.400000000000006</v>
      </c>
      <c r="C193" s="53">
        <v>2</v>
      </c>
      <c r="D193" s="63">
        <v>23.9</v>
      </c>
      <c r="E193" s="66">
        <v>0</v>
      </c>
      <c r="F193" s="66">
        <v>0</v>
      </c>
      <c r="G193" s="66">
        <v>0.3</v>
      </c>
      <c r="H193" s="66">
        <v>0.7</v>
      </c>
      <c r="I193" s="52">
        <f t="shared" ref="I193:I211" si="7">IF(A193&lt;&gt;0,(B193-(B192-D192))/(A193-A192),"")</f>
        <v>9.7160000000000011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>
        <v>20</v>
      </c>
      <c r="B194" s="63">
        <v>109.65</v>
      </c>
      <c r="C194" s="53">
        <v>3</v>
      </c>
      <c r="D194" s="63">
        <v>34.33</v>
      </c>
      <c r="E194" s="66">
        <v>0</v>
      </c>
      <c r="F194" s="66">
        <v>0.2</v>
      </c>
      <c r="G194" s="66">
        <v>0.3</v>
      </c>
      <c r="H194" s="66">
        <v>0.5</v>
      </c>
      <c r="I194" s="52">
        <f t="shared" si="7"/>
        <v>13.830000000000002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8">
        <v>25</v>
      </c>
      <c r="B195" s="58">
        <v>163.11000000000001</v>
      </c>
      <c r="C195" s="58">
        <v>4</v>
      </c>
      <c r="D195" s="58">
        <v>36.99</v>
      </c>
      <c r="E195" s="66">
        <v>0.1</v>
      </c>
      <c r="F195" s="66">
        <v>0.3</v>
      </c>
      <c r="G195" s="66">
        <v>0.2</v>
      </c>
      <c r="H195" s="66">
        <v>0.4</v>
      </c>
      <c r="I195" s="52">
        <f t="shared" si="7"/>
        <v>17.558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8">
        <v>30</v>
      </c>
      <c r="B196" s="58">
        <v>237.13</v>
      </c>
      <c r="C196" s="58">
        <v>5</v>
      </c>
      <c r="D196" s="58">
        <v>59.81</v>
      </c>
      <c r="E196" s="66">
        <v>0.5</v>
      </c>
      <c r="F196" s="66">
        <v>0.2</v>
      </c>
      <c r="G196" s="66">
        <v>0.1</v>
      </c>
      <c r="H196" s="66">
        <v>0.2</v>
      </c>
      <c r="I196" s="52">
        <f t="shared" si="7"/>
        <v>22.201999999999998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8">
        <v>35</v>
      </c>
      <c r="B197" s="58">
        <v>267.70999999999998</v>
      </c>
      <c r="C197" s="58">
        <v>6</v>
      </c>
      <c r="D197" s="58">
        <v>33.6</v>
      </c>
      <c r="E197" s="66">
        <v>0.6</v>
      </c>
      <c r="F197" s="66">
        <v>0.2</v>
      </c>
      <c r="G197" s="66">
        <v>0.1</v>
      </c>
      <c r="H197" s="66">
        <v>0.1</v>
      </c>
      <c r="I197" s="52">
        <f t="shared" si="7"/>
        <v>18.077999999999996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8">
        <v>55</v>
      </c>
      <c r="B198" s="58">
        <v>435.83</v>
      </c>
      <c r="C198" s="58">
        <v>7</v>
      </c>
      <c r="D198" s="58">
        <v>435.83</v>
      </c>
      <c r="E198" s="66">
        <v>0.6</v>
      </c>
      <c r="F198" s="66">
        <v>0.2</v>
      </c>
      <c r="G198" s="66">
        <v>0.1</v>
      </c>
      <c r="H198" s="66">
        <v>0.1</v>
      </c>
      <c r="I198" s="52">
        <f t="shared" si="7"/>
        <v>10.086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>Douglas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>
        <v>20</v>
      </c>
      <c r="B218" s="63">
        <v>91.77</v>
      </c>
      <c r="C218" s="63">
        <v>1</v>
      </c>
      <c r="D218" s="63">
        <v>29.92</v>
      </c>
      <c r="E218" s="54">
        <v>0</v>
      </c>
      <c r="F218" s="54">
        <v>0.8</v>
      </c>
      <c r="G218" s="54">
        <v>0.2</v>
      </c>
      <c r="H218" s="66">
        <v>0</v>
      </c>
      <c r="I218" s="56">
        <f>IFERROR(B218/A218,"")</f>
        <v>4.5884999999999998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>
        <v>25</v>
      </c>
      <c r="B219" s="63">
        <v>116.96</v>
      </c>
      <c r="C219" s="63">
        <v>2</v>
      </c>
      <c r="D219" s="63">
        <v>31.35</v>
      </c>
      <c r="E219" s="66">
        <v>0</v>
      </c>
      <c r="F219" s="66">
        <v>0.8</v>
      </c>
      <c r="G219" s="66">
        <v>0.2</v>
      </c>
      <c r="H219" s="66">
        <v>0</v>
      </c>
      <c r="I219" s="56">
        <f t="shared" ref="I219:I237" si="8">IF(A219&lt;&gt;0,(B219-(B218-D218))/(A219-A218),"")</f>
        <v>11.022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>
        <v>30</v>
      </c>
      <c r="B220" s="63">
        <v>145.78</v>
      </c>
      <c r="C220" s="63">
        <v>3</v>
      </c>
      <c r="D220" s="63">
        <v>38.479999999999997</v>
      </c>
      <c r="E220" s="66">
        <v>0</v>
      </c>
      <c r="F220" s="66">
        <v>0.8</v>
      </c>
      <c r="G220" s="66">
        <v>0.2</v>
      </c>
      <c r="H220" s="66">
        <v>0</v>
      </c>
      <c r="I220" s="56">
        <f t="shared" si="8"/>
        <v>12.034000000000002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3">
        <v>35</v>
      </c>
      <c r="B221" s="63">
        <v>169.2</v>
      </c>
      <c r="C221" s="63">
        <v>4</v>
      </c>
      <c r="D221" s="63">
        <v>43.31</v>
      </c>
      <c r="E221" s="66">
        <v>0</v>
      </c>
      <c r="F221" s="66">
        <v>0.8</v>
      </c>
      <c r="G221" s="66">
        <v>0.2</v>
      </c>
      <c r="H221" s="66">
        <v>0</v>
      </c>
      <c r="I221" s="56">
        <f t="shared" si="8"/>
        <v>12.379999999999995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3">
        <v>45</v>
      </c>
      <c r="B222" s="63">
        <v>265.58</v>
      </c>
      <c r="C222" s="63">
        <v>5</v>
      </c>
      <c r="D222" s="63">
        <v>63.74</v>
      </c>
      <c r="E222" s="66">
        <v>0.7</v>
      </c>
      <c r="F222" s="66">
        <v>0.2</v>
      </c>
      <c r="G222" s="66">
        <v>0.1</v>
      </c>
      <c r="H222" s="66">
        <v>0</v>
      </c>
      <c r="I222" s="56">
        <f t="shared" si="8"/>
        <v>13.968999999999999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3">
        <v>50</v>
      </c>
      <c r="B223" s="63">
        <v>275.58</v>
      </c>
      <c r="C223" s="63">
        <v>6</v>
      </c>
      <c r="D223" s="63">
        <v>57.6</v>
      </c>
      <c r="E223" s="66">
        <v>0.7</v>
      </c>
      <c r="F223" s="66">
        <v>0.2</v>
      </c>
      <c r="G223" s="66">
        <v>0.1</v>
      </c>
      <c r="H223" s="66">
        <v>0</v>
      </c>
      <c r="I223" s="56">
        <f t="shared" si="8"/>
        <v>14.748000000000001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3">
        <v>55</v>
      </c>
      <c r="B224" s="63">
        <v>288.12</v>
      </c>
      <c r="C224" s="63">
        <v>7</v>
      </c>
      <c r="D224" s="63">
        <v>53.01</v>
      </c>
      <c r="E224" s="66">
        <v>0.8</v>
      </c>
      <c r="F224" s="66">
        <v>0.2</v>
      </c>
      <c r="G224" s="66">
        <v>0</v>
      </c>
      <c r="H224" s="66">
        <v>0</v>
      </c>
      <c r="I224" s="56">
        <f t="shared" si="8"/>
        <v>14.028000000000002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>
        <v>60</v>
      </c>
      <c r="B225" s="58">
        <v>302.24</v>
      </c>
      <c r="C225" s="58">
        <v>8</v>
      </c>
      <c r="D225" s="58">
        <v>49.27</v>
      </c>
      <c r="E225" s="66">
        <v>0.8</v>
      </c>
      <c r="F225" s="66">
        <v>0.2</v>
      </c>
      <c r="G225" s="66">
        <v>0</v>
      </c>
      <c r="H225" s="66">
        <v>0</v>
      </c>
      <c r="I225" s="56">
        <f t="shared" si="8"/>
        <v>13.425999999999998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>
        <v>65</v>
      </c>
      <c r="B226" s="58">
        <v>317.43</v>
      </c>
      <c r="C226" s="58">
        <v>9</v>
      </c>
      <c r="D226" s="58">
        <v>45.71</v>
      </c>
      <c r="E226" s="66">
        <v>0.8</v>
      </c>
      <c r="F226" s="66">
        <v>0.2</v>
      </c>
      <c r="G226" s="66">
        <v>0</v>
      </c>
      <c r="H226" s="66">
        <v>0</v>
      </c>
      <c r="I226" s="56">
        <f t="shared" si="8"/>
        <v>12.892000000000001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>
        <v>75</v>
      </c>
      <c r="B227" s="58">
        <v>402.05</v>
      </c>
      <c r="C227" s="58">
        <v>10</v>
      </c>
      <c r="D227" s="58">
        <v>54.28</v>
      </c>
      <c r="E227" s="66">
        <v>0.8</v>
      </c>
      <c r="F227" s="66">
        <v>0.2</v>
      </c>
      <c r="G227" s="66">
        <v>0</v>
      </c>
      <c r="H227" s="66">
        <v>0</v>
      </c>
      <c r="I227" s="56">
        <f t="shared" si="8"/>
        <v>13.032999999999998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>
        <v>80</v>
      </c>
      <c r="B228" s="58">
        <v>411.78</v>
      </c>
      <c r="C228" s="58">
        <v>11</v>
      </c>
      <c r="D228" s="58">
        <v>411.78</v>
      </c>
      <c r="E228" s="66">
        <v>0.8</v>
      </c>
      <c r="F228" s="66">
        <v>0.2</v>
      </c>
      <c r="G228" s="66">
        <v>0</v>
      </c>
      <c r="H228" s="66">
        <v>0</v>
      </c>
      <c r="I228" s="56">
        <f t="shared" si="8"/>
        <v>12.801999999999998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>Séquoia toujours vert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>
        <v>15</v>
      </c>
      <c r="B244" s="63">
        <v>264.86</v>
      </c>
      <c r="C244" s="53">
        <v>1</v>
      </c>
      <c r="D244" s="63">
        <v>86.35</v>
      </c>
      <c r="E244" s="54">
        <v>0</v>
      </c>
      <c r="F244" s="54">
        <v>0.8</v>
      </c>
      <c r="G244" s="54">
        <v>0.2</v>
      </c>
      <c r="H244" s="54">
        <v>0</v>
      </c>
      <c r="I244" s="56">
        <f>IFERROR(B244/A244,"")</f>
        <v>17.657333333333334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>
        <v>20</v>
      </c>
      <c r="B245" s="63">
        <v>353.23</v>
      </c>
      <c r="C245" s="53">
        <v>2</v>
      </c>
      <c r="D245" s="63">
        <v>128.22</v>
      </c>
      <c r="E245" s="54">
        <v>0</v>
      </c>
      <c r="F245" s="54">
        <v>0.8</v>
      </c>
      <c r="G245" s="54">
        <v>0.2</v>
      </c>
      <c r="H245" s="54">
        <v>0</v>
      </c>
      <c r="I245" s="56">
        <f>IF(A245&lt;&gt;0,(B245-(B244-D244))/(A245-A244),"")</f>
        <v>34.944000000000003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>
        <v>30</v>
      </c>
      <c r="B246" s="63">
        <v>507.16</v>
      </c>
      <c r="C246" s="53">
        <v>3</v>
      </c>
      <c r="D246" s="63">
        <v>152.65</v>
      </c>
      <c r="E246" s="54">
        <v>0</v>
      </c>
      <c r="F246" s="54">
        <v>0.8</v>
      </c>
      <c r="G246" s="54">
        <v>0.2</v>
      </c>
      <c r="H246" s="54">
        <v>0</v>
      </c>
      <c r="I246" s="56">
        <f>IF(A246&lt;&gt;0,(B246-(B245-D245))/(A246-A245),"")</f>
        <v>28.214999999999996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>
        <v>35</v>
      </c>
      <c r="B247" s="63">
        <v>467.7</v>
      </c>
      <c r="C247" s="53">
        <v>4</v>
      </c>
      <c r="D247" s="63">
        <v>131.41999999999999</v>
      </c>
      <c r="E247" s="54">
        <v>0</v>
      </c>
      <c r="F247" s="54">
        <v>0.8</v>
      </c>
      <c r="G247" s="54">
        <v>0.2</v>
      </c>
      <c r="H247" s="54">
        <v>0</v>
      </c>
      <c r="I247" s="56">
        <f t="shared" ref="I247:I263" si="9">IF(A247&lt;&gt;0,(B247-(B246-D246))/(A247-A246),"")</f>
        <v>22.637999999999998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>
        <v>40</v>
      </c>
      <c r="B248" s="63">
        <v>422.47</v>
      </c>
      <c r="C248" s="53">
        <v>5</v>
      </c>
      <c r="D248" s="63">
        <v>109.42</v>
      </c>
      <c r="E248" s="54">
        <v>0</v>
      </c>
      <c r="F248" s="54">
        <v>0.8</v>
      </c>
      <c r="G248" s="54">
        <v>0.2</v>
      </c>
      <c r="H248" s="54">
        <v>0</v>
      </c>
      <c r="I248" s="56">
        <f t="shared" si="9"/>
        <v>17.23800000000001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>
        <v>45</v>
      </c>
      <c r="B249" s="63">
        <v>379.51</v>
      </c>
      <c r="C249" s="53">
        <v>6</v>
      </c>
      <c r="D249" s="63">
        <v>81.59</v>
      </c>
      <c r="E249" s="66">
        <v>0.7</v>
      </c>
      <c r="F249" s="66">
        <v>0.2</v>
      </c>
      <c r="G249" s="66">
        <v>0.1</v>
      </c>
      <c r="H249" s="54">
        <v>0</v>
      </c>
      <c r="I249" s="56">
        <f t="shared" si="9"/>
        <v>13.291999999999996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>
        <v>50</v>
      </c>
      <c r="B250" s="63">
        <v>351.45</v>
      </c>
      <c r="C250" s="53">
        <v>7</v>
      </c>
      <c r="D250" s="63">
        <v>66.42</v>
      </c>
      <c r="E250" s="66">
        <v>0.7</v>
      </c>
      <c r="F250" s="66">
        <v>0.2</v>
      </c>
      <c r="G250" s="66">
        <v>0.1</v>
      </c>
      <c r="H250" s="54">
        <v>0</v>
      </c>
      <c r="I250" s="56">
        <f t="shared" si="9"/>
        <v>10.706000000000007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>
        <v>55</v>
      </c>
      <c r="B251" s="58">
        <v>329.07</v>
      </c>
      <c r="C251" s="58">
        <v>8</v>
      </c>
      <c r="D251" s="58">
        <v>53.64</v>
      </c>
      <c r="E251" s="66">
        <v>0.8</v>
      </c>
      <c r="F251" s="66">
        <v>0.2</v>
      </c>
      <c r="G251" s="66">
        <v>0</v>
      </c>
      <c r="H251" s="54">
        <v>0</v>
      </c>
      <c r="I251" s="56">
        <f t="shared" si="9"/>
        <v>8.8080000000000034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>
        <v>65</v>
      </c>
      <c r="B252" s="58">
        <v>349.31</v>
      </c>
      <c r="C252" s="58">
        <v>9</v>
      </c>
      <c r="D252" s="58">
        <v>52.75</v>
      </c>
      <c r="E252" s="66">
        <v>0.8</v>
      </c>
      <c r="F252" s="66">
        <v>0.2</v>
      </c>
      <c r="G252" s="66">
        <v>0</v>
      </c>
      <c r="H252" s="54">
        <v>0</v>
      </c>
      <c r="I252" s="56">
        <f t="shared" si="9"/>
        <v>7.3879999999999999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>
        <v>70</v>
      </c>
      <c r="B253" s="58">
        <v>327.45</v>
      </c>
      <c r="C253" s="58">
        <v>10</v>
      </c>
      <c r="D253" s="58">
        <v>43.55</v>
      </c>
      <c r="E253" s="66">
        <v>0.8</v>
      </c>
      <c r="F253" s="66">
        <v>0.2</v>
      </c>
      <c r="G253" s="66">
        <v>0</v>
      </c>
      <c r="H253" s="54">
        <v>0</v>
      </c>
      <c r="I253" s="56">
        <f t="shared" si="9"/>
        <v>6.1779999999999973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>
        <v>75</v>
      </c>
      <c r="B254" s="58">
        <v>310.13</v>
      </c>
      <c r="C254" s="58">
        <v>11</v>
      </c>
      <c r="D254" s="58">
        <v>38.15</v>
      </c>
      <c r="E254" s="66">
        <v>0.8</v>
      </c>
      <c r="F254" s="66">
        <v>0.2</v>
      </c>
      <c r="G254" s="66">
        <v>0</v>
      </c>
      <c r="H254" s="54">
        <v>0</v>
      </c>
      <c r="I254" s="56">
        <f t="shared" si="9"/>
        <v>5.246000000000004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>
        <v>80</v>
      </c>
      <c r="B255" s="58">
        <v>294.32</v>
      </c>
      <c r="C255" s="58">
        <v>12</v>
      </c>
      <c r="D255" s="58">
        <v>294.32</v>
      </c>
      <c r="E255" s="66">
        <v>0.8</v>
      </c>
      <c r="F255" s="66">
        <v>0.2</v>
      </c>
      <c r="G255" s="66">
        <v>0</v>
      </c>
      <c r="H255" s="54">
        <v>0</v>
      </c>
      <c r="I255" s="56">
        <f t="shared" si="9"/>
        <v>4.4679999999999946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>Chêne pubescent</v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>
        <v>30</v>
      </c>
      <c r="B270" s="63">
        <v>37.43</v>
      </c>
      <c r="C270" s="53">
        <v>1</v>
      </c>
      <c r="D270" s="63">
        <v>6.12</v>
      </c>
      <c r="E270" s="54"/>
      <c r="F270" s="54"/>
      <c r="G270" s="54"/>
      <c r="H270" s="54"/>
      <c r="I270" s="56">
        <f>IFERROR(B270/A270,"")</f>
        <v>1.2476666666666667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>
        <v>35</v>
      </c>
      <c r="B271" s="63">
        <v>46.37</v>
      </c>
      <c r="C271" s="53">
        <v>2</v>
      </c>
      <c r="D271" s="63">
        <v>8.06</v>
      </c>
      <c r="E271" s="54"/>
      <c r="F271" s="54"/>
      <c r="G271" s="54"/>
      <c r="H271" s="54"/>
      <c r="I271" s="56">
        <f>IF(A271&lt;&gt;0,(B271-(B270-D270))/(A271-A270),"")</f>
        <v>3.0119999999999996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>
        <v>40</v>
      </c>
      <c r="B272" s="63">
        <v>53.07</v>
      </c>
      <c r="C272" s="53">
        <v>3</v>
      </c>
      <c r="D272" s="63">
        <v>11.17</v>
      </c>
      <c r="E272" s="54"/>
      <c r="F272" s="54"/>
      <c r="G272" s="54"/>
      <c r="H272" s="54"/>
      <c r="I272" s="56">
        <f t="shared" ref="I272:I289" si="10">IF(A272&lt;&gt;0,(B272-(B271-D271))/(A272-A271),"")</f>
        <v>2.9520000000000008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>
        <v>45</v>
      </c>
      <c r="B273" s="63">
        <v>56.31</v>
      </c>
      <c r="C273" s="53">
        <v>4</v>
      </c>
      <c r="D273" s="63">
        <v>15.02</v>
      </c>
      <c r="E273" s="54"/>
      <c r="F273" s="54"/>
      <c r="G273" s="54"/>
      <c r="H273" s="54"/>
      <c r="I273" s="56">
        <f t="shared" si="10"/>
        <v>2.8820000000000006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>
        <v>55</v>
      </c>
      <c r="B274" s="63">
        <v>70.25</v>
      </c>
      <c r="C274" s="53">
        <v>5</v>
      </c>
      <c r="D274" s="63">
        <v>11.5</v>
      </c>
      <c r="E274" s="54"/>
      <c r="F274" s="54"/>
      <c r="G274" s="54"/>
      <c r="H274" s="54"/>
      <c r="I274" s="56">
        <f t="shared" si="10"/>
        <v>2.8959999999999995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>
        <v>60</v>
      </c>
      <c r="B275" s="63">
        <v>73.62</v>
      </c>
      <c r="C275" s="53">
        <v>6</v>
      </c>
      <c r="D275" s="63">
        <v>10</v>
      </c>
      <c r="E275" s="66"/>
      <c r="F275" s="66"/>
      <c r="G275" s="66"/>
      <c r="H275" s="54"/>
      <c r="I275" s="56">
        <f t="shared" si="10"/>
        <v>2.9740000000000011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>
        <v>65</v>
      </c>
      <c r="B276" s="63">
        <v>78.11</v>
      </c>
      <c r="C276" s="53">
        <v>7</v>
      </c>
      <c r="D276" s="63">
        <v>10.32</v>
      </c>
      <c r="E276" s="66"/>
      <c r="F276" s="66"/>
      <c r="G276" s="66"/>
      <c r="H276" s="54"/>
      <c r="I276" s="56">
        <f t="shared" si="10"/>
        <v>2.8979999999999988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>
        <v>70</v>
      </c>
      <c r="B277" s="58">
        <v>81.84</v>
      </c>
      <c r="C277" s="58">
        <v>8</v>
      </c>
      <c r="D277" s="58">
        <v>8.9</v>
      </c>
      <c r="E277" s="66"/>
      <c r="F277" s="66"/>
      <c r="G277" s="66"/>
      <c r="H277" s="54"/>
      <c r="I277" s="56">
        <f t="shared" si="10"/>
        <v>2.8100000000000023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>
        <v>75</v>
      </c>
      <c r="B278" s="58">
        <v>86.8</v>
      </c>
      <c r="C278" s="58">
        <v>9</v>
      </c>
      <c r="D278" s="58">
        <v>8.4700000000000006</v>
      </c>
      <c r="E278" s="66"/>
      <c r="F278" s="66"/>
      <c r="G278" s="66"/>
      <c r="H278" s="54"/>
      <c r="I278" s="56">
        <f t="shared" si="10"/>
        <v>2.7719999999999998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>
        <v>85</v>
      </c>
      <c r="B279" s="58">
        <v>107.04</v>
      </c>
      <c r="C279" s="58">
        <v>10</v>
      </c>
      <c r="D279" s="58">
        <v>10.61</v>
      </c>
      <c r="E279" s="66"/>
      <c r="F279" s="66"/>
      <c r="G279" s="66"/>
      <c r="H279" s="54"/>
      <c r="I279" s="56">
        <f t="shared" si="10"/>
        <v>2.8710000000000009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>
        <v>90</v>
      </c>
      <c r="B280" s="58">
        <v>111.08</v>
      </c>
      <c r="C280" s="58">
        <v>11</v>
      </c>
      <c r="D280" s="58">
        <v>12.22</v>
      </c>
      <c r="E280" s="66"/>
      <c r="F280" s="66"/>
      <c r="G280" s="66"/>
      <c r="H280" s="54"/>
      <c r="I280" s="56">
        <f t="shared" si="10"/>
        <v>2.9299999999999984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>
        <v>100</v>
      </c>
      <c r="B281" s="58">
        <v>128.07</v>
      </c>
      <c r="C281" s="58">
        <v>12</v>
      </c>
      <c r="D281" s="58">
        <v>15.11</v>
      </c>
      <c r="E281" s="66"/>
      <c r="F281" s="66"/>
      <c r="G281" s="66"/>
      <c r="H281" s="54"/>
      <c r="I281" s="56">
        <f t="shared" si="10"/>
        <v>2.9209999999999994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>
        <v>105</v>
      </c>
      <c r="B282" s="58">
        <v>127.24</v>
      </c>
      <c r="C282" s="58">
        <v>13</v>
      </c>
      <c r="D282" s="58">
        <v>17.02</v>
      </c>
      <c r="E282" s="67"/>
      <c r="F282" s="67"/>
      <c r="G282" s="67"/>
      <c r="H282" s="67"/>
      <c r="I282" s="56">
        <f t="shared" si="10"/>
        <v>2.8560000000000003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>
        <v>120</v>
      </c>
      <c r="B283" s="63">
        <v>152.35</v>
      </c>
      <c r="C283" s="94">
        <v>14</v>
      </c>
      <c r="D283" s="63">
        <v>152.35</v>
      </c>
      <c r="E283" s="57"/>
      <c r="F283" s="57"/>
      <c r="G283" s="57"/>
      <c r="H283" s="57"/>
      <c r="I283" s="56">
        <f t="shared" si="10"/>
        <v>2.8086666666666664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Alisier torminal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Charme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vert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Merisier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Pin laricio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Pin maritime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Douglas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Séquoia toujours vert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>Chêne pubescent</v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84.959354125980269</v>
      </c>
      <c r="T3" s="62">
        <f>IF('Données projet'!E9&gt;30,$R$33-$H$33,LOOKUP('Données projet'!$E$9,$A$3:$A$203,R3:R203)-LOOKUP('Données projet'!$E$9,$A$3:$A$203,$H$3:$H$203))</f>
        <v>89.658970210276806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592.76231355549089</v>
      </c>
      <c r="AO3" s="62">
        <f>IF('Données projet'!E10&gt;30,$AM$33-$H$33,LOOKUP('Données projet'!$E$10,$A$3:$A$203,AM3:AM203)-LOOKUP('Données projet'!$E$10,$A$3:$A$203,$H$3:$H$203))</f>
        <v>200.66895551079014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316.71836722354374</v>
      </c>
      <c r="BJ3" s="62">
        <f>IF('Données projet'!E11&gt;30,$BH$33-$H$33,LOOKUP('Données projet'!$E$11,$A$3:$A$203,BH3:BH203)-LOOKUP('Données projet'!$E$11,$A$3:$A$203,$H$3:$H$203))</f>
        <v>164.34067012996618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454.9779384236806</v>
      </c>
      <c r="CE3" s="62">
        <f>IF('Données projet'!E12&gt;30,$CC$33-$H$33,LOOKUP('Données projet'!$E$12,$A$3:$A$203,CC3:CC203)-LOOKUP('Données projet'!$E$12,$A$3:$A$203,$H$3:$H$203))</f>
        <v>379.32753348721906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252.10592533338991</v>
      </c>
      <c r="CZ3" s="62">
        <f>IF('Données projet'!E13&gt;30,$CX$33-$H$33,LOOKUP('Données projet'!$E$13,$A$3:$A$203,CX3:CX203)-LOOKUP('Données projet'!$E$13,$A$3:$A$203,$H$3:$H$203))</f>
        <v>272.71831345325313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423.0896575168394</v>
      </c>
      <c r="DU3" s="62">
        <f>IF('Données projet'!E14&gt;30,$DS$33-$H$33,LOOKUP('Données projet'!$E$14,$A$3:$A$203,DS3:DS203)-LOOKUP('Données projet'!$E$14,$A$3:$A$203,$H$3:$H$203))</f>
        <v>305.98537395014284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281.21543175875604</v>
      </c>
      <c r="EP3" s="62">
        <f>IF('Données projet'!E15&gt;30,$EN$33-$H$33,LOOKUP('Données projet'!$E$15,$A$3:$A$203,EN3:EN203)-LOOKUP('Données projet'!$E$15,$A$3:$A$203,$H$3:$H$203))</f>
        <v>366.68536296857428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280.9225643428145</v>
      </c>
      <c r="FK3" s="62">
        <f>IF('Données projet'!E16&gt;30,$FI$33-$H$33,LOOKUP('Données projet'!$E$16,$A$3:$A$203,FI3:FI203)-LOOKUP('Données projet'!$E$16,$A$3:$A$203,$H$3:$H$203))</f>
        <v>236.89414218053955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165</v>
      </c>
      <c r="GE3" s="62">
        <f ca="1">AVERAGE(OFFSET($GD$3,0,0,'Données projet'!$E$17+1,1))-AVERAGE(OFFSET($H$3,0,0,'Données projet'!$E$17+1,1))</f>
        <v>325.67421864225201</v>
      </c>
      <c r="GF3" s="62">
        <f>IF('Données projet'!E17&gt;30,$GD$33-$H$33,LOOKUP('Données projet'!$E$17,$A$3:$A$203,GD3:GD203)-LOOKUP('Données projet'!$E$17,$A$3:$A$203,$H$3:$H$203))</f>
        <v>542.01920418736745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165</v>
      </c>
      <c r="GZ3" s="62">
        <f ca="1">AVERAGE(OFFSET($GY$3,0,0,'Données projet'!$E$18+1,1))-AVERAGE(OFFSET($H$3,0,0,'Données projet'!$E$18+1,1))</f>
        <v>220.89224520315713</v>
      </c>
      <c r="HA3" s="62">
        <f>IF('Données projet'!E18&gt;30,$GY$33-$H$33,LOOKUP('Données projet'!$E$18,$A$3:$A$203,GY3:GY203)-LOOKUP('Données projet'!$E$18,$A$3:$A$203,$H$3:$H$203))</f>
        <v>141.82763623159096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1.2492000000000001</v>
      </c>
      <c r="N4" s="14">
        <f>IF('Données projet'!$A$36&gt;35,N3+M4-V3,IF(A4&lt;'Données projet'!$A$36,$K$205^A4,IF(A4='Données projet'!$A$36,'Données projet'!$B$36,N3+M4-V3)))</f>
        <v>1.1475797584961047</v>
      </c>
      <c r="O4" s="14">
        <f>N4*VLOOKUP('Données projet'!$B$9,Paramètres!$A$1:$I$89,3,0)*VLOOKUP('Données projet'!$B$9,Paramètres!$A$1:$I$89,5,0)</f>
        <v>1.1099391424174325</v>
      </c>
      <c r="P4" s="14">
        <f>EXP(-1.0587+0.8836*LN(O4)+0.284)</f>
        <v>0.50533387142850072</v>
      </c>
      <c r="Q4" s="22">
        <f t="shared" ref="Q4:Q34" si="2">(O4+P4)*0.475*44/12</f>
        <v>2.8132671657816672</v>
      </c>
      <c r="R4" s="62">
        <f t="shared" si="0"/>
        <v>170.62570111870551</v>
      </c>
      <c r="S4" s="62">
        <f ca="1">AVERAGE(OFFSET($R$3,0,0,'Données projet'!$E$9+1,1))-AVERAGE(OFFSET($H$3,0,0,'Données projet'!$E$9+1,1))</f>
        <v>84.959354125980269</v>
      </c>
      <c r="T4" s="62">
        <f>$T$3</f>
        <v>89.658970210276806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3.1414999999999997</v>
      </c>
      <c r="AI4" s="14">
        <f>IF('Données projet'!$A$62&gt;35,AI3+AH4-AQ3,IF(A4&lt;'Données projet'!$A$62,$AF$205^A4,IF(A4='Données projet'!$A$62,'Données projet'!$B$62,AI3+AH4-AQ3)))</f>
        <v>1.2300091806760545</v>
      </c>
      <c r="AJ4" s="14">
        <f>AI4*VLOOKUP('Données projet'!$B$10,Paramètres!$A$1:$I$89,3,0)*VLOOKUP('Données projet'!$B$10,Paramètres!$A$1:$I$89,5,0)</f>
        <v>1.1704767363313335</v>
      </c>
      <c r="AK4" s="14">
        <f>EXP(-1.0587+0.8836*LN(AJ4)+0.284)</f>
        <v>0.52961151959926245</v>
      </c>
      <c r="AL4" s="22">
        <f t="shared" ref="AL4:AL67" si="4">(AJ4+AK4)*0.475*44/12</f>
        <v>2.9609870457457874</v>
      </c>
      <c r="AM4" s="62">
        <f t="shared" ref="AM4:AM67" si="5">AL4+(AD4+AE4)*44/12</f>
        <v>170.77342099866962</v>
      </c>
      <c r="AN4" s="62">
        <f ca="1">AVERAGE(OFFSET($AM$3,0,0,'Données projet'!$E$10+1,1))-AVERAGE(OFFSET($H$3,0,0,'Données projet'!$E$10+1,1))</f>
        <v>592.76231355549089</v>
      </c>
      <c r="AO4" s="62">
        <f>$AO$3</f>
        <v>200.66895551079014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1.7753333333333332</v>
      </c>
      <c r="BD4" s="13">
        <f>IF('Données projet'!$A$88&gt;35,BD3+BC4-BL3,IF(A4&lt;'Données projet'!$A$88,$BA$205^A4,IF(A4='Données projet'!$A$88,'Données projet'!$B$88,BD3+BC4-BL3)))</f>
        <v>1.1416860785521039</v>
      </c>
      <c r="BE4" s="14">
        <f>BD4*VLOOKUP('Données projet'!$B$11,Paramètres!$A$1:$I$89,3,0)*VLOOKUP('Données projet'!$B$11,Paramètres!$A$1:$I$89,5,0)</f>
        <v>1.0329975638739437</v>
      </c>
      <c r="BF4" s="14">
        <f>EXP(-1.0587+0.8836*LN(BE4)+0.284)</f>
        <v>0.47425312796144059</v>
      </c>
      <c r="BG4" s="22">
        <f t="shared" ref="BG4:BG67" si="7">(BE4+BF4)*0.475*44/12</f>
        <v>2.6251282882799609</v>
      </c>
      <c r="BH4" s="62">
        <f t="shared" ref="BH4:BH67" si="8">BG4+(AY4+AZ4)*44/12</f>
        <v>170.43756224120381</v>
      </c>
      <c r="BI4" s="62">
        <f ca="1">AVERAGE(OFFSET($BH$3,0,0,'Données projet'!$E$11+1,1))-AVERAGE(OFFSET($H$3,0,0,'Données projet'!$E$11+1,1))</f>
        <v>316.71836722354374</v>
      </c>
      <c r="BJ4" s="62">
        <f>$BJ$3</f>
        <v>164.34067012996618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2.7920000000000003</v>
      </c>
      <c r="BY4" s="13">
        <f>IF('Données projet'!$A$114&gt;35,BY3+BX4-CG3,IF(A4&lt;'Données projet'!$A$114,$BV$205^A4,IF(A4='Données projet'!$A$114,'Données projet'!$B$114,BY3+BX4-CG3)))</f>
        <v>1.2827256470858759</v>
      </c>
      <c r="BZ4" s="14">
        <f>BY4*VLOOKUP('Données projet'!$B$12,Paramètres!$A$1:$I$89,3,0)*VLOOKUP('Données projet'!$B$12,Paramètres!$A$1:$I$89,5,0)</f>
        <v>1.4607679669013955</v>
      </c>
      <c r="CA4" s="14">
        <f>EXP(-1.0587+0.8836*LN(BZ4)+0.284)</f>
        <v>0.64413373601622126</v>
      </c>
      <c r="CB4" s="22">
        <f t="shared" ref="CB4:CB67" si="10">(BZ4+CA4)*0.475*44/12</f>
        <v>3.6660371325815162</v>
      </c>
      <c r="CC4" s="62">
        <f t="shared" ref="CC4:CC67" si="11">CB4+(BT4+BU4)*44/12</f>
        <v>171.47847108550536</v>
      </c>
      <c r="CD4" s="62">
        <f ca="1">AVERAGE(OFFSET($CC$3,0,0,'Données projet'!$E$12+1,1))-AVERAGE(OFFSET($H$3,0,0,'Données projet'!$E$12+1,1))</f>
        <v>454.9779384236806</v>
      </c>
      <c r="CE4" s="62">
        <f>$CE$3</f>
        <v>379.32753348721906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4.2880000000000003</v>
      </c>
      <c r="CT4" s="13">
        <f>IF('Données projet'!$A$140&gt;35,CT3+CS4-DB3,IF(A4&lt;'Données projet'!$A$140,$CQ$205^A4,IF(A4='Données projet'!$A$140,'Données projet'!$B$140,CT3+CS4-DB3)))</f>
        <v>1.2492928045655316</v>
      </c>
      <c r="CU4" s="18">
        <f>CT4*VLOOKUP('Données projet'!$B$13,Paramètres!$A$1:$I$89,3,0)*VLOOKUP('Données projet'!$B$13,Paramètres!$A$1:$I$89,5,0)</f>
        <v>0.97444838756111463</v>
      </c>
      <c r="CV4" s="14">
        <f>EXP(-1.0587+0.8836*LN(CU4)+0.284)</f>
        <v>0.45042177432531022</v>
      </c>
      <c r="CW4" s="22">
        <f t="shared" ref="CW4:CW67" si="13">(CU4+CV4)*0.475*44/12</f>
        <v>2.4816488652855231</v>
      </c>
      <c r="CX4" s="62">
        <f t="shared" ref="CX4:CX67" si="14">CW4+(CO4+CP4)*44/12</f>
        <v>170.29408281820938</v>
      </c>
      <c r="CY4" s="62">
        <f ca="1">AVERAGE(OFFSET($CX$3,0,0,'Données projet'!$E$13+1,1))-AVERAGE(OFFSET($H$3,0,0,'Données projet'!$E$13+1,1))</f>
        <v>252.10592533338991</v>
      </c>
      <c r="CZ4" s="62">
        <f>$CZ$3</f>
        <v>272.71831345325313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4.4390000000000001</v>
      </c>
      <c r="DO4" s="13">
        <f>IF('Données projet'!$A$166&gt;35,DO3+DN4-DW3,IF(A4&lt;'Données projet'!$A$166,$DL$205^A4,IF(A4='Données projet'!$A$166,'Données projet'!$B$166,DO3+DN4-DW3)))</f>
        <v>1.251456496214016</v>
      </c>
      <c r="DP4" s="18">
        <f>DO4*VLOOKUP('Données projet'!$B$14,Paramètres!$A$1:$I$89,3,0)*VLOOKUP('Données projet'!$B$14,Paramètres!$A$1:$I$89,5,0)</f>
        <v>0.74837098473598163</v>
      </c>
      <c r="DQ4" s="14">
        <f>EXP(-1.0587+0.8836*LN(DP4)+0.284)</f>
        <v>0.35671534660754639</v>
      </c>
      <c r="DR4" s="22">
        <f t="shared" ref="DR4:DR67" si="16">(DP4+DQ4)*0.475*44/12</f>
        <v>1.9246920270899779</v>
      </c>
      <c r="DS4" s="62">
        <f t="shared" ref="DS4:DS67" si="17">DR4+(DJ4+DK4)*44/12</f>
        <v>169.73712598001381</v>
      </c>
      <c r="DT4" s="62">
        <f ca="1">AVERAGE(OFFSET($DS$3,0,0,'Données projet'!$E$14+1,1))-AVERAGE(OFFSET($H$3,0,0,'Données projet'!$E$14+1,1))</f>
        <v>423.0896575168394</v>
      </c>
      <c r="DU4" s="62">
        <f>$DU$3</f>
        <v>305.98537395014284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2.4010000000000002</v>
      </c>
      <c r="EJ4" s="13">
        <f>IF('Données projet'!$A$192&gt;35,EJ3+EI4-ER3,IF(A4&lt;'Données projet'!$A$192,$EG$205^A4,IF(A4='Données projet'!$A$192,'Données projet'!$B$192,EJ3+EI4-ER3)))</f>
        <v>1.3741660541180074</v>
      </c>
      <c r="EK4" s="18">
        <f>EJ4*VLOOKUP('Données projet'!$B$15,Paramètres!$A$1:$I$89,3,0)*VLOOKUP('Données projet'!$B$15,Paramètres!$A$1:$I$89,5,0)</f>
        <v>0.82175130036256849</v>
      </c>
      <c r="EL4" s="14">
        <f>EXP(-1.0587+0.8836*LN(EK4)+0.284)</f>
        <v>0.38745090737120247</v>
      </c>
      <c r="EM4" s="22">
        <f t="shared" ref="EM4:EM67" si="19">(EK4+EL4)*0.475*44/12</f>
        <v>2.1060271784696512</v>
      </c>
      <c r="EN4" s="62">
        <f t="shared" ref="EN4:EN67" si="20">EM4+(EE4+EF4)*44/12</f>
        <v>169.91846113139349</v>
      </c>
      <c r="EO4" s="62">
        <f ca="1">AVERAGE(OFFSET($EN$3,0,0,'Données projet'!$E$15+1,1))-AVERAGE(OFFSET($H$3,0,0,'Données projet'!$E$15+1,1))</f>
        <v>281.21543175875604</v>
      </c>
      <c r="EP4" s="62">
        <f>$EP$3</f>
        <v>366.68536296857428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4.5884999999999998</v>
      </c>
      <c r="FE4" s="13">
        <f>IF('Données projet'!$A$218&gt;35,FE3+FD4-FM3,IF(A4&lt;'Données projet'!$A$218,$FB$205^A4,IF(A4='Données projet'!$A$218,'Données projet'!$B$218,FE3+FD4-FM3)))</f>
        <v>1.2535308787550352</v>
      </c>
      <c r="FF4" s="18">
        <f>FE4*VLOOKUP('Données projet'!$B$16,Paramètres!$A$1:$I$89,3,0)*VLOOKUP('Données projet'!$B$16,Paramètres!$A$1:$I$89,5,0)</f>
        <v>0.70072376122406477</v>
      </c>
      <c r="FG4" s="14">
        <f>EXP(-1.0587+0.8836*LN(FF4)+0.284)</f>
        <v>0.33657143674277468</v>
      </c>
      <c r="FH4" s="22">
        <f t="shared" ref="FH4:FH67" si="22">(FF4+FG4)*0.475*44/12</f>
        <v>1.8066224697922453</v>
      </c>
      <c r="FI4" s="62">
        <f t="shared" ref="FI4:FI67" si="23">FH4+(EZ4+FA4)*44/12</f>
        <v>169.61905642271608</v>
      </c>
      <c r="FJ4" s="62">
        <f ca="1">AVERAGE(OFFSET($FI$3,0,0,'Données projet'!$E$16+1,1))-AVERAGE(OFFSET($H$3,0,0,'Données projet'!$E$16+1,1))</f>
        <v>280.9225643428145</v>
      </c>
      <c r="FK4" s="62">
        <f>$FK$3</f>
        <v>236.89414218053955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17.657333333333334</v>
      </c>
      <c r="FZ4" s="13">
        <f>IF('Données projet'!$A$244&gt;35,FZ3+FY4-GH3,IF(A4&lt;'Données projet'!$A$244,$FW$205^A4,IF(A4='Données projet'!$A$244,'Données projet'!$B$244,FZ3+FY4-GH3)))</f>
        <v>1.4505557501500841</v>
      </c>
      <c r="GA4" s="18">
        <f>FZ4*VLOOKUP('Données projet'!$B$17,Paramètres!$A$1:$I$89,3,0)*VLOOKUP('Données projet'!$B$17,Paramètres!$A$1:$I$89,5,0)</f>
        <v>0.64114564156633724</v>
      </c>
      <c r="GB4" s="14">
        <f>EXP(-1.0587+0.8836*LN(GA4)+0.284)</f>
        <v>0.31115658757729969</v>
      </c>
      <c r="GC4" s="22">
        <f t="shared" ref="GC4:GC67" si="25">(GA4+GB4)*0.475*44/12</f>
        <v>1.6585930490918344</v>
      </c>
      <c r="GD4" s="62">
        <f t="shared" ref="GD4:GD67" si="26">GC4+(FU4+FV4)*44/12</f>
        <v>169.47102700201566</v>
      </c>
      <c r="GE4" s="62">
        <f ca="1">AVERAGE(OFFSET($GD$3,0,0,'Données projet'!$E$17+1,1))-AVERAGE(OFFSET($H$3,0,0,'Données projet'!$E$17+1,1))</f>
        <v>325.67421864225201</v>
      </c>
      <c r="GF4" s="62">
        <f>$GF$3</f>
        <v>542.01920418736745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1.2476666666666667</v>
      </c>
      <c r="GU4" s="13">
        <f>IF('Données projet'!$A$270&gt;35,GU3+GT4-HC3,IF(A4&lt;'Données projet'!$A$270,$GR$205^A4,IF(A4='Données projet'!$A$270,'Données projet'!$B$270,GU3+GT4-HC3)))</f>
        <v>1.1283417579163944</v>
      </c>
      <c r="GV4" s="18">
        <f>GU4*VLOOKUP('Données projet'!$B$18,Paramètres!$A$1:$I$89,3,0)*VLOOKUP('Données projet'!$B$18,Paramètres!$A$1:$I$89,5,0)</f>
        <v>1.1441385425272239</v>
      </c>
      <c r="GW4" s="14">
        <f>EXP(-1.0587+0.8836*LN(GV4)+0.284)</f>
        <v>0.51906741910630894</v>
      </c>
      <c r="GX4" s="22">
        <f t="shared" ref="GX4:GX67" si="28">(GV4+GW4)*0.475*44/12</f>
        <v>2.8967503831784032</v>
      </c>
      <c r="GY4" s="62">
        <f t="shared" ref="GY4:GY67" si="29">GX4+(GP4+GQ4)*44/12</f>
        <v>170.70918433610225</v>
      </c>
      <c r="GZ4" s="62">
        <f ca="1">AVERAGE(OFFSET($GY$3,0,0,'Données projet'!$E$18+1,1))-AVERAGE(OFFSET($H$3,0,0,'Données projet'!$E$18+1,1))</f>
        <v>220.89224520315713</v>
      </c>
      <c r="HA4" s="62">
        <f>$HA$3</f>
        <v>141.82763623159096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1.2492000000000001</v>
      </c>
      <c r="N5" s="14">
        <f>IF('Données projet'!$A$36&gt;35,N4+M5-V4,IF(A5&lt;'Données projet'!$A$36,$K$205^A5,IF(A5='Données projet'!$A$36,'Données projet'!$B$36,N4+M5-V4)))</f>
        <v>1.316939302109978</v>
      </c>
      <c r="O5" s="14">
        <f>N5*VLOOKUP('Données projet'!$B$9,Paramètres!$A$1:$I$89,3,0)*VLOOKUP('Données projet'!$B$9,Paramètres!$A$1:$I$89,5,0)</f>
        <v>1.2737436930007708</v>
      </c>
      <c r="P5" s="14">
        <f t="shared" ref="P5:P68" si="33">EXP(-1.0587+0.8836*LN(O5)+0.284)</f>
        <v>0.57069302052626747</v>
      </c>
      <c r="Q5" s="22">
        <f t="shared" si="2"/>
        <v>3.2123939427262584</v>
      </c>
      <c r="R5" s="62">
        <f t="shared" si="0"/>
        <v>173.8096752302271</v>
      </c>
      <c r="S5" s="62">
        <f ca="1">AVERAGE(OFFSET($R$3,0,0,'Données projet'!$E$9+1,1))-AVERAGE(OFFSET($H$3,0,0,'Données projet'!$E$9+1,1))</f>
        <v>84.959354125980269</v>
      </c>
      <c r="T5" s="62">
        <f t="shared" ref="T5:T68" si="34">$T$3</f>
        <v>89.658970210276806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3.1414999999999997</v>
      </c>
      <c r="AI5" s="14">
        <f>IF('Données projet'!$A$62&gt;35,AI4+AH5-AQ4,IF(A5&lt;'Données projet'!$A$62,$AF$205^A5,IF(A5='Données projet'!$A$62,'Données projet'!$B$62,AI4+AH5-AQ4)))</f>
        <v>1.5129225845473788</v>
      </c>
      <c r="AJ5" s="14">
        <f>AI5*VLOOKUP('Données projet'!$B$10,Paramètres!$A$1:$I$89,3,0)*VLOOKUP('Données projet'!$B$10,Paramètres!$A$1:$I$89,5,0)</f>
        <v>1.4396971314552858</v>
      </c>
      <c r="AK5" s="14">
        <f t="shared" ref="AK5:AK68" si="35">EXP(-1.0587+0.8836*LN(AJ5)+0.284)</f>
        <v>0.63591701234851361</v>
      </c>
      <c r="AL5" s="22">
        <f t="shared" si="4"/>
        <v>3.6150279671249503</v>
      </c>
      <c r="AM5" s="62">
        <f t="shared" si="5"/>
        <v>174.21230925462578</v>
      </c>
      <c r="AN5" s="62">
        <f ca="1">AVERAGE(OFFSET($AM$3,0,0,'Données projet'!$E$10+1,1))-AVERAGE(OFFSET($H$3,0,0,'Données projet'!$E$10+1,1))</f>
        <v>592.76231355549089</v>
      </c>
      <c r="AO5" s="62">
        <f t="shared" ref="AO5:AO68" si="36">$AO$3</f>
        <v>200.66895551079014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1.7753333333333332</v>
      </c>
      <c r="BD5" s="13">
        <f>IF('Données projet'!$A$88&gt;35,BD4+BC5-BL4,IF(A5&lt;'Données projet'!$A$88,$BA$205^A5,IF(A5='Données projet'!$A$88,'Données projet'!$B$88,BD4+BC5-BL4)))</f>
        <v>1.3034471019596807</v>
      </c>
      <c r="BE5" s="14">
        <f>BD5*VLOOKUP('Données projet'!$B$11,Paramètres!$A$1:$I$89,3,0)*VLOOKUP('Données projet'!$B$11,Paramètres!$A$1:$I$89,5,0)</f>
        <v>1.1793589378531191</v>
      </c>
      <c r="BF5" s="14">
        <f t="shared" ref="BF5:BF68" si="37">EXP(-1.0587+0.8836*LN(BE5)+0.284)</f>
        <v>0.53316112156433815</v>
      </c>
      <c r="BG5" s="22">
        <f t="shared" si="7"/>
        <v>2.9826391034854045</v>
      </c>
      <c r="BH5" s="62">
        <f t="shared" si="8"/>
        <v>173.57992039098625</v>
      </c>
      <c r="BI5" s="62">
        <f ca="1">AVERAGE(OFFSET($BH$3,0,0,'Données projet'!$E$11+1,1))-AVERAGE(OFFSET($H$3,0,0,'Données projet'!$E$11+1,1))</f>
        <v>316.71836722354374</v>
      </c>
      <c r="BJ5" s="62">
        <f t="shared" ref="BJ5:BJ68" si="38">$BJ$3</f>
        <v>164.34067012996618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2.7920000000000003</v>
      </c>
      <c r="BY5" s="13">
        <f>IF('Données projet'!$A$114&gt;35,BY4+BX5-CG4,IF(A5&lt;'Données projet'!$A$114,$BV$205^A5,IF(A5='Données projet'!$A$114,'Données projet'!$B$114,BY4+BX5-CG4)))</f>
        <v>1.645385085691879</v>
      </c>
      <c r="BZ5" s="14">
        <f>BY5*VLOOKUP('Données projet'!$B$12,Paramètres!$A$1:$I$89,3,0)*VLOOKUP('Données projet'!$B$12,Paramètres!$A$1:$I$89,5,0)</f>
        <v>1.8737645355859118</v>
      </c>
      <c r="CA5" s="14">
        <f t="shared" ref="CA5:CA68" si="39">EXP(-1.0587+0.8836*LN(BZ5)+0.284)</f>
        <v>0.80264416347083034</v>
      </c>
      <c r="CB5" s="22">
        <f t="shared" si="10"/>
        <v>4.6614118175238257</v>
      </c>
      <c r="CC5" s="62">
        <f t="shared" si="11"/>
        <v>175.25869310502466</v>
      </c>
      <c r="CD5" s="62">
        <f ca="1">AVERAGE(OFFSET($CC$3,0,0,'Données projet'!$E$12+1,1))-AVERAGE(OFFSET($H$3,0,0,'Données projet'!$E$12+1,1))</f>
        <v>454.9779384236806</v>
      </c>
      <c r="CE5" s="62">
        <f t="shared" ref="CE5:CE68" si="40">$CE$3</f>
        <v>379.32753348721906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4.2880000000000003</v>
      </c>
      <c r="CT5" s="13">
        <f>IF('Données projet'!$A$140&gt;35,CT4+CS5-DB4,IF(A5&lt;'Données projet'!$A$140,$CQ$205^A5,IF(A5='Données projet'!$A$140,'Données projet'!$B$140,CT4+CS5-DB4)))</f>
        <v>1.5607325115392114</v>
      </c>
      <c r="CU5" s="18">
        <f>CT5*VLOOKUP('Données projet'!$B$13,Paramètres!$A$1:$I$89,3,0)*VLOOKUP('Données projet'!$B$13,Paramètres!$A$1:$I$89,5,0)</f>
        <v>1.217371359000585</v>
      </c>
      <c r="CV5" s="14">
        <f t="shared" ref="CV5:CV68" si="41">EXP(-1.0587+0.8836*LN(CU5)+0.284)</f>
        <v>0.54831723653727515</v>
      </c>
      <c r="CW5" s="22">
        <f t="shared" si="13"/>
        <v>3.0752409705617736</v>
      </c>
      <c r="CX5" s="62">
        <f t="shared" si="14"/>
        <v>173.6725222580626</v>
      </c>
      <c r="CY5" s="62">
        <f ca="1">AVERAGE(OFFSET($CX$3,0,0,'Données projet'!$E$13+1,1))-AVERAGE(OFFSET($H$3,0,0,'Données projet'!$E$13+1,1))</f>
        <v>252.10592533338991</v>
      </c>
      <c r="CZ5" s="62">
        <f t="shared" ref="CZ5:CZ68" si="42">$CZ$3</f>
        <v>272.71831345325313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4.4390000000000001</v>
      </c>
      <c r="DO5" s="13">
        <f>IF('Données projet'!$A$166&gt;35,DO4+DN5-DW4,IF(A5&lt;'Données projet'!$A$166,$DL$205^A5,IF(A5='Données projet'!$A$166,'Données projet'!$B$166,DO4+DN5-DW4)))</f>
        <v>1.5661433619162615</v>
      </c>
      <c r="DP5" s="18">
        <f>DO5*VLOOKUP('Données projet'!$B$14,Paramètres!$A$1:$I$89,3,0)*VLOOKUP('Données projet'!$B$14,Paramètres!$A$1:$I$89,5,0)</f>
        <v>0.93655373042592438</v>
      </c>
      <c r="DQ5" s="14">
        <f t="shared" ref="DQ5:DQ68" si="43">EXP(-1.0587+0.8836*LN(DP5)+0.284)</f>
        <v>0.4349089617775147</v>
      </c>
      <c r="DR5" s="22">
        <f t="shared" si="16"/>
        <v>2.3886308555876563</v>
      </c>
      <c r="DS5" s="62">
        <f t="shared" si="17"/>
        <v>172.98591214308848</v>
      </c>
      <c r="DT5" s="62">
        <f ca="1">AVERAGE(OFFSET($DS$3,0,0,'Données projet'!$E$14+1,1))-AVERAGE(OFFSET($H$3,0,0,'Données projet'!$E$14+1,1))</f>
        <v>423.0896575168394</v>
      </c>
      <c r="DU5" s="62">
        <f t="shared" ref="DU5:DU68" si="44">$DU$3</f>
        <v>305.98537395014284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2.4010000000000002</v>
      </c>
      <c r="EJ5" s="13">
        <f>IF('Données projet'!$A$192&gt;35,EJ4+EI5-ER4,IF(A5&lt;'Données projet'!$A$192,$EG$205^A5,IF(A5='Données projet'!$A$192,'Données projet'!$B$192,EJ4+EI5-ER4)))</f>
        <v>1.8883323442902544</v>
      </c>
      <c r="EK5" s="18">
        <f>EJ5*VLOOKUP('Données projet'!$B$15,Paramètres!$A$1:$I$89,3,0)*VLOOKUP('Données projet'!$B$15,Paramètres!$A$1:$I$89,5,0)</f>
        <v>1.1292227418855723</v>
      </c>
      <c r="EL5" s="14">
        <f t="shared" ref="EL5:EL68" si="45">EXP(-1.0587+0.8836*LN(EK5)+0.284)</f>
        <v>0.51308360036120682</v>
      </c>
      <c r="EM5" s="22">
        <f t="shared" si="19"/>
        <v>2.8603502127464733</v>
      </c>
      <c r="EN5" s="62">
        <f t="shared" si="20"/>
        <v>173.45763150024732</v>
      </c>
      <c r="EO5" s="62">
        <f ca="1">AVERAGE(OFFSET($EN$3,0,0,'Données projet'!$E$15+1,1))-AVERAGE(OFFSET($H$3,0,0,'Données projet'!$E$15+1,1))</f>
        <v>281.21543175875604</v>
      </c>
      <c r="EP5" s="62">
        <f t="shared" ref="EP5:EP68" si="46">$EP$3</f>
        <v>366.68536296857428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4.5884999999999998</v>
      </c>
      <c r="FE5" s="13">
        <f>IF('Données projet'!$A$218&gt;35,FE4+FD5-FM4,IF(A5&lt;'Données projet'!$A$218,$FB$205^A5,IF(A5='Données projet'!$A$218,'Données projet'!$B$218,FE4+FD5-FM4)))</f>
        <v>1.5713396639923709</v>
      </c>
      <c r="FF5" s="18">
        <f>FE5*VLOOKUP('Données projet'!$B$16,Paramètres!$A$1:$I$89,3,0)*VLOOKUP('Données projet'!$B$16,Paramètres!$A$1:$I$89,5,0)</f>
        <v>0.87837887217173538</v>
      </c>
      <c r="FG5" s="14">
        <f t="shared" ref="FG5:FG68" si="47">EXP(-1.0587+0.8836*LN(FF5)+0.284)</f>
        <v>0.41095036921442812</v>
      </c>
      <c r="FH5" s="22">
        <f t="shared" si="22"/>
        <v>2.2455817620809011</v>
      </c>
      <c r="FI5" s="62">
        <f t="shared" si="23"/>
        <v>172.84286304958172</v>
      </c>
      <c r="FJ5" s="62">
        <f ca="1">AVERAGE(OFFSET($FI$3,0,0,'Données projet'!$E$16+1,1))-AVERAGE(OFFSET($H$3,0,0,'Données projet'!$E$16+1,1))</f>
        <v>280.9225643428145</v>
      </c>
      <c r="FK5" s="62">
        <f t="shared" ref="FK5:FK68" si="48">$FK$3</f>
        <v>236.89414218053955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17.657333333333334</v>
      </c>
      <c r="FZ5" s="13">
        <f>IF('Données projet'!$A$244&gt;35,FZ4+FY5-GH4,IF(A5&lt;'Données projet'!$A$244,$FW$205^A5,IF(A5='Données projet'!$A$244,'Données projet'!$B$244,FZ4+FY5-GH4)))</f>
        <v>2.104111984293473</v>
      </c>
      <c r="GA5" s="18">
        <f>FZ5*VLOOKUP('Données projet'!$B$17,Paramètres!$A$1:$I$89,3,0)*VLOOKUP('Données projet'!$B$17,Paramètres!$A$1:$I$89,5,0)</f>
        <v>0.93001749705771519</v>
      </c>
      <c r="GB5" s="14">
        <f t="shared" ref="GB5:GB68" si="49">EXP(-1.0587+0.8836*LN(GA5)+0.284)</f>
        <v>0.43222593046571511</v>
      </c>
      <c r="GC5" s="22">
        <f t="shared" si="25"/>
        <v>2.3725739696033075</v>
      </c>
      <c r="GD5" s="62">
        <f t="shared" si="26"/>
        <v>172.96985525710414</v>
      </c>
      <c r="GE5" s="62">
        <f ca="1">AVERAGE(OFFSET($GD$3,0,0,'Données projet'!$E$17+1,1))-AVERAGE(OFFSET($H$3,0,0,'Données projet'!$E$17+1,1))</f>
        <v>325.67421864225201</v>
      </c>
      <c r="GF5" s="62">
        <f t="shared" ref="GF5:GF68" si="50">$GF$3</f>
        <v>542.01920418736745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1.2476666666666667</v>
      </c>
      <c r="GU5" s="13">
        <f>IF('Données projet'!$A$270&gt;35,GU4+GT5-HC4,IF(A5&lt;'Données projet'!$A$270,$GR$205^A5,IF(A5='Données projet'!$A$270,'Données projet'!$B$270,GU4+GT5-HC4)))</f>
        <v>1.273155122657859</v>
      </c>
      <c r="GV5" s="18">
        <f>GU5*VLOOKUP('Données projet'!$B$18,Paramètres!$A$1:$I$89,3,0)*VLOOKUP('Données projet'!$B$18,Paramètres!$A$1:$I$89,5,0)</f>
        <v>1.2909792943750691</v>
      </c>
      <c r="GW5" s="14">
        <f t="shared" ref="GW5:GW68" si="51">EXP(-1.0587+0.8836*LN(GV5)+0.284)</f>
        <v>0.57751110251603721</v>
      </c>
      <c r="GX5" s="22">
        <f t="shared" si="28"/>
        <v>3.2542874412520102</v>
      </c>
      <c r="GY5" s="62">
        <f t="shared" si="29"/>
        <v>173.85156872875285</v>
      </c>
      <c r="GZ5" s="62">
        <f ca="1">AVERAGE(OFFSET($GY$3,0,0,'Données projet'!$E$18+1,1))-AVERAGE(OFFSET($H$3,0,0,'Données projet'!$E$18+1,1))</f>
        <v>220.89224520315713</v>
      </c>
      <c r="HA5" s="62">
        <f t="shared" ref="HA5:HA68" si="52">$HA$3</f>
        <v>141.82763623159096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1.2492000000000001</v>
      </c>
      <c r="N6" s="14">
        <f>IF('Données projet'!$A$36&gt;35,N5+M6-V5,IF(A6&lt;'Données projet'!$A$36,$K$205^A6,IF(A6='Données projet'!$A$36,'Données projet'!$B$36,N5+M6-V5)))</f>
        <v>1.5112928862693973</v>
      </c>
      <c r="O6" s="14">
        <f>N6*VLOOKUP('Données projet'!$B$9,Paramètres!$A$1:$I$89,3,0)*VLOOKUP('Données projet'!$B$9,Paramètres!$A$1:$I$89,5,0)</f>
        <v>1.461722479599761</v>
      </c>
      <c r="P6" s="14">
        <f t="shared" si="33"/>
        <v>0.6445056270554711</v>
      </c>
      <c r="Q6" s="22">
        <f t="shared" si="2"/>
        <v>3.6683472857578625</v>
      </c>
      <c r="R6" s="62">
        <f t="shared" si="0"/>
        <v>177.02336785564276</v>
      </c>
      <c r="S6" s="62">
        <f ca="1">AVERAGE(OFFSET($R$3,0,0,'Données projet'!$E$9+1,1))-AVERAGE(OFFSET($H$3,0,0,'Données projet'!$E$9+1,1))</f>
        <v>84.959354125980269</v>
      </c>
      <c r="T6" s="62">
        <f t="shared" si="34"/>
        <v>89.658970210276806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3.1414999999999997</v>
      </c>
      <c r="AI6" s="14">
        <f>IF('Données projet'!$A$62&gt;35,AI5+AH6-AQ5,IF(A6&lt;'Données projet'!$A$62,$AF$205^A6,IF(A6='Données projet'!$A$62,'Données projet'!$B$62,AI5+AH6-AQ5)))</f>
        <v>1.8609086686454201</v>
      </c>
      <c r="AJ6" s="14">
        <f>AI6*VLOOKUP('Données projet'!$B$10,Paramètres!$A$1:$I$89,3,0)*VLOOKUP('Données projet'!$B$10,Paramètres!$A$1:$I$89,5,0)</f>
        <v>1.7708406890829818</v>
      </c>
      <c r="AK6" s="14">
        <f t="shared" si="35"/>
        <v>0.76356051866138952</v>
      </c>
      <c r="AL6" s="22">
        <f t="shared" si="4"/>
        <v>4.4140821034881137</v>
      </c>
      <c r="AM6" s="62">
        <f t="shared" si="5"/>
        <v>177.769102673373</v>
      </c>
      <c r="AN6" s="62">
        <f ca="1">AVERAGE(OFFSET($AM$3,0,0,'Données projet'!$E$10+1,1))-AVERAGE(OFFSET($H$3,0,0,'Données projet'!$E$10+1,1))</f>
        <v>592.76231355549089</v>
      </c>
      <c r="AO6" s="62">
        <f t="shared" si="36"/>
        <v>200.66895551079014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1.7753333333333332</v>
      </c>
      <c r="BD6" s="13">
        <f>IF('Données projet'!$A$88&gt;35,BD5+BC6-BL5,IF(A6&lt;'Données projet'!$A$88,$BA$205^A6,IF(A6='Données projet'!$A$88,'Données projet'!$B$88,BD5+BC6-BL5)))</f>
        <v>1.4881274104364521</v>
      </c>
      <c r="BE6" s="14">
        <f>BD6*VLOOKUP('Données projet'!$B$11,Paramètres!$A$1:$I$89,3,0)*VLOOKUP('Données projet'!$B$11,Paramètres!$A$1:$I$89,5,0)</f>
        <v>1.3464576809629019</v>
      </c>
      <c r="BF6" s="14">
        <f t="shared" si="37"/>
        <v>0.59938620282722754</v>
      </c>
      <c r="BG6" s="22">
        <f t="shared" si="7"/>
        <v>3.3890114309344752</v>
      </c>
      <c r="BH6" s="62">
        <f t="shared" si="8"/>
        <v>176.74403200081937</v>
      </c>
      <c r="BI6" s="62">
        <f ca="1">AVERAGE(OFFSET($BH$3,0,0,'Données projet'!$E$11+1,1))-AVERAGE(OFFSET($H$3,0,0,'Données projet'!$E$11+1,1))</f>
        <v>316.71836722354374</v>
      </c>
      <c r="BJ6" s="62">
        <f t="shared" si="38"/>
        <v>164.34067012996618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2.7920000000000003</v>
      </c>
      <c r="BY6" s="13">
        <f>IF('Données projet'!$A$114&gt;35,BY5+BX6-CG5,IF(A6&lt;'Données projet'!$A$114,$BV$205^A6,IF(A6='Données projet'!$A$114,'Données projet'!$B$114,BY5+BX6-CG5)))</f>
        <v>2.1105776487495649</v>
      </c>
      <c r="BZ6" s="14">
        <f>BY6*VLOOKUP('Données projet'!$B$12,Paramètres!$A$1:$I$89,3,0)*VLOOKUP('Données projet'!$B$12,Paramètres!$A$1:$I$89,5,0)</f>
        <v>2.4035258263960046</v>
      </c>
      <c r="CA6" s="14">
        <f t="shared" si="39"/>
        <v>1.0001613285126323</v>
      </c>
      <c r="CB6" s="22">
        <f t="shared" si="10"/>
        <v>5.928088461465876</v>
      </c>
      <c r="CC6" s="62">
        <f t="shared" si="11"/>
        <v>179.28310903135076</v>
      </c>
      <c r="CD6" s="62">
        <f ca="1">AVERAGE(OFFSET($CC$3,0,0,'Données projet'!$E$12+1,1))-AVERAGE(OFFSET($H$3,0,0,'Données projet'!$E$12+1,1))</f>
        <v>454.9779384236806</v>
      </c>
      <c r="CE6" s="62">
        <f t="shared" si="40"/>
        <v>379.32753348721906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4.2880000000000003</v>
      </c>
      <c r="CT6" s="13">
        <f>IF('Données projet'!$A$140&gt;35,CT5+CS6-DB5,IF(A6&lt;'Données projet'!$A$140,$CQ$205^A6,IF(A6='Données projet'!$A$140,'Données projet'!$B$140,CT5+CS6-DB5)))</f>
        <v>1.9498118965174274</v>
      </c>
      <c r="CU6" s="18">
        <f>CT6*VLOOKUP('Données projet'!$B$13,Paramètres!$A$1:$I$89,3,0)*VLOOKUP('Données projet'!$B$13,Paramètres!$A$1:$I$89,5,0)</f>
        <v>1.5208532792835934</v>
      </c>
      <c r="CV6" s="14">
        <f t="shared" si="41"/>
        <v>0.66748947102795453</v>
      </c>
      <c r="CW6" s="22">
        <f t="shared" si="13"/>
        <v>3.8113636234592789</v>
      </c>
      <c r="CX6" s="62">
        <f t="shared" si="14"/>
        <v>177.16638419334416</v>
      </c>
      <c r="CY6" s="62">
        <f ca="1">AVERAGE(OFFSET($CX$3,0,0,'Données projet'!$E$13+1,1))-AVERAGE(OFFSET($H$3,0,0,'Données projet'!$E$13+1,1))</f>
        <v>252.10592533338991</v>
      </c>
      <c r="CZ6" s="62">
        <f t="shared" si="42"/>
        <v>272.71831345325313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4.4390000000000001</v>
      </c>
      <c r="DO6" s="13">
        <f>IF('Données projet'!$A$166&gt;35,DO5+DN6-DW5,IF(A6&lt;'Données projet'!$A$166,$DL$205^A6,IF(A6='Données projet'!$A$166,'Données projet'!$B$166,DO5+DN6-DW5)))</f>
        <v>1.9599602842725641</v>
      </c>
      <c r="DP6" s="18">
        <f>DO6*VLOOKUP('Données projet'!$B$14,Paramètres!$A$1:$I$89,3,0)*VLOOKUP('Données projet'!$B$14,Paramètres!$A$1:$I$89,5,0)</f>
        <v>1.1720562499949934</v>
      </c>
      <c r="DQ6" s="14">
        <f t="shared" si="43"/>
        <v>0.53024297057365322</v>
      </c>
      <c r="DR6" s="22">
        <f t="shared" si="16"/>
        <v>2.9648378091570593</v>
      </c>
      <c r="DS6" s="62">
        <f t="shared" si="17"/>
        <v>176.31985837904193</v>
      </c>
      <c r="DT6" s="62">
        <f ca="1">AVERAGE(OFFSET($DS$3,0,0,'Données projet'!$E$14+1,1))-AVERAGE(OFFSET($H$3,0,0,'Données projet'!$E$14+1,1))</f>
        <v>423.0896575168394</v>
      </c>
      <c r="DU6" s="62">
        <f t="shared" si="44"/>
        <v>305.98537395014284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2.4010000000000002</v>
      </c>
      <c r="EJ6" s="13">
        <f>IF('Données projet'!$A$192&gt;35,EJ5+EI6-ER5,IF(A6&lt;'Données projet'!$A$192,$EG$205^A6,IF(A6='Données projet'!$A$192,'Données projet'!$B$192,EJ5+EI6-ER5)))</f>
        <v>2.5948822064167456</v>
      </c>
      <c r="EK6" s="18">
        <f>EJ6*VLOOKUP('Données projet'!$B$15,Paramètres!$A$1:$I$89,3,0)*VLOOKUP('Données projet'!$B$15,Paramètres!$A$1:$I$89,5,0)</f>
        <v>1.5517395594372141</v>
      </c>
      <c r="EL6" s="14">
        <f t="shared" si="45"/>
        <v>0.67945325704813475</v>
      </c>
      <c r="EM6" s="22">
        <f t="shared" si="19"/>
        <v>3.8859941553786488</v>
      </c>
      <c r="EN6" s="62">
        <f t="shared" si="20"/>
        <v>177.24101472526354</v>
      </c>
      <c r="EO6" s="62">
        <f ca="1">AVERAGE(OFFSET($EN$3,0,0,'Données projet'!$E$15+1,1))-AVERAGE(OFFSET($H$3,0,0,'Données projet'!$E$15+1,1))</f>
        <v>281.21543175875604</v>
      </c>
      <c r="EP6" s="62">
        <f t="shared" si="46"/>
        <v>366.68536296857428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4.5884999999999998</v>
      </c>
      <c r="FE6" s="13">
        <f>IF('Données projet'!$A$218&gt;35,FE5+FD6-FM5,IF(A6&lt;'Données projet'!$A$218,$FB$205^A6,IF(A6='Données projet'!$A$218,'Données projet'!$B$218,FE5+FD6-FM5)))</f>
        <v>1.9697227898269984</v>
      </c>
      <c r="FF6" s="18">
        <f>FE6*VLOOKUP('Données projet'!$B$16,Paramètres!$A$1:$I$89,3,0)*VLOOKUP('Données projet'!$B$16,Paramètres!$A$1:$I$89,5,0)</f>
        <v>1.1010750395132922</v>
      </c>
      <c r="FG6" s="14">
        <f t="shared" si="47"/>
        <v>0.50176630433004266</v>
      </c>
      <c r="FH6" s="22">
        <f t="shared" si="22"/>
        <v>2.7916153405271413</v>
      </c>
      <c r="FI6" s="62">
        <f t="shared" si="23"/>
        <v>176.14663591041202</v>
      </c>
      <c r="FJ6" s="62">
        <f ca="1">AVERAGE(OFFSET($FI$3,0,0,'Données projet'!$E$16+1,1))-AVERAGE(OFFSET($H$3,0,0,'Données projet'!$E$16+1,1))</f>
        <v>280.9225643428145</v>
      </c>
      <c r="FK6" s="62">
        <f t="shared" si="48"/>
        <v>236.89414218053955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17.657333333333334</v>
      </c>
      <c r="FZ6" s="13">
        <f>IF('Données projet'!$A$244&gt;35,FZ5+FY6-GH5,IF(A6&lt;'Données projet'!$A$244,$FW$205^A6,IF(A6='Données projet'!$A$244,'Données projet'!$B$244,FZ5+FY6-GH5)))</f>
        <v>3.0521317377766009</v>
      </c>
      <c r="GA6" s="18">
        <f>FZ6*VLOOKUP('Données projet'!$B$17,Paramètres!$A$1:$I$89,3,0)*VLOOKUP('Données projet'!$B$17,Paramètres!$A$1:$I$89,5,0)</f>
        <v>1.3490422280972576</v>
      </c>
      <c r="GB6" s="14">
        <f t="shared" si="49"/>
        <v>0.60040269891616005</v>
      </c>
      <c r="GC6" s="22">
        <f t="shared" si="25"/>
        <v>3.3952832478817023</v>
      </c>
      <c r="GD6" s="62">
        <f t="shared" si="26"/>
        <v>176.75030381776659</v>
      </c>
      <c r="GE6" s="62">
        <f ca="1">AVERAGE(OFFSET($GD$3,0,0,'Données projet'!$E$17+1,1))-AVERAGE(OFFSET($H$3,0,0,'Données projet'!$E$17+1,1))</f>
        <v>325.67421864225201</v>
      </c>
      <c r="GF6" s="62">
        <f t="shared" si="50"/>
        <v>542.01920418736745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1.2476666666666667</v>
      </c>
      <c r="GU6" s="13">
        <f>IF('Données projet'!$A$270&gt;35,GU5+GT6-HC5,IF(A6&lt;'Données projet'!$A$270,$GR$205^A6,IF(A6='Données projet'!$A$270,'Données projet'!$B$270,GU5+GT6-HC5)))</f>
        <v>1.4365540892000312</v>
      </c>
      <c r="GV6" s="18">
        <f>GU6*VLOOKUP('Données projet'!$B$18,Paramètres!$A$1:$I$89,3,0)*VLOOKUP('Données projet'!$B$18,Paramètres!$A$1:$I$89,5,0)</f>
        <v>1.4566658464488318</v>
      </c>
      <c r="GW6" s="14">
        <f t="shared" si="51"/>
        <v>0.64253517222004941</v>
      </c>
      <c r="GX6" s="22">
        <f t="shared" si="28"/>
        <v>3.6561084408483016</v>
      </c>
      <c r="GY6" s="62">
        <f t="shared" si="29"/>
        <v>177.01112901073319</v>
      </c>
      <c r="GZ6" s="62">
        <f ca="1">AVERAGE(OFFSET($GY$3,0,0,'Données projet'!$E$18+1,1))-AVERAGE(OFFSET($H$3,0,0,'Données projet'!$E$18+1,1))</f>
        <v>220.89224520315713</v>
      </c>
      <c r="HA6" s="62">
        <f t="shared" si="52"/>
        <v>141.82763623159096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1.2492000000000001</v>
      </c>
      <c r="N7" s="14">
        <f>IF('Données projet'!$A$36&gt;35,N6+M7-V6,IF(A7&lt;'Données projet'!$A$36,$K$205^A7,IF(A7='Données projet'!$A$36,'Données projet'!$B$36,N6+M7-V6)))</f>
        <v>1.734329125441916</v>
      </c>
      <c r="O7" s="14">
        <f>N7*VLOOKUP('Données projet'!$B$9,Paramètres!$A$1:$I$89,3,0)*VLOOKUP('Données projet'!$B$9,Paramètres!$A$1:$I$89,5,0)</f>
        <v>1.6774431301274213</v>
      </c>
      <c r="P7" s="14">
        <f t="shared" si="33"/>
        <v>0.72786504892440151</v>
      </c>
      <c r="Q7" s="22">
        <f t="shared" si="2"/>
        <v>4.189245078515258</v>
      </c>
      <c r="R7" s="62">
        <f t="shared" si="0"/>
        <v>180.2753671426922</v>
      </c>
      <c r="S7" s="62">
        <f ca="1">AVERAGE(OFFSET($R$3,0,0,'Données projet'!$E$9+1,1))-AVERAGE(OFFSET($H$3,0,0,'Données projet'!$E$9+1,1))</f>
        <v>84.959354125980269</v>
      </c>
      <c r="T7" s="62">
        <f t="shared" si="34"/>
        <v>89.658970210276806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3.1414999999999997</v>
      </c>
      <c r="AI7" s="14">
        <f>IF('Données projet'!$A$62&gt;35,AI6+AH7-AQ6,IF(A7&lt;'Données projet'!$A$62,$AF$205^A7,IF(A7='Données projet'!$A$62,'Données projet'!$B$62,AI6+AH7-AQ6)))</f>
        <v>2.2889347468335206</v>
      </c>
      <c r="AJ7" s="14">
        <f>AI7*VLOOKUP('Données projet'!$B$10,Paramètres!$A$1:$I$89,3,0)*VLOOKUP('Données projet'!$B$10,Paramètres!$A$1:$I$89,5,0)</f>
        <v>2.1781503050867785</v>
      </c>
      <c r="AK7" s="14">
        <f t="shared" si="35"/>
        <v>0.91682507990354623</v>
      </c>
      <c r="AL7" s="22">
        <f t="shared" si="4"/>
        <v>5.3904154621914815</v>
      </c>
      <c r="AM7" s="62">
        <f t="shared" si="5"/>
        <v>181.47653752636842</v>
      </c>
      <c r="AN7" s="62">
        <f ca="1">AVERAGE(OFFSET($AM$3,0,0,'Données projet'!$E$10+1,1))-AVERAGE(OFFSET($H$3,0,0,'Données projet'!$E$10+1,1))</f>
        <v>592.76231355549089</v>
      </c>
      <c r="AO7" s="62">
        <f t="shared" si="36"/>
        <v>200.66895551079014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1.7753333333333332</v>
      </c>
      <c r="BD7" s="13">
        <f>IF('Données projet'!$A$88&gt;35,BD6+BC7-BL6,IF(A7&lt;'Données projet'!$A$88,$BA$205^A7,IF(A7='Données projet'!$A$88,'Données projet'!$B$88,BD6+BC7-BL6)))</f>
        <v>1.6989743476070902</v>
      </c>
      <c r="BE7" s="14">
        <f>BD7*VLOOKUP('Données projet'!$B$11,Paramètres!$A$1:$I$89,3,0)*VLOOKUP('Données projet'!$B$11,Paramètres!$A$1:$I$89,5,0)</f>
        <v>1.5372319897148952</v>
      </c>
      <c r="BF7" s="14">
        <f t="shared" si="37"/>
        <v>0.67383724283108437</v>
      </c>
      <c r="BG7" s="22">
        <f t="shared" si="7"/>
        <v>3.8509455800175814</v>
      </c>
      <c r="BH7" s="62">
        <f t="shared" si="8"/>
        <v>179.93706764419454</v>
      </c>
      <c r="BI7" s="62">
        <f ca="1">AVERAGE(OFFSET($BH$3,0,0,'Données projet'!$E$11+1,1))-AVERAGE(OFFSET($H$3,0,0,'Données projet'!$E$11+1,1))</f>
        <v>316.71836722354374</v>
      </c>
      <c r="BJ7" s="62">
        <f t="shared" si="38"/>
        <v>164.34067012996618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2.7920000000000003</v>
      </c>
      <c r="BY7" s="13">
        <f>IF('Données projet'!$A$114&gt;35,BY6+BX7-CG6,IF(A7&lt;'Données projet'!$A$114,$BV$205^A7,IF(A7='Données projet'!$A$114,'Données projet'!$B$114,BY6+BX7-CG6)))</f>
        <v>2.7072920802172722</v>
      </c>
      <c r="BZ7" s="14">
        <f>BY7*VLOOKUP('Données projet'!$B$12,Paramètres!$A$1:$I$89,3,0)*VLOOKUP('Données projet'!$B$12,Paramètres!$A$1:$I$89,5,0)</f>
        <v>3.0830642209514294</v>
      </c>
      <c r="CA7" s="14">
        <f t="shared" si="39"/>
        <v>1.2462841301013301</v>
      </c>
      <c r="CB7" s="22">
        <f t="shared" si="10"/>
        <v>7.5402817114168892</v>
      </c>
      <c r="CC7" s="62">
        <f t="shared" si="11"/>
        <v>183.62640377559384</v>
      </c>
      <c r="CD7" s="62">
        <f ca="1">AVERAGE(OFFSET($CC$3,0,0,'Données projet'!$E$12+1,1))-AVERAGE(OFFSET($H$3,0,0,'Données projet'!$E$12+1,1))</f>
        <v>454.9779384236806</v>
      </c>
      <c r="CE7" s="62">
        <f t="shared" si="40"/>
        <v>379.32753348721906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4.2880000000000003</v>
      </c>
      <c r="CT7" s="13">
        <f>IF('Données projet'!$A$140&gt;35,CT6+CS7-DB6,IF(A7&lt;'Données projet'!$A$140,$CQ$205^A7,IF(A7='Données projet'!$A$140,'Données projet'!$B$140,CT6+CS7-DB6)))</f>
        <v>2.4358859725754947</v>
      </c>
      <c r="CU7" s="18">
        <f>CT7*VLOOKUP('Données projet'!$B$13,Paramètres!$A$1:$I$89,3,0)*VLOOKUP('Données projet'!$B$13,Paramètres!$A$1:$I$89,5,0)</f>
        <v>1.899991058608886</v>
      </c>
      <c r="CV7" s="14">
        <f t="shared" si="41"/>
        <v>0.81256280898054556</v>
      </c>
      <c r="CW7" s="22">
        <f t="shared" si="13"/>
        <v>4.7243646527182603</v>
      </c>
      <c r="CX7" s="62">
        <f t="shared" si="14"/>
        <v>180.81048671689521</v>
      </c>
      <c r="CY7" s="62">
        <f ca="1">AVERAGE(OFFSET($CX$3,0,0,'Données projet'!$E$13+1,1))-AVERAGE(OFFSET($H$3,0,0,'Données projet'!$E$13+1,1))</f>
        <v>252.10592533338991</v>
      </c>
      <c r="CZ7" s="62">
        <f t="shared" si="42"/>
        <v>272.71831345325313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4.4390000000000001</v>
      </c>
      <c r="DO7" s="13">
        <f>IF('Données projet'!$A$166&gt;35,DO6+DN7-DW6,IF(A7&lt;'Données projet'!$A$166,$DL$205^A7,IF(A7='Données projet'!$A$166,'Données projet'!$B$166,DO6+DN7-DW6)))</f>
        <v>2.4528050300743698</v>
      </c>
      <c r="DP7" s="18">
        <f>DO7*VLOOKUP('Données projet'!$B$14,Paramètres!$A$1:$I$89,3,0)*VLOOKUP('Données projet'!$B$14,Paramètres!$A$1:$I$89,5,0)</f>
        <v>1.4667774079844733</v>
      </c>
      <c r="DQ7" s="14">
        <f t="shared" si="43"/>
        <v>0.64647462469766992</v>
      </c>
      <c r="DR7" s="22">
        <f t="shared" si="16"/>
        <v>3.680580623588066</v>
      </c>
      <c r="DS7" s="62">
        <f t="shared" si="17"/>
        <v>179.76670268776502</v>
      </c>
      <c r="DT7" s="62">
        <f ca="1">AVERAGE(OFFSET($DS$3,0,0,'Données projet'!$E$14+1,1))-AVERAGE(OFFSET($H$3,0,0,'Données projet'!$E$14+1,1))</f>
        <v>423.0896575168394</v>
      </c>
      <c r="DU7" s="62">
        <f t="shared" si="44"/>
        <v>305.98537395014284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2.4010000000000002</v>
      </c>
      <c r="EJ7" s="13">
        <f>IF('Données projet'!$A$192&gt;35,EJ6+EI7-ER6,IF(A7&lt;'Données projet'!$A$192,$EG$205^A7,IF(A7='Données projet'!$A$192,'Données projet'!$B$192,EJ6+EI7-ER6)))</f>
        <v>3.5657990424927282</v>
      </c>
      <c r="EK7" s="18">
        <f>EJ7*VLOOKUP('Données projet'!$B$15,Paramètres!$A$1:$I$89,3,0)*VLOOKUP('Données projet'!$B$15,Paramètres!$A$1:$I$89,5,0)</f>
        <v>2.1323478274106513</v>
      </c>
      <c r="EL7" s="14">
        <f t="shared" si="45"/>
        <v>0.89976902046433738</v>
      </c>
      <c r="EM7" s="22">
        <f t="shared" si="19"/>
        <v>5.2809368433822721</v>
      </c>
      <c r="EN7" s="62">
        <f t="shared" si="20"/>
        <v>181.36705890755923</v>
      </c>
      <c r="EO7" s="62">
        <f ca="1">AVERAGE(OFFSET($EN$3,0,0,'Données projet'!$E$15+1,1))-AVERAGE(OFFSET($H$3,0,0,'Données projet'!$E$15+1,1))</f>
        <v>281.21543175875604</v>
      </c>
      <c r="EP7" s="62">
        <f t="shared" si="46"/>
        <v>366.68536296857428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4.5884999999999998</v>
      </c>
      <c r="FE7" s="13">
        <f>IF('Données projet'!$A$218&gt;35,FE6+FD7-FM6,IF(A7&lt;'Données projet'!$A$218,$FB$205^A7,IF(A7='Données projet'!$A$218,'Données projet'!$B$218,FE6+FD7-FM6)))</f>
        <v>2.4691083396356572</v>
      </c>
      <c r="FF7" s="18">
        <f>FE7*VLOOKUP('Données projet'!$B$16,Paramètres!$A$1:$I$89,3,0)*VLOOKUP('Données projet'!$B$16,Paramètres!$A$1:$I$89,5,0)</f>
        <v>1.3802315618563326</v>
      </c>
      <c r="FG7" s="14">
        <f t="shared" si="47"/>
        <v>0.61265165582479209</v>
      </c>
      <c r="FH7" s="22">
        <f t="shared" si="22"/>
        <v>3.4709382707946248</v>
      </c>
      <c r="FI7" s="62">
        <f t="shared" si="23"/>
        <v>179.55706033497157</v>
      </c>
      <c r="FJ7" s="62">
        <f ca="1">AVERAGE(OFFSET($FI$3,0,0,'Données projet'!$E$16+1,1))-AVERAGE(OFFSET($H$3,0,0,'Données projet'!$E$16+1,1))</f>
        <v>280.9225643428145</v>
      </c>
      <c r="FK7" s="62">
        <f t="shared" si="48"/>
        <v>236.89414218053955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17.657333333333334</v>
      </c>
      <c r="FZ7" s="13">
        <f>IF('Données projet'!$A$244&gt;35,FZ6+FY7-GH6,IF(A7&lt;'Données projet'!$A$244,$FW$205^A7,IF(A7='Données projet'!$A$244,'Données projet'!$B$244,FZ6+FY7-GH6)))</f>
        <v>4.4272872424474166</v>
      </c>
      <c r="GA7" s="18">
        <f>FZ7*VLOOKUP('Données projet'!$B$17,Paramètres!$A$1:$I$89,3,0)*VLOOKUP('Données projet'!$B$17,Paramètres!$A$1:$I$89,5,0)</f>
        <v>1.9568609611617584</v>
      </c>
      <c r="GB7" s="14">
        <f t="shared" si="49"/>
        <v>0.83401613706376942</v>
      </c>
      <c r="GC7" s="22">
        <f t="shared" si="25"/>
        <v>4.860777612742794</v>
      </c>
      <c r="GD7" s="62">
        <f t="shared" si="26"/>
        <v>180.94689967691974</v>
      </c>
      <c r="GE7" s="62">
        <f ca="1">AVERAGE(OFFSET($GD$3,0,0,'Données projet'!$E$17+1,1))-AVERAGE(OFFSET($H$3,0,0,'Données projet'!$E$17+1,1))</f>
        <v>325.67421864225201</v>
      </c>
      <c r="GF7" s="62">
        <f t="shared" si="50"/>
        <v>542.01920418736745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1.2476666666666667</v>
      </c>
      <c r="GU7" s="13">
        <f>IF('Données projet'!$A$270&gt;35,GU6+GT7-HC6,IF(A7&lt;'Données projet'!$A$270,$GR$205^A7,IF(A7='Données projet'!$A$270,'Données projet'!$B$270,GU6+GT7-HC6)))</f>
        <v>1.620923966349948</v>
      </c>
      <c r="GV7" s="18">
        <f>GU7*VLOOKUP('Données projet'!$B$18,Paramètres!$A$1:$I$89,3,0)*VLOOKUP('Données projet'!$B$18,Paramètres!$A$1:$I$89,5,0)</f>
        <v>1.6436169018788473</v>
      </c>
      <c r="GW7" s="14">
        <f t="shared" si="51"/>
        <v>0.71488053777872418</v>
      </c>
      <c r="GX7" s="22">
        <f t="shared" si="28"/>
        <v>4.1077163740702707</v>
      </c>
      <c r="GY7" s="62">
        <f t="shared" si="29"/>
        <v>180.19383843824721</v>
      </c>
      <c r="GZ7" s="62">
        <f ca="1">AVERAGE(OFFSET($GY$3,0,0,'Données projet'!$E$18+1,1))-AVERAGE(OFFSET($H$3,0,0,'Données projet'!$E$18+1,1))</f>
        <v>220.89224520315713</v>
      </c>
      <c r="HA7" s="62">
        <f t="shared" si="52"/>
        <v>141.82763623159096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1.2492000000000001</v>
      </c>
      <c r="N8" s="14">
        <f>IF('Données projet'!$A$36&gt;35,N7+M8-V7,IF(A8&lt;'Données projet'!$A$36,$K$205^A8,IF(A8='Données projet'!$A$36,'Données projet'!$B$36,N7+M8-V7)))</f>
        <v>1.9902809989273944</v>
      </c>
      <c r="O8" s="14">
        <f>N8*VLOOKUP('Données projet'!$B$9,Paramètres!$A$1:$I$89,3,0)*VLOOKUP('Données projet'!$B$9,Paramètres!$A$1:$I$89,5,0)</f>
        <v>1.9249997821625759</v>
      </c>
      <c r="P8" s="14">
        <f t="shared" si="33"/>
        <v>0.82200605736545984</v>
      </c>
      <c r="Q8" s="22">
        <f t="shared" si="2"/>
        <v>4.7843685038446617</v>
      </c>
      <c r="R8" s="62">
        <f t="shared" si="0"/>
        <v>183.57541638029201</v>
      </c>
      <c r="S8" s="62">
        <f ca="1">AVERAGE(OFFSET($R$3,0,0,'Données projet'!$E$9+1,1))-AVERAGE(OFFSET($H$3,0,0,'Données projet'!$E$9+1,1))</f>
        <v>84.959354125980269</v>
      </c>
      <c r="T8" s="62">
        <f t="shared" si="34"/>
        <v>89.658970210276806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3.1414999999999997</v>
      </c>
      <c r="AI8" s="14">
        <f>IF('Données projet'!$A$62&gt;35,AI7+AH8-AQ7,IF(A8&lt;'Données projet'!$A$62,$AF$205^A8,IF(A8='Données projet'!$A$62,'Données projet'!$B$62,AI7+AH8-AQ7)))</f>
        <v>2.8154107525736509</v>
      </c>
      <c r="AJ8" s="14">
        <f>AI8*VLOOKUP('Données projet'!$B$10,Paramètres!$A$1:$I$89,3,0)*VLOOKUP('Données projet'!$B$10,Paramètres!$A$1:$I$89,5,0)</f>
        <v>2.6791448721490863</v>
      </c>
      <c r="AK8" s="14">
        <f t="shared" si="35"/>
        <v>1.1008534446146556</v>
      </c>
      <c r="AL8" s="22">
        <f t="shared" si="4"/>
        <v>6.583497068363517</v>
      </c>
      <c r="AM8" s="62">
        <f t="shared" si="5"/>
        <v>185.37454494481088</v>
      </c>
      <c r="AN8" s="62">
        <f ca="1">AVERAGE(OFFSET($AM$3,0,0,'Données projet'!$E$10+1,1))-AVERAGE(OFFSET($H$3,0,0,'Données projet'!$E$10+1,1))</f>
        <v>592.76231355549089</v>
      </c>
      <c r="AO8" s="62">
        <f t="shared" si="36"/>
        <v>200.66895551079014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1.7753333333333332</v>
      </c>
      <c r="BD8" s="13">
        <f>IF('Données projet'!$A$88&gt;35,BD7+BC8-BL7,IF(A8&lt;'Données projet'!$A$88,$BA$205^A8,IF(A8='Données projet'!$A$88,'Données projet'!$B$88,BD7+BC8-BL7)))</f>
        <v>1.9396953604801579</v>
      </c>
      <c r="BE8" s="14">
        <f>BD8*VLOOKUP('Données projet'!$B$11,Paramètres!$A$1:$I$89,3,0)*VLOOKUP('Données projet'!$B$11,Paramètres!$A$1:$I$89,5,0)</f>
        <v>1.755036362162447</v>
      </c>
      <c r="BF8" s="14">
        <f t="shared" si="37"/>
        <v>0.75753600547438571</v>
      </c>
      <c r="BG8" s="22">
        <f t="shared" si="7"/>
        <v>4.3760635403008168</v>
      </c>
      <c r="BH8" s="62">
        <f t="shared" si="8"/>
        <v>183.16711141674816</v>
      </c>
      <c r="BI8" s="62">
        <f ca="1">AVERAGE(OFFSET($BH$3,0,0,'Données projet'!$E$11+1,1))-AVERAGE(OFFSET($H$3,0,0,'Données projet'!$E$11+1,1))</f>
        <v>316.71836722354374</v>
      </c>
      <c r="BJ8" s="62">
        <f t="shared" si="38"/>
        <v>164.34067012996618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2.7920000000000003</v>
      </c>
      <c r="BY8" s="13">
        <f>IF('Données projet'!$A$114&gt;35,BY7+BX8-CG7,IF(A8&lt;'Données projet'!$A$114,$BV$205^A8,IF(A8='Données projet'!$A$114,'Données projet'!$B$114,BY7+BX8-CG7)))</f>
        <v>3.4727129854471674</v>
      </c>
      <c r="BZ8" s="14">
        <f>BY8*VLOOKUP('Données projet'!$B$12,Paramètres!$A$1:$I$89,3,0)*VLOOKUP('Données projet'!$B$12,Paramètres!$A$1:$I$89,5,0)</f>
        <v>3.9547255478272341</v>
      </c>
      <c r="CA8" s="14">
        <f t="shared" si="39"/>
        <v>1.5529735940223481</v>
      </c>
      <c r="CB8" s="22">
        <f t="shared" si="10"/>
        <v>9.5925760053880218</v>
      </c>
      <c r="CC8" s="62">
        <f t="shared" si="11"/>
        <v>188.38362388183538</v>
      </c>
      <c r="CD8" s="62">
        <f ca="1">AVERAGE(OFFSET($CC$3,0,0,'Données projet'!$E$12+1,1))-AVERAGE(OFFSET($H$3,0,0,'Données projet'!$E$12+1,1))</f>
        <v>454.9779384236806</v>
      </c>
      <c r="CE8" s="62">
        <f t="shared" si="40"/>
        <v>379.32753348721906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4.2880000000000003</v>
      </c>
      <c r="CT8" s="13">
        <f>IF('Données projet'!$A$140&gt;35,CT7+CS8-DB7,IF(A8&lt;'Données projet'!$A$140,$CQ$205^A8,IF(A8='Données projet'!$A$140,'Données projet'!$B$140,CT7+CS8-DB7)))</f>
        <v>3.0431348182806772</v>
      </c>
      <c r="CU8" s="18">
        <f>CT8*VLOOKUP('Données projet'!$B$13,Paramètres!$A$1:$I$89,3,0)*VLOOKUP('Données projet'!$B$13,Paramètres!$A$1:$I$89,5,0)</f>
        <v>2.3736451582589284</v>
      </c>
      <c r="CV8" s="14">
        <f t="shared" si="41"/>
        <v>0.98916664186707892</v>
      </c>
      <c r="CW8" s="22">
        <f t="shared" si="13"/>
        <v>5.8568972185527963</v>
      </c>
      <c r="CX8" s="62">
        <f t="shared" si="14"/>
        <v>184.64794509500015</v>
      </c>
      <c r="CY8" s="62">
        <f ca="1">AVERAGE(OFFSET($CX$3,0,0,'Données projet'!$E$13+1,1))-AVERAGE(OFFSET($H$3,0,0,'Données projet'!$E$13+1,1))</f>
        <v>252.10592533338991</v>
      </c>
      <c r="CZ8" s="62">
        <f t="shared" si="42"/>
        <v>272.71831345325313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4.4390000000000001</v>
      </c>
      <c r="DO8" s="13">
        <f>IF('Données projet'!$A$166&gt;35,DO7+DN8-DW7,IF(A8&lt;'Données projet'!$A$166,$DL$205^A8,IF(A8='Données projet'!$A$166,'Données projet'!$B$166,DO7+DN8-DW7)))</f>
        <v>3.0695787888329851</v>
      </c>
      <c r="DP8" s="18">
        <f>DO8*VLOOKUP('Données projet'!$B$14,Paramètres!$A$1:$I$89,3,0)*VLOOKUP('Données projet'!$B$14,Paramètres!$A$1:$I$89,5,0)</f>
        <v>1.8356081157221253</v>
      </c>
      <c r="DQ8" s="14">
        <f t="shared" si="43"/>
        <v>0.78818478239484902</v>
      </c>
      <c r="DR8" s="22">
        <f t="shared" si="16"/>
        <v>4.5697726308870639</v>
      </c>
      <c r="DS8" s="62">
        <f t="shared" si="17"/>
        <v>183.36082050733441</v>
      </c>
      <c r="DT8" s="62">
        <f ca="1">AVERAGE(OFFSET($DS$3,0,0,'Données projet'!$E$14+1,1))-AVERAGE(OFFSET($H$3,0,0,'Données projet'!$E$14+1,1))</f>
        <v>423.0896575168394</v>
      </c>
      <c r="DU8" s="62">
        <f t="shared" si="44"/>
        <v>305.98537395014284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2.4010000000000002</v>
      </c>
      <c r="EJ8" s="13">
        <f>IF('Données projet'!$A$192&gt;35,EJ7+EI8-ER7,IF(A8&lt;'Données projet'!$A$192,$EG$205^A8,IF(A8='Données projet'!$A$192,'Données projet'!$B$192,EJ7+EI8-ER7)))</f>
        <v>4.9000000000000012</v>
      </c>
      <c r="EK8" s="18">
        <f>EJ8*VLOOKUP('Données projet'!$B$15,Paramètres!$A$1:$I$89,3,0)*VLOOKUP('Données projet'!$B$15,Paramètres!$A$1:$I$89,5,0)</f>
        <v>2.9302000000000015</v>
      </c>
      <c r="EL8" s="14">
        <f t="shared" si="45"/>
        <v>1.1915231574642369</v>
      </c>
      <c r="EM8" s="22">
        <f t="shared" si="19"/>
        <v>7.1786678325835469</v>
      </c>
      <c r="EN8" s="62">
        <f t="shared" si="20"/>
        <v>185.96971570903091</v>
      </c>
      <c r="EO8" s="62">
        <f ca="1">AVERAGE(OFFSET($EN$3,0,0,'Données projet'!$E$15+1,1))-AVERAGE(OFFSET($H$3,0,0,'Données projet'!$E$15+1,1))</f>
        <v>281.21543175875604</v>
      </c>
      <c r="EP8" s="62">
        <f t="shared" si="46"/>
        <v>366.68536296857428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4.5884999999999998</v>
      </c>
      <c r="FE8" s="13">
        <f>IF('Données projet'!$A$218&gt;35,FE7+FD8-FM7,IF(A8&lt;'Données projet'!$A$218,$FB$205^A8,IF(A8='Données projet'!$A$218,'Données projet'!$B$218,FE7+FD8-FM7)))</f>
        <v>3.0951035467248715</v>
      </c>
      <c r="FF8" s="18">
        <f>FE8*VLOOKUP('Données projet'!$B$16,Paramètres!$A$1:$I$89,3,0)*VLOOKUP('Données projet'!$B$16,Paramètres!$A$1:$I$89,5,0)</f>
        <v>1.7301628826192033</v>
      </c>
      <c r="FG8" s="14">
        <f t="shared" si="47"/>
        <v>0.74804156466029614</v>
      </c>
      <c r="FH8" s="22">
        <f t="shared" si="22"/>
        <v>4.3162060790117946</v>
      </c>
      <c r="FI8" s="62">
        <f t="shared" si="23"/>
        <v>183.10725395545916</v>
      </c>
      <c r="FJ8" s="62">
        <f ca="1">AVERAGE(OFFSET($FI$3,0,0,'Données projet'!$E$16+1,1))-AVERAGE(OFFSET($H$3,0,0,'Données projet'!$E$16+1,1))</f>
        <v>280.9225643428145</v>
      </c>
      <c r="FK8" s="62">
        <f t="shared" si="48"/>
        <v>236.89414218053955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17.657333333333334</v>
      </c>
      <c r="FZ8" s="13">
        <f>IF('Données projet'!$A$244&gt;35,FZ7+FY8-GH7,IF(A8&lt;'Données projet'!$A$244,$FW$205^A8,IF(A8='Données projet'!$A$244,'Données projet'!$B$244,FZ7+FY8-GH7)))</f>
        <v>6.4220269670982093</v>
      </c>
      <c r="GA8" s="18">
        <f>FZ8*VLOOKUP('Données projet'!$B$17,Paramètres!$A$1:$I$89,3,0)*VLOOKUP('Données projet'!$B$17,Paramètres!$A$1:$I$89,5,0)</f>
        <v>2.8385359194574091</v>
      </c>
      <c r="GB8" s="14">
        <f t="shared" si="49"/>
        <v>1.1585272986587676</v>
      </c>
      <c r="GC8" s="22">
        <f t="shared" si="25"/>
        <v>6.9615517715523403</v>
      </c>
      <c r="GD8" s="62">
        <f t="shared" si="26"/>
        <v>185.75259964799969</v>
      </c>
      <c r="GE8" s="62">
        <f ca="1">AVERAGE(OFFSET($GD$3,0,0,'Données projet'!$E$17+1,1))-AVERAGE(OFFSET($H$3,0,0,'Données projet'!$E$17+1,1))</f>
        <v>325.67421864225201</v>
      </c>
      <c r="GF8" s="62">
        <f t="shared" si="50"/>
        <v>542.01920418736745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1.2476666666666667</v>
      </c>
      <c r="GU8" s="13">
        <f>IF('Données projet'!$A$270&gt;35,GU7+GT8-HC7,IF(A8&lt;'Données projet'!$A$270,$GR$205^A8,IF(A8='Données projet'!$A$270,'Données projet'!$B$270,GU7+GT8-HC7)))</f>
        <v>1.8289561976401147</v>
      </c>
      <c r="GV8" s="18">
        <f>GU8*VLOOKUP('Données projet'!$B$18,Paramètres!$A$1:$I$89,3,0)*VLOOKUP('Données projet'!$B$18,Paramètres!$A$1:$I$89,5,0)</f>
        <v>1.8545615844070764</v>
      </c>
      <c r="GW8" s="14">
        <f t="shared" si="51"/>
        <v>0.79537153044717201</v>
      </c>
      <c r="GX8" s="22">
        <f t="shared" si="28"/>
        <v>4.6153001750378158</v>
      </c>
      <c r="GY8" s="62">
        <f t="shared" si="29"/>
        <v>183.40634805148517</v>
      </c>
      <c r="GZ8" s="62">
        <f ca="1">AVERAGE(OFFSET($GY$3,0,0,'Données projet'!$E$18+1,1))-AVERAGE(OFFSET($H$3,0,0,'Données projet'!$E$18+1,1))</f>
        <v>220.89224520315713</v>
      </c>
      <c r="HA8" s="62">
        <f t="shared" si="52"/>
        <v>141.82763623159096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1.2492000000000001</v>
      </c>
      <c r="N9" s="14">
        <f>IF('Données projet'!$A$36&gt;35,N8+M9-V8,IF(A9&lt;'Données projet'!$A$36,$K$205^A9,IF(A9='Données projet'!$A$36,'Données projet'!$B$36,N8+M9-V8)))</f>
        <v>2.2840061880884854</v>
      </c>
      <c r="O9" s="14">
        <f>N9*VLOOKUP('Données projet'!$B$9,Paramètres!$A$1:$I$89,3,0)*VLOOKUP('Données projet'!$B$9,Paramètres!$A$1:$I$89,5,0)</f>
        <v>2.2090907851191832</v>
      </c>
      <c r="P9" s="14">
        <f t="shared" si="33"/>
        <v>0.928323127129144</v>
      </c>
      <c r="Q9" s="22">
        <f t="shared" si="2"/>
        <v>5.4643292304991684</v>
      </c>
      <c r="R9" s="62">
        <f t="shared" si="0"/>
        <v>186.93458132675815</v>
      </c>
      <c r="S9" s="62">
        <f ca="1">AVERAGE(OFFSET($R$3,0,0,'Données projet'!$E$9+1,1))-AVERAGE(OFFSET($H$3,0,0,'Données projet'!$E$9+1,1))</f>
        <v>84.959354125980269</v>
      </c>
      <c r="T9" s="62">
        <f t="shared" si="34"/>
        <v>89.658970210276806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3.1414999999999997</v>
      </c>
      <c r="AI9" s="14">
        <f>IF('Données projet'!$A$62&gt;35,AI8+AH9-AQ8,IF(A9&lt;'Données projet'!$A$62,$AF$205^A9,IF(A9='Données projet'!$A$62,'Données projet'!$B$62,AI8+AH9-AQ8)))</f>
        <v>3.4629810730396704</v>
      </c>
      <c r="AJ9" s="14">
        <f>AI9*VLOOKUP('Données projet'!$B$10,Paramètres!$A$1:$I$89,3,0)*VLOOKUP('Données projet'!$B$10,Paramètres!$A$1:$I$89,5,0)</f>
        <v>3.2953727891045506</v>
      </c>
      <c r="AK9" s="14">
        <f t="shared" si="35"/>
        <v>1.3218206319655299</v>
      </c>
      <c r="AL9" s="22">
        <f t="shared" si="4"/>
        <v>8.0416118750303891</v>
      </c>
      <c r="AM9" s="62">
        <f t="shared" si="5"/>
        <v>189.51186397128936</v>
      </c>
      <c r="AN9" s="62">
        <f ca="1">AVERAGE(OFFSET($AM$3,0,0,'Données projet'!$E$10+1,1))-AVERAGE(OFFSET($H$3,0,0,'Données projet'!$E$10+1,1))</f>
        <v>592.76231355549089</v>
      </c>
      <c r="AO9" s="62">
        <f t="shared" si="36"/>
        <v>200.66895551079014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1.7753333333333332</v>
      </c>
      <c r="BD9" s="13">
        <f>IF('Données projet'!$A$88&gt;35,BD8+BC9-BL8,IF(A9&lt;'Données projet'!$A$88,$BA$205^A9,IF(A9='Données projet'!$A$88,'Données projet'!$B$88,BD8+BC9-BL8)))</f>
        <v>2.2145231896923008</v>
      </c>
      <c r="BE9" s="14">
        <f>BD9*VLOOKUP('Données projet'!$B$11,Paramètres!$A$1:$I$89,3,0)*VLOOKUP('Données projet'!$B$11,Paramètres!$A$1:$I$89,5,0)</f>
        <v>2.0037005820335936</v>
      </c>
      <c r="BF9" s="14">
        <f t="shared" si="37"/>
        <v>0.85163117013100764</v>
      </c>
      <c r="BG9" s="22">
        <f t="shared" si="7"/>
        <v>4.9730361350200143</v>
      </c>
      <c r="BH9" s="62">
        <f t="shared" si="8"/>
        <v>186.44328823127898</v>
      </c>
      <c r="BI9" s="62">
        <f ca="1">AVERAGE(OFFSET($BH$3,0,0,'Données projet'!$E$11+1,1))-AVERAGE(OFFSET($H$3,0,0,'Données projet'!$E$11+1,1))</f>
        <v>316.71836722354374</v>
      </c>
      <c r="BJ9" s="62">
        <f t="shared" si="38"/>
        <v>164.34067012996618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2.7920000000000003</v>
      </c>
      <c r="BY9" s="13">
        <f>IF('Données projet'!$A$114&gt;35,BY8+BX9-CG8,IF(A9&lt;'Données projet'!$A$114,$BV$205^A9,IF(A9='Données projet'!$A$114,'Données projet'!$B$114,BY8+BX9-CG8)))</f>
        <v>4.4545380114012421</v>
      </c>
      <c r="BZ9" s="14">
        <f>BY9*VLOOKUP('Données projet'!$B$12,Paramètres!$A$1:$I$89,3,0)*VLOOKUP('Données projet'!$B$12,Paramètres!$A$1:$I$89,5,0)</f>
        <v>5.0728278873837338</v>
      </c>
      <c r="CA9" s="14">
        <f t="shared" si="39"/>
        <v>1.9351341523819312</v>
      </c>
      <c r="CB9" s="22">
        <f t="shared" si="10"/>
        <v>12.205533885925199</v>
      </c>
      <c r="CC9" s="62">
        <f t="shared" si="11"/>
        <v>193.67578598218418</v>
      </c>
      <c r="CD9" s="62">
        <f ca="1">AVERAGE(OFFSET($CC$3,0,0,'Données projet'!$E$12+1,1))-AVERAGE(OFFSET($H$3,0,0,'Données projet'!$E$12+1,1))</f>
        <v>454.9779384236806</v>
      </c>
      <c r="CE9" s="62">
        <f t="shared" si="40"/>
        <v>379.32753348721906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4.2880000000000003</v>
      </c>
      <c r="CT9" s="13">
        <f>IF('Données projet'!$A$140&gt;35,CT8+CS9-DB8,IF(A9&lt;'Données projet'!$A$140,$CQ$205^A9,IF(A9='Données projet'!$A$140,'Données projet'!$B$140,CT8+CS9-DB8)))</f>
        <v>3.8017664318008864</v>
      </c>
      <c r="CU9" s="18">
        <f>CT9*VLOOKUP('Données projet'!$B$13,Paramètres!$A$1:$I$89,3,0)*VLOOKUP('Données projet'!$B$13,Paramètres!$A$1:$I$89,5,0)</f>
        <v>2.9653778168046916</v>
      </c>
      <c r="CV9" s="14">
        <f t="shared" si="41"/>
        <v>1.2041538630228155</v>
      </c>
      <c r="CW9" s="22">
        <f t="shared" si="13"/>
        <v>7.2619343423662421</v>
      </c>
      <c r="CX9" s="62">
        <f t="shared" si="14"/>
        <v>188.73218643862521</v>
      </c>
      <c r="CY9" s="62">
        <f ca="1">AVERAGE(OFFSET($CX$3,0,0,'Données projet'!$E$13+1,1))-AVERAGE(OFFSET($H$3,0,0,'Données projet'!$E$13+1,1))</f>
        <v>252.10592533338991</v>
      </c>
      <c r="CZ9" s="62">
        <f t="shared" si="42"/>
        <v>272.71831345325313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4.4390000000000001</v>
      </c>
      <c r="DO9" s="13">
        <f>IF('Données projet'!$A$166&gt;35,DO8+DN9-DW8,IF(A9&lt;'Données projet'!$A$166,$DL$205^A9,IF(A9='Données projet'!$A$166,'Données projet'!$B$166,DO8+DN9-DW8)))</f>
        <v>3.8414443159257905</v>
      </c>
      <c r="DP9" s="18">
        <f>DO9*VLOOKUP('Données projet'!$B$14,Paramètres!$A$1:$I$89,3,0)*VLOOKUP('Données projet'!$B$14,Paramètres!$A$1:$I$89,5,0)</f>
        <v>2.2971837009236227</v>
      </c>
      <c r="DQ9" s="14">
        <f t="shared" si="43"/>
        <v>0.96095844672842656</v>
      </c>
      <c r="DR9" s="22">
        <f t="shared" si="16"/>
        <v>5.6745975738273193</v>
      </c>
      <c r="DS9" s="62">
        <f t="shared" si="17"/>
        <v>187.1448496700863</v>
      </c>
      <c r="DT9" s="62">
        <f ca="1">AVERAGE(OFFSET($DS$3,0,0,'Données projet'!$E$14+1,1))-AVERAGE(OFFSET($H$3,0,0,'Données projet'!$E$14+1,1))</f>
        <v>423.0896575168394</v>
      </c>
      <c r="DU9" s="62">
        <f t="shared" si="44"/>
        <v>305.98537395014284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2.4010000000000002</v>
      </c>
      <c r="EJ9" s="13">
        <f>IF('Données projet'!$A$192&gt;35,EJ8+EI9-ER8,IF(A9&lt;'Données projet'!$A$192,$EG$205^A9,IF(A9='Données projet'!$A$192,'Données projet'!$B$192,EJ8+EI9-ER8)))</f>
        <v>6.7334136651782384</v>
      </c>
      <c r="EK9" s="18">
        <f>EJ9*VLOOKUP('Données projet'!$B$15,Paramètres!$A$1:$I$89,3,0)*VLOOKUP('Données projet'!$B$15,Paramètres!$A$1:$I$89,5,0)</f>
        <v>4.0265813717765866</v>
      </c>
      <c r="EL9" s="14">
        <f t="shared" si="45"/>
        <v>1.5778798808174967</v>
      </c>
      <c r="EM9" s="22">
        <f t="shared" si="19"/>
        <v>9.7611033482680281</v>
      </c>
      <c r="EN9" s="62">
        <f t="shared" si="20"/>
        <v>191.231355444527</v>
      </c>
      <c r="EO9" s="62">
        <f ca="1">AVERAGE(OFFSET($EN$3,0,0,'Données projet'!$E$15+1,1))-AVERAGE(OFFSET($H$3,0,0,'Données projet'!$E$15+1,1))</f>
        <v>281.21543175875604</v>
      </c>
      <c r="EP9" s="62">
        <f t="shared" si="46"/>
        <v>366.68536296857428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4.5884999999999998</v>
      </c>
      <c r="FE9" s="13">
        <f>IF('Données projet'!$A$218&gt;35,FE8+FD9-FM8,IF(A9&lt;'Données projet'!$A$218,$FB$205^A9,IF(A9='Données projet'!$A$218,'Données projet'!$B$218,FE8+FD9-FM8)))</f>
        <v>3.8798078687638546</v>
      </c>
      <c r="FF9" s="18">
        <f>FE9*VLOOKUP('Données projet'!$B$16,Paramètres!$A$1:$I$89,3,0)*VLOOKUP('Données projet'!$B$16,Paramètres!$A$1:$I$89,5,0)</f>
        <v>2.1688125986389948</v>
      </c>
      <c r="FG9" s="14">
        <f t="shared" si="47"/>
        <v>0.91335129373983182</v>
      </c>
      <c r="FH9" s="22">
        <f t="shared" si="22"/>
        <v>5.3681021125597894</v>
      </c>
      <c r="FI9" s="62">
        <f t="shared" si="23"/>
        <v>186.83835420881877</v>
      </c>
      <c r="FJ9" s="62">
        <f ca="1">AVERAGE(OFFSET($FI$3,0,0,'Données projet'!$E$16+1,1))-AVERAGE(OFFSET($H$3,0,0,'Données projet'!$E$16+1,1))</f>
        <v>280.9225643428145</v>
      </c>
      <c r="FK9" s="62">
        <f t="shared" si="48"/>
        <v>236.89414218053955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17.657333333333334</v>
      </c>
      <c r="FZ9" s="13">
        <f>IF('Données projet'!$A$244&gt;35,FZ8+FY9-GH8,IF(A9&lt;'Données projet'!$A$244,$FW$205^A9,IF(A9='Données projet'!$A$244,'Données projet'!$B$244,FZ8+FY9-GH8)))</f>
        <v>9.3155081447432124</v>
      </c>
      <c r="GA9" s="18">
        <f>FZ9*VLOOKUP('Données projet'!$B$17,Paramètres!$A$1:$I$89,3,0)*VLOOKUP('Données projet'!$B$17,Paramètres!$A$1:$I$89,5,0)</f>
        <v>4.1174545999765</v>
      </c>
      <c r="GB9" s="14">
        <f t="shared" si="49"/>
        <v>1.6093039955592086</v>
      </c>
      <c r="GC9" s="22">
        <f t="shared" si="25"/>
        <v>9.9741045538913564</v>
      </c>
      <c r="GD9" s="62">
        <f t="shared" si="26"/>
        <v>191.44435665015033</v>
      </c>
      <c r="GE9" s="62">
        <f ca="1">AVERAGE(OFFSET($GD$3,0,0,'Données projet'!$E$17+1,1))-AVERAGE(OFFSET($H$3,0,0,'Données projet'!$E$17+1,1))</f>
        <v>325.67421864225201</v>
      </c>
      <c r="GF9" s="62">
        <f t="shared" si="50"/>
        <v>542.01920418736745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1.2476666666666667</v>
      </c>
      <c r="GU9" s="13">
        <f>IF('Données projet'!$A$270&gt;35,GU8+GT9-HC8,IF(A9&lt;'Données projet'!$A$270,$GR$205^A9,IF(A9='Données projet'!$A$270,'Données projet'!$B$270,GU8+GT9-HC8)))</f>
        <v>2.0636876511973314</v>
      </c>
      <c r="GV9" s="18">
        <f>GU9*VLOOKUP('Données projet'!$B$18,Paramètres!$A$1:$I$89,3,0)*VLOOKUP('Données projet'!$B$18,Paramètres!$A$1:$I$89,5,0)</f>
        <v>2.0925792783140942</v>
      </c>
      <c r="GW9" s="14">
        <f t="shared" si="51"/>
        <v>0.88492529592642122</v>
      </c>
      <c r="GX9" s="22">
        <f t="shared" si="28"/>
        <v>5.1858204668022303</v>
      </c>
      <c r="GY9" s="62">
        <f t="shared" si="29"/>
        <v>186.6560725630612</v>
      </c>
      <c r="GZ9" s="62">
        <f ca="1">AVERAGE(OFFSET($GY$3,0,0,'Données projet'!$E$18+1,1))-AVERAGE(OFFSET($H$3,0,0,'Données projet'!$E$18+1,1))</f>
        <v>220.89224520315713</v>
      </c>
      <c r="HA9" s="62">
        <f t="shared" si="52"/>
        <v>141.82763623159096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1.2492000000000001</v>
      </c>
      <c r="N10" s="14">
        <f>IF('Données projet'!$A$36&gt;35,N9+M10-V9,IF(A10&lt;'Données projet'!$A$36,$K$205^A10,IF(A10='Données projet'!$A$36,'Données projet'!$B$36,N9+M10-V9)))</f>
        <v>2.6210792697301928</v>
      </c>
      <c r="O10" s="14">
        <f>N10*VLOOKUP('Données projet'!$B$9,Paramètres!$A$1:$I$89,3,0)*VLOOKUP('Données projet'!$B$9,Paramètres!$A$1:$I$89,5,0)</f>
        <v>2.5351078696830425</v>
      </c>
      <c r="P10" s="14">
        <f t="shared" si="33"/>
        <v>1.0483910923051605</v>
      </c>
      <c r="Q10" s="22">
        <f t="shared" si="2"/>
        <v>6.2412606921294538</v>
      </c>
      <c r="R10" s="62">
        <f t="shared" si="0"/>
        <v>190.36544162786569</v>
      </c>
      <c r="S10" s="62">
        <f ca="1">AVERAGE(OFFSET($R$3,0,0,'Données projet'!$E$9+1,1))-AVERAGE(OFFSET($H$3,0,0,'Données projet'!$E$9+1,1))</f>
        <v>84.959354125980269</v>
      </c>
      <c r="T10" s="62">
        <f t="shared" si="34"/>
        <v>89.658970210276806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3.1414999999999997</v>
      </c>
      <c r="AI10" s="14">
        <f>IF('Données projet'!$A$62&gt;35,AI9+AH10-AQ9,IF(A10&lt;'Données projet'!$A$62,$AF$205^A10,IF(A10='Données projet'!$A$62,'Données projet'!$B$62,AI9+AH10-AQ9)))</f>
        <v>4.2594985123462088</v>
      </c>
      <c r="AJ10" s="14">
        <f>AI10*VLOOKUP('Données projet'!$B$10,Paramètres!$A$1:$I$89,3,0)*VLOOKUP('Données projet'!$B$10,Paramètres!$A$1:$I$89,5,0)</f>
        <v>4.0533387843486519</v>
      </c>
      <c r="AK10" s="14">
        <f t="shared" si="35"/>
        <v>1.5871411327611809</v>
      </c>
      <c r="AL10" s="22">
        <f t="shared" si="4"/>
        <v>9.8238358556329572</v>
      </c>
      <c r="AM10" s="62">
        <f t="shared" si="5"/>
        <v>193.94801679136918</v>
      </c>
      <c r="AN10" s="62">
        <f ca="1">AVERAGE(OFFSET($AM$3,0,0,'Données projet'!$E$10+1,1))-AVERAGE(OFFSET($H$3,0,0,'Données projet'!$E$10+1,1))</f>
        <v>592.76231355549089</v>
      </c>
      <c r="AO10" s="62">
        <f t="shared" si="36"/>
        <v>200.66895551079014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1.7753333333333332</v>
      </c>
      <c r="BD10" s="13">
        <f>IF('Données projet'!$A$88&gt;35,BD9+BC10-BL9,IF(A10&lt;'Données projet'!$A$88,$BA$205^A10,IF(A10='Données projet'!$A$88,'Données projet'!$B$88,BD9+BC10-BL9)))</f>
        <v>2.5282902963025</v>
      </c>
      <c r="BE10" s="14">
        <f>BD10*VLOOKUP('Données projet'!$B$11,Paramètres!$A$1:$I$89,3,0)*VLOOKUP('Données projet'!$B$11,Paramètres!$A$1:$I$89,5,0)</f>
        <v>2.2875970600945021</v>
      </c>
      <c r="BF10" s="14">
        <f t="shared" si="37"/>
        <v>0.95741409609240424</v>
      </c>
      <c r="BG10" s="22">
        <f t="shared" si="7"/>
        <v>5.6517277636921941</v>
      </c>
      <c r="BH10" s="62">
        <f t="shared" si="8"/>
        <v>189.77590869942844</v>
      </c>
      <c r="BI10" s="62">
        <f ca="1">AVERAGE(OFFSET($BH$3,0,0,'Données projet'!$E$11+1,1))-AVERAGE(OFFSET($H$3,0,0,'Données projet'!$E$11+1,1))</f>
        <v>316.71836722354374</v>
      </c>
      <c r="BJ10" s="62">
        <f t="shared" si="38"/>
        <v>164.34067012996618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2.7920000000000003</v>
      </c>
      <c r="BY10" s="13">
        <f>IF('Données projet'!$A$114&gt;35,BY9+BX10-CG9,IF(A10&lt;'Données projet'!$A$114,$BV$205^A10,IF(A10='Données projet'!$A$114,'Données projet'!$B$114,BY9+BX10-CG9)))</f>
        <v>5.7139501531432888</v>
      </c>
      <c r="BZ10" s="14">
        <f>BY10*VLOOKUP('Données projet'!$B$12,Paramètres!$A$1:$I$89,3,0)*VLOOKUP('Données projet'!$B$12,Paramètres!$A$1:$I$89,5,0)</f>
        <v>6.5070464343995775</v>
      </c>
      <c r="CA10" s="14">
        <f t="shared" si="39"/>
        <v>2.4113379661631549</v>
      </c>
      <c r="CB10" s="22">
        <f t="shared" si="10"/>
        <v>15.53285283098009</v>
      </c>
      <c r="CC10" s="62">
        <f t="shared" si="11"/>
        <v>199.65703376671632</v>
      </c>
      <c r="CD10" s="62">
        <f ca="1">AVERAGE(OFFSET($CC$3,0,0,'Données projet'!$E$12+1,1))-AVERAGE(OFFSET($H$3,0,0,'Données projet'!$E$12+1,1))</f>
        <v>454.9779384236806</v>
      </c>
      <c r="CE10" s="62">
        <f t="shared" si="40"/>
        <v>379.32753348721906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4.2880000000000003</v>
      </c>
      <c r="CT10" s="13">
        <f>IF('Données projet'!$A$140&gt;35,CT9+CS10-DB9,IF(A10&lt;'Données projet'!$A$140,$CQ$205^A10,IF(A10='Données projet'!$A$140,'Données projet'!$B$140,CT9+CS10-DB9)))</f>
        <v>4.7495194478876233</v>
      </c>
      <c r="CU10" s="18">
        <f>CT10*VLOOKUP('Données projet'!$B$13,Paramètres!$A$1:$I$89,3,0)*VLOOKUP('Données projet'!$B$13,Paramètres!$A$1:$I$89,5,0)</f>
        <v>3.7046251693523464</v>
      </c>
      <c r="CV10" s="14">
        <f t="shared" si="41"/>
        <v>1.465866785697383</v>
      </c>
      <c r="CW10" s="22">
        <f t="shared" si="13"/>
        <v>9.0052734883782772</v>
      </c>
      <c r="CX10" s="62">
        <f t="shared" si="14"/>
        <v>193.1294544241145</v>
      </c>
      <c r="CY10" s="62">
        <f ca="1">AVERAGE(OFFSET($CX$3,0,0,'Données projet'!$E$13+1,1))-AVERAGE(OFFSET($H$3,0,0,'Données projet'!$E$13+1,1))</f>
        <v>252.10592533338991</v>
      </c>
      <c r="CZ10" s="62">
        <f t="shared" si="42"/>
        <v>272.71831345325313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4.4390000000000001</v>
      </c>
      <c r="DO10" s="13">
        <f>IF('Données projet'!$A$166&gt;35,DO9+DN10-DW9,IF(A10&lt;'Données projet'!$A$166,$DL$205^A10,IF(A10='Données projet'!$A$166,'Données projet'!$B$166,DO9+DN10-DW9)))</f>
        <v>4.8074004440097369</v>
      </c>
      <c r="DP10" s="18">
        <f>DO10*VLOOKUP('Données projet'!$B$14,Paramètres!$A$1:$I$89,3,0)*VLOOKUP('Données projet'!$B$14,Paramètres!$A$1:$I$89,5,0)</f>
        <v>2.8748254655178229</v>
      </c>
      <c r="DQ10" s="14">
        <f t="shared" si="43"/>
        <v>1.171604878659156</v>
      </c>
      <c r="DR10" s="22">
        <f t="shared" si="16"/>
        <v>7.0475328494415725</v>
      </c>
      <c r="DS10" s="62">
        <f t="shared" si="17"/>
        <v>191.17171378517781</v>
      </c>
      <c r="DT10" s="62">
        <f ca="1">AVERAGE(OFFSET($DS$3,0,0,'Données projet'!$E$14+1,1))-AVERAGE(OFFSET($H$3,0,0,'Données projet'!$E$14+1,1))</f>
        <v>423.0896575168394</v>
      </c>
      <c r="DU10" s="62">
        <f t="shared" si="44"/>
        <v>305.98537395014284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2.4010000000000002</v>
      </c>
      <c r="EJ10" s="13">
        <f>IF('Données projet'!$A$192&gt;35,EJ9+EI10-ER9,IF(A10&lt;'Données projet'!$A$192,$EG$205^A10,IF(A10='Données projet'!$A$192,'Données projet'!$B$192,EJ9+EI10-ER9)))</f>
        <v>9.2528284870222492</v>
      </c>
      <c r="EK10" s="18">
        <f>EJ10*VLOOKUP('Données projet'!$B$15,Paramètres!$A$1:$I$89,3,0)*VLOOKUP('Données projet'!$B$15,Paramètres!$A$1:$I$89,5,0)</f>
        <v>5.5331914352393055</v>
      </c>
      <c r="EL10" s="14">
        <f t="shared" si="45"/>
        <v>2.0895145030896018</v>
      </c>
      <c r="EM10" s="22">
        <f t="shared" si="19"/>
        <v>13.276212842589514</v>
      </c>
      <c r="EN10" s="62">
        <f t="shared" si="20"/>
        <v>197.40039377832574</v>
      </c>
      <c r="EO10" s="62">
        <f ca="1">AVERAGE(OFFSET($EN$3,0,0,'Données projet'!$E$15+1,1))-AVERAGE(OFFSET($H$3,0,0,'Données projet'!$E$15+1,1))</f>
        <v>281.21543175875604</v>
      </c>
      <c r="EP10" s="62">
        <f t="shared" si="46"/>
        <v>366.68536296857428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4.5884999999999998</v>
      </c>
      <c r="FE10" s="13">
        <f>IF('Données projet'!$A$218&gt;35,FE9+FD10-FM9,IF(A10&lt;'Données projet'!$A$218,$FB$205^A10,IF(A10='Données projet'!$A$218,'Données projet'!$B$218,FE9+FD10-FM9)))</f>
        <v>4.8634589671322548</v>
      </c>
      <c r="FF10" s="18">
        <f>FE10*VLOOKUP('Données projet'!$B$16,Paramètres!$A$1:$I$89,3,0)*VLOOKUP('Données projet'!$B$16,Paramètres!$A$1:$I$89,5,0)</f>
        <v>2.7186735626269307</v>
      </c>
      <c r="FG10" s="14">
        <f t="shared" si="47"/>
        <v>1.1151928250872798</v>
      </c>
      <c r="FH10" s="22">
        <f t="shared" si="22"/>
        <v>6.6773172919355828</v>
      </c>
      <c r="FI10" s="62">
        <f t="shared" si="23"/>
        <v>190.80149822767183</v>
      </c>
      <c r="FJ10" s="62">
        <f ca="1">AVERAGE(OFFSET($FI$3,0,0,'Données projet'!$E$16+1,1))-AVERAGE(OFFSET($H$3,0,0,'Données projet'!$E$16+1,1))</f>
        <v>280.9225643428145</v>
      </c>
      <c r="FK10" s="62">
        <f t="shared" si="48"/>
        <v>236.89414218053955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17.657333333333334</v>
      </c>
      <c r="FZ10" s="13">
        <f>IF('Données projet'!$A$244&gt;35,FZ9+FY10-GH9,IF(A10&lt;'Données projet'!$A$244,$FW$205^A10,IF(A10='Données projet'!$A$244,'Données projet'!$B$244,FZ9+FY10-GH9)))</f>
        <v>13.512663904927209</v>
      </c>
      <c r="GA10" s="18">
        <f>FZ10*VLOOKUP('Données projet'!$B$17,Paramètres!$A$1:$I$89,3,0)*VLOOKUP('Données projet'!$B$17,Paramètres!$A$1:$I$89,5,0)</f>
        <v>5.9725974459778266</v>
      </c>
      <c r="GB10" s="14">
        <f t="shared" si="49"/>
        <v>2.2354754636521097</v>
      </c>
      <c r="GC10" s="22">
        <f t="shared" si="25"/>
        <v>14.295726984272141</v>
      </c>
      <c r="GD10" s="62">
        <f t="shared" si="26"/>
        <v>198.41990792000837</v>
      </c>
      <c r="GE10" s="62">
        <f ca="1">AVERAGE(OFFSET($GD$3,0,0,'Données projet'!$E$17+1,1))-AVERAGE(OFFSET($H$3,0,0,'Données projet'!$E$17+1,1))</f>
        <v>325.67421864225201</v>
      </c>
      <c r="GF10" s="62">
        <f t="shared" si="50"/>
        <v>542.01920418736745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1.2476666666666667</v>
      </c>
      <c r="GU10" s="13">
        <f>IF('Données projet'!$A$270&gt;35,GU9+GT10-HC9,IF(A10&lt;'Données projet'!$A$270,$GR$205^A10,IF(A10='Données projet'!$A$270,'Données projet'!$B$270,GU9+GT10-HC9)))</f>
        <v>2.3285449521423516</v>
      </c>
      <c r="GV10" s="18">
        <f>GU10*VLOOKUP('Données projet'!$B$18,Paramètres!$A$1:$I$89,3,0)*VLOOKUP('Données projet'!$B$18,Paramètres!$A$1:$I$89,5,0)</f>
        <v>2.3611445814723448</v>
      </c>
      <c r="GW10" s="14">
        <f t="shared" si="51"/>
        <v>0.98456224467852849</v>
      </c>
      <c r="GX10" s="22">
        <f t="shared" si="28"/>
        <v>5.8271060555461043</v>
      </c>
      <c r="GY10" s="62">
        <f t="shared" si="29"/>
        <v>189.95128699128233</v>
      </c>
      <c r="GZ10" s="62">
        <f ca="1">AVERAGE(OFFSET($GY$3,0,0,'Données projet'!$E$18+1,1))-AVERAGE(OFFSET($H$3,0,0,'Données projet'!$E$18+1,1))</f>
        <v>220.89224520315713</v>
      </c>
      <c r="HA10" s="62">
        <f t="shared" si="52"/>
        <v>141.82763623159096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1.2492000000000001</v>
      </c>
      <c r="N11" s="14">
        <f>IF('Données projet'!$A$36&gt;35,N10+M11-V10,IF(A11&lt;'Données projet'!$A$36,$K$205^A11,IF(A11='Données projet'!$A$36,'Données projet'!$B$36,N10+M11-V10)))</f>
        <v>3.0078975153561212</v>
      </c>
      <c r="O11" s="14">
        <f>N11*VLOOKUP('Données projet'!$B$9,Paramètres!$A$1:$I$89,3,0)*VLOOKUP('Données projet'!$B$9,Paramètres!$A$1:$I$89,5,0)</f>
        <v>2.9092384768524404</v>
      </c>
      <c r="P11" s="14">
        <f t="shared" si="33"/>
        <v>1.1839884737374449</v>
      </c>
      <c r="Q11" s="22">
        <f t="shared" si="2"/>
        <v>7.1290369389440507</v>
      </c>
      <c r="R11" s="62">
        <f t="shared" si="0"/>
        <v>193.8823098051646</v>
      </c>
      <c r="S11" s="62">
        <f ca="1">AVERAGE(OFFSET($R$3,0,0,'Données projet'!$E$9+1,1))-AVERAGE(OFFSET($H$3,0,0,'Données projet'!$E$9+1,1))</f>
        <v>84.959354125980269</v>
      </c>
      <c r="T11" s="62">
        <f t="shared" si="34"/>
        <v>89.658970210276806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3.1414999999999997</v>
      </c>
      <c r="AI11" s="14">
        <f>IF('Données projet'!$A$62&gt;35,AI10+AH11-AQ10,IF(A11&lt;'Données projet'!$A$62,$AF$205^A11,IF(A11='Données projet'!$A$62,'Données projet'!$B$62,AI10+AH11-AQ10)))</f>
        <v>5.2392222752618327</v>
      </c>
      <c r="AJ11" s="14">
        <f>AI11*VLOOKUP('Données projet'!$B$10,Paramètres!$A$1:$I$89,3,0)*VLOOKUP('Données projet'!$B$10,Paramètres!$A$1:$I$89,5,0)</f>
        <v>4.9856439171391598</v>
      </c>
      <c r="AK11" s="14">
        <f t="shared" si="35"/>
        <v>1.9057177005602488</v>
      </c>
      <c r="AL11" s="22">
        <f t="shared" si="4"/>
        <v>12.002454817493136</v>
      </c>
      <c r="AM11" s="62">
        <f t="shared" si="5"/>
        <v>198.7557276837137</v>
      </c>
      <c r="AN11" s="62">
        <f ca="1">AVERAGE(OFFSET($AM$3,0,0,'Données projet'!$E$10+1,1))-AVERAGE(OFFSET($H$3,0,0,'Données projet'!$E$10+1,1))</f>
        <v>592.76231355549089</v>
      </c>
      <c r="AO11" s="62">
        <f t="shared" si="36"/>
        <v>200.66895551079014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1.7753333333333332</v>
      </c>
      <c r="BD11" s="13">
        <f>IF('Données projet'!$A$88&gt;35,BD10+BC11-BL10,IF(A11&lt;'Données projet'!$A$88,$BA$205^A11,IF(A11='Données projet'!$A$88,'Données projet'!$B$88,BD10+BC11-BL10)))</f>
        <v>2.8865138338269376</v>
      </c>
      <c r="BE11" s="14">
        <f>BD11*VLOOKUP('Données projet'!$B$11,Paramètres!$A$1:$I$89,3,0)*VLOOKUP('Données projet'!$B$11,Paramètres!$A$1:$I$89,5,0)</f>
        <v>2.6117177168466132</v>
      </c>
      <c r="BF11" s="14">
        <f t="shared" si="37"/>
        <v>1.0763365451448035</v>
      </c>
      <c r="BG11" s="22">
        <f t="shared" si="7"/>
        <v>6.4233611729683844</v>
      </c>
      <c r="BH11" s="62">
        <f t="shared" si="8"/>
        <v>193.17663403918894</v>
      </c>
      <c r="BI11" s="62">
        <f ca="1">AVERAGE(OFFSET($BH$3,0,0,'Données projet'!$E$11+1,1))-AVERAGE(OFFSET($H$3,0,0,'Données projet'!$E$11+1,1))</f>
        <v>316.71836722354374</v>
      </c>
      <c r="BJ11" s="62">
        <f t="shared" si="38"/>
        <v>164.34067012996618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2.7920000000000003</v>
      </c>
      <c r="BY11" s="13">
        <f>IF('Données projet'!$A$114&gt;35,BY10+BX11-CG10,IF(A11&lt;'Données projet'!$A$114,$BV$205^A11,IF(A11='Données projet'!$A$114,'Données projet'!$B$114,BY10+BX11-CG10)))</f>
        <v>7.3294304076071652</v>
      </c>
      <c r="BZ11" s="14">
        <f>BY11*VLOOKUP('Données projet'!$B$12,Paramètres!$A$1:$I$89,3,0)*VLOOKUP('Données projet'!$B$12,Paramètres!$A$1:$I$89,5,0)</f>
        <v>8.3467553481830397</v>
      </c>
      <c r="CA11" s="14">
        <f t="shared" si="39"/>
        <v>3.0047274913229174</v>
      </c>
      <c r="CB11" s="22">
        <f t="shared" si="10"/>
        <v>19.770499278806209</v>
      </c>
      <c r="CC11" s="62">
        <f t="shared" si="11"/>
        <v>206.52377214502675</v>
      </c>
      <c r="CD11" s="62">
        <f ca="1">AVERAGE(OFFSET($CC$3,0,0,'Données projet'!$E$12+1,1))-AVERAGE(OFFSET($H$3,0,0,'Données projet'!$E$12+1,1))</f>
        <v>454.9779384236806</v>
      </c>
      <c r="CE11" s="62">
        <f t="shared" si="40"/>
        <v>379.32753348721906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4.2880000000000003</v>
      </c>
      <c r="CT11" s="13">
        <f>IF('Données projet'!$A$140&gt;35,CT10+CS11-DB10,IF(A11&lt;'Données projet'!$A$140,$CQ$205^A11,IF(A11='Données projet'!$A$140,'Données projet'!$B$140,CT10+CS11-DB10)))</f>
        <v>5.9335404713900637</v>
      </c>
      <c r="CU11" s="18">
        <f>CT11*VLOOKUP('Données projet'!$B$13,Paramètres!$A$1:$I$89,3,0)*VLOOKUP('Données projet'!$B$13,Paramètres!$A$1:$I$89,5,0)</f>
        <v>4.6281615676842502</v>
      </c>
      <c r="CV11" s="14">
        <f t="shared" si="41"/>
        <v>1.784460856203776</v>
      </c>
      <c r="CW11" s="22">
        <f t="shared" si="13"/>
        <v>11.168650721604978</v>
      </c>
      <c r="CX11" s="62">
        <f t="shared" si="14"/>
        <v>197.92192358782555</v>
      </c>
      <c r="CY11" s="62">
        <f ca="1">AVERAGE(OFFSET($CX$3,0,0,'Données projet'!$E$13+1,1))-AVERAGE(OFFSET($H$3,0,0,'Données projet'!$E$13+1,1))</f>
        <v>252.10592533338991</v>
      </c>
      <c r="CZ11" s="62">
        <f t="shared" si="42"/>
        <v>272.71831345325313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4.4390000000000001</v>
      </c>
      <c r="DO11" s="13">
        <f>IF('Données projet'!$A$166&gt;35,DO10+DN11-DW10,IF(A11&lt;'Données projet'!$A$166,$DL$205^A11,IF(A11='Données projet'!$A$166,'Données projet'!$B$166,DO10+DN11-DW10)))</f>
        <v>6.0162525155581301</v>
      </c>
      <c r="DP11" s="18">
        <f>DO11*VLOOKUP('Données projet'!$B$14,Paramètres!$A$1:$I$89,3,0)*VLOOKUP('Données projet'!$B$14,Paramètres!$A$1:$I$89,5,0)</f>
        <v>3.5977190043037619</v>
      </c>
      <c r="DQ11" s="14">
        <f t="shared" si="43"/>
        <v>1.4284259599061084</v>
      </c>
      <c r="DR11" s="22">
        <f t="shared" si="16"/>
        <v>8.7538691459988573</v>
      </c>
      <c r="DS11" s="62">
        <f t="shared" si="17"/>
        <v>195.50714201221942</v>
      </c>
      <c r="DT11" s="62">
        <f ca="1">AVERAGE(OFFSET($DS$3,0,0,'Données projet'!$E$14+1,1))-AVERAGE(OFFSET($H$3,0,0,'Données projet'!$E$14+1,1))</f>
        <v>423.0896575168394</v>
      </c>
      <c r="DU11" s="62">
        <f t="shared" si="44"/>
        <v>305.98537395014284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2.4010000000000002</v>
      </c>
      <c r="EJ11" s="13">
        <f>IF('Données projet'!$A$192&gt;35,EJ10+EI11-ER10,IF(A11&lt;'Données projet'!$A$192,$EG$205^A11,IF(A11='Données projet'!$A$192,'Données projet'!$B$192,EJ10+EI11-ER10)))</f>
        <v>12.714922811442056</v>
      </c>
      <c r="EK11" s="18">
        <f>EJ11*VLOOKUP('Données projet'!$B$15,Paramètres!$A$1:$I$89,3,0)*VLOOKUP('Données projet'!$B$15,Paramètres!$A$1:$I$89,5,0)</f>
        <v>7.6035238412423505</v>
      </c>
      <c r="EL11" s="14">
        <f t="shared" si="45"/>
        <v>2.7670489444099706</v>
      </c>
      <c r="EM11" s="22">
        <f t="shared" si="19"/>
        <v>18.062080935011128</v>
      </c>
      <c r="EN11" s="62">
        <f t="shared" si="20"/>
        <v>204.81535380123168</v>
      </c>
      <c r="EO11" s="62">
        <f ca="1">AVERAGE(OFFSET($EN$3,0,0,'Données projet'!$E$15+1,1))-AVERAGE(OFFSET($H$3,0,0,'Données projet'!$E$15+1,1))</f>
        <v>281.21543175875604</v>
      </c>
      <c r="EP11" s="62">
        <f t="shared" si="46"/>
        <v>366.68536296857428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4.5884999999999998</v>
      </c>
      <c r="FE11" s="13">
        <f>IF('Données projet'!$A$218&gt;35,FE10+FD11-FM10,IF(A11&lt;'Données projet'!$A$218,$FB$205^A11,IF(A11='Données projet'!$A$218,'Données projet'!$B$218,FE10+FD11-FM10)))</f>
        <v>6.096495992858352</v>
      </c>
      <c r="FF11" s="18">
        <f>FE11*VLOOKUP('Données projet'!$B$16,Paramètres!$A$1:$I$89,3,0)*VLOOKUP('Données projet'!$B$16,Paramètres!$A$1:$I$89,5,0)</f>
        <v>3.4079412600078189</v>
      </c>
      <c r="FG11" s="14">
        <f t="shared" si="47"/>
        <v>1.3616393228435093</v>
      </c>
      <c r="FH11" s="22">
        <f t="shared" si="22"/>
        <v>8.3070195151327297</v>
      </c>
      <c r="FI11" s="62">
        <f t="shared" si="23"/>
        <v>195.06029238135329</v>
      </c>
      <c r="FJ11" s="62">
        <f ca="1">AVERAGE(OFFSET($FI$3,0,0,'Données projet'!$E$16+1,1))-AVERAGE(OFFSET($H$3,0,0,'Données projet'!$E$16+1,1))</f>
        <v>280.9225643428145</v>
      </c>
      <c r="FK11" s="62">
        <f t="shared" si="48"/>
        <v>236.89414218053955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17.657333333333334</v>
      </c>
      <c r="FZ11" s="13">
        <f>IF('Données projet'!$A$244&gt;35,FZ10+FY11-GH10,IF(A11&lt;'Données projet'!$A$244,$FW$205^A11,IF(A11='Données projet'!$A$244,'Données projet'!$B$244,FZ10+FY11-GH10)))</f>
        <v>19.600872327137651</v>
      </c>
      <c r="GA11" s="18">
        <f>FZ11*VLOOKUP('Données projet'!$B$17,Paramètres!$A$1:$I$89,3,0)*VLOOKUP('Données projet'!$B$17,Paramètres!$A$1:$I$89,5,0)</f>
        <v>8.6635855685948435</v>
      </c>
      <c r="GB11" s="14">
        <f t="shared" si="49"/>
        <v>3.1052868584062092</v>
      </c>
      <c r="GC11" s="22">
        <f t="shared" si="25"/>
        <v>20.497452810360166</v>
      </c>
      <c r="GD11" s="62">
        <f t="shared" si="26"/>
        <v>207.25072567658071</v>
      </c>
      <c r="GE11" s="62">
        <f ca="1">AVERAGE(OFFSET($GD$3,0,0,'Données projet'!$E$17+1,1))-AVERAGE(OFFSET($H$3,0,0,'Données projet'!$E$17+1,1))</f>
        <v>325.67421864225201</v>
      </c>
      <c r="GF11" s="62">
        <f t="shared" si="50"/>
        <v>542.01920418736745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1.2476666666666667</v>
      </c>
      <c r="GU11" s="13">
        <f>IF('Données projet'!$A$270&gt;35,GU10+GT11-HC10,IF(A11&lt;'Données projet'!$A$270,$GR$205^A11,IF(A11='Données projet'!$A$270,'Données projet'!$B$270,GU10+GT11-HC10)))</f>
        <v>2.627394504687647</v>
      </c>
      <c r="GV11" s="18">
        <f>GU11*VLOOKUP('Données projet'!$B$18,Paramètres!$A$1:$I$89,3,0)*VLOOKUP('Données projet'!$B$18,Paramètres!$A$1:$I$89,5,0)</f>
        <v>2.6641780277532745</v>
      </c>
      <c r="GW11" s="14">
        <f t="shared" si="51"/>
        <v>1.0954176788805707</v>
      </c>
      <c r="GX11" s="22">
        <f t="shared" si="28"/>
        <v>6.5479625223872802</v>
      </c>
      <c r="GY11" s="62">
        <f t="shared" si="29"/>
        <v>193.30123538860784</v>
      </c>
      <c r="GZ11" s="62">
        <f ca="1">AVERAGE(OFFSET($GY$3,0,0,'Données projet'!$E$18+1,1))-AVERAGE(OFFSET($H$3,0,0,'Données projet'!$E$18+1,1))</f>
        <v>220.89224520315713</v>
      </c>
      <c r="HA11" s="62">
        <f t="shared" si="52"/>
        <v>141.82763623159096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1.2492000000000001</v>
      </c>
      <c r="N12" s="14">
        <f>IF('Données projet'!$A$36&gt;35,N11+M12-V11,IF(A12&lt;'Données projet'!$A$36,$K$205^A12,IF(A12='Données projet'!$A$36,'Données projet'!$B$36,N11+M12-V11)))</f>
        <v>3.4518023042534112</v>
      </c>
      <c r="O12" s="14">
        <f>N12*VLOOKUP('Données projet'!$B$9,Paramètres!$A$1:$I$89,3,0)*VLOOKUP('Données projet'!$B$9,Paramètres!$A$1:$I$89,5,0)</f>
        <v>3.338583188673899</v>
      </c>
      <c r="P12" s="14">
        <f t="shared" si="33"/>
        <v>1.3371238235731664</v>
      </c>
      <c r="Q12" s="22">
        <f t="shared" si="2"/>
        <v>8.1435230463303068</v>
      </c>
      <c r="R12" s="62">
        <f t="shared" si="0"/>
        <v>197.50148179888637</v>
      </c>
      <c r="S12" s="62">
        <f ca="1">AVERAGE(OFFSET($R$3,0,0,'Données projet'!$E$9+1,1))-AVERAGE(OFFSET($H$3,0,0,'Données projet'!$E$9+1,1))</f>
        <v>84.959354125980269</v>
      </c>
      <c r="T12" s="62">
        <f t="shared" si="34"/>
        <v>89.658970210276806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3.1414999999999997</v>
      </c>
      <c r="AI12" s="14">
        <f>IF('Données projet'!$A$62&gt;35,AI11+AH12-AQ11,IF(A12&lt;'Données projet'!$A$62,$AF$205^A12,IF(A12='Données projet'!$A$62,'Données projet'!$B$62,AI11+AH12-AQ11)))</f>
        <v>6.4442914981745405</v>
      </c>
      <c r="AJ12" s="14">
        <f>AI12*VLOOKUP('Données projet'!$B$10,Paramètres!$A$1:$I$89,3,0)*VLOOKUP('Données projet'!$B$10,Paramètres!$A$1:$I$89,5,0)</f>
        <v>6.1323877896628929</v>
      </c>
      <c r="AK12" s="14">
        <f t="shared" si="35"/>
        <v>2.2882400810256853</v>
      </c>
      <c r="AL12" s="22">
        <f t="shared" si="4"/>
        <v>14.665926874782608</v>
      </c>
      <c r="AM12" s="62">
        <f t="shared" si="5"/>
        <v>204.02388562733867</v>
      </c>
      <c r="AN12" s="62">
        <f ca="1">AVERAGE(OFFSET($AM$3,0,0,'Données projet'!$E$10+1,1))-AVERAGE(OFFSET($H$3,0,0,'Données projet'!$E$10+1,1))</f>
        <v>592.76231355549089</v>
      </c>
      <c r="AO12" s="62">
        <f t="shared" si="36"/>
        <v>200.66895551079014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1.7753333333333332</v>
      </c>
      <c r="BD12" s="13">
        <f>IF('Données projet'!$A$88&gt;35,BD11+BC12-BL11,IF(A12&lt;'Données projet'!$A$88,$BA$205^A12,IF(A12='Données projet'!$A$88,'Données projet'!$B$88,BD11+BC12-BL11)))</f>
        <v>3.2954926596282759</v>
      </c>
      <c r="BE12" s="14">
        <f>BD12*VLOOKUP('Données projet'!$B$11,Paramètres!$A$1:$I$89,3,0)*VLOOKUP('Données projet'!$B$11,Paramètres!$A$1:$I$89,5,0)</f>
        <v>2.9817617584316638</v>
      </c>
      <c r="BF12" s="14">
        <f t="shared" si="37"/>
        <v>1.2100306055055614</v>
      </c>
      <c r="BG12" s="22">
        <f t="shared" si="7"/>
        <v>7.3007050338573327</v>
      </c>
      <c r="BH12" s="62">
        <f t="shared" si="8"/>
        <v>196.6586637864134</v>
      </c>
      <c r="BI12" s="62">
        <f ca="1">AVERAGE(OFFSET($BH$3,0,0,'Données projet'!$E$11+1,1))-AVERAGE(OFFSET($H$3,0,0,'Données projet'!$E$11+1,1))</f>
        <v>316.71836722354374</v>
      </c>
      <c r="BJ12" s="62">
        <f t="shared" si="38"/>
        <v>164.34067012996618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2.7920000000000003</v>
      </c>
      <c r="BY12" s="13">
        <f>IF('Données projet'!$A$114&gt;35,BY11+BX12-CG11,IF(A12&lt;'Données projet'!$A$114,$BV$205^A12,IF(A12='Données projet'!$A$114,'Données projet'!$B$114,BY11+BX12-CG11)))</f>
        <v>9.4016483623687961</v>
      </c>
      <c r="BZ12" s="14">
        <f>BY12*VLOOKUP('Données projet'!$B$12,Paramètres!$A$1:$I$89,3,0)*VLOOKUP('Données projet'!$B$12,Paramètres!$A$1:$I$89,5,0)</f>
        <v>10.706597155065586</v>
      </c>
      <c r="CA12" s="14">
        <f t="shared" si="39"/>
        <v>3.7441401511532622</v>
      </c>
      <c r="CB12" s="22">
        <f t="shared" si="10"/>
        <v>25.168367474997826</v>
      </c>
      <c r="CC12" s="62">
        <f t="shared" si="11"/>
        <v>214.52632622755391</v>
      </c>
      <c r="CD12" s="62">
        <f ca="1">AVERAGE(OFFSET($CC$3,0,0,'Données projet'!$E$12+1,1))-AVERAGE(OFFSET($H$3,0,0,'Données projet'!$E$12+1,1))</f>
        <v>454.9779384236806</v>
      </c>
      <c r="CE12" s="62">
        <f t="shared" si="40"/>
        <v>379.32753348721906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4.2880000000000003</v>
      </c>
      <c r="CT12" s="13">
        <f>IF('Données projet'!$A$140&gt;35,CT11+CS12-DB11,IF(A12&lt;'Données projet'!$A$140,$CQ$205^A12,IF(A12='Données projet'!$A$140,'Données projet'!$B$140,CT11+CS12-DB11)))</f>
        <v>7.4127294165059787</v>
      </c>
      <c r="CU12" s="18">
        <f>CT12*VLOOKUP('Données projet'!$B$13,Paramètres!$A$1:$I$89,3,0)*VLOOKUP('Données projet'!$B$13,Paramètres!$A$1:$I$89,5,0)</f>
        <v>5.7819289448746636</v>
      </c>
      <c r="CV12" s="14">
        <f t="shared" si="41"/>
        <v>2.1722987234536384</v>
      </c>
      <c r="CW12" s="22">
        <f t="shared" si="13"/>
        <v>13.853613189005126</v>
      </c>
      <c r="CX12" s="62">
        <f t="shared" si="14"/>
        <v>203.2115719415612</v>
      </c>
      <c r="CY12" s="62">
        <f ca="1">AVERAGE(OFFSET($CX$3,0,0,'Données projet'!$E$13+1,1))-AVERAGE(OFFSET($H$3,0,0,'Données projet'!$E$13+1,1))</f>
        <v>252.10592533338991</v>
      </c>
      <c r="CZ12" s="62">
        <f t="shared" si="42"/>
        <v>272.71831345325313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4.4390000000000001</v>
      </c>
      <c r="DO12" s="13">
        <f>IF('Données projet'!$A$166&gt;35,DO11+DN12-DW11,IF(A12&lt;'Données projet'!$A$166,$DL$205^A12,IF(A12='Données projet'!$A$166,'Données projet'!$B$166,DO11+DN12-DW11)))</f>
        <v>7.5290782934591372</v>
      </c>
      <c r="DP12" s="18">
        <f>DO12*VLOOKUP('Données projet'!$B$14,Paramètres!$A$1:$I$89,3,0)*VLOOKUP('Données projet'!$B$14,Paramètres!$A$1:$I$89,5,0)</f>
        <v>4.502388819488564</v>
      </c>
      <c r="DQ12" s="14">
        <f t="shared" si="43"/>
        <v>1.7415433821586896</v>
      </c>
      <c r="DR12" s="22">
        <f t="shared" si="16"/>
        <v>10.874848584535634</v>
      </c>
      <c r="DS12" s="62">
        <f t="shared" si="17"/>
        <v>200.23280733709171</v>
      </c>
      <c r="DT12" s="62">
        <f ca="1">AVERAGE(OFFSET($DS$3,0,0,'Données projet'!$E$14+1,1))-AVERAGE(OFFSET($H$3,0,0,'Données projet'!$E$14+1,1))</f>
        <v>423.0896575168394</v>
      </c>
      <c r="DU12" s="62">
        <f t="shared" si="44"/>
        <v>305.98537395014284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2.4010000000000002</v>
      </c>
      <c r="EJ12" s="13">
        <f>IF('Données projet'!$A$192&gt;35,EJ11+EI12-ER11,IF(A12&lt;'Données projet'!$A$192,$EG$205^A12,IF(A12='Données projet'!$A$192,'Données projet'!$B$192,EJ11+EI12-ER11)))</f>
        <v>17.472415308214373</v>
      </c>
      <c r="EK12" s="18">
        <f>EJ12*VLOOKUP('Données projet'!$B$15,Paramètres!$A$1:$I$89,3,0)*VLOOKUP('Données projet'!$B$15,Paramètres!$A$1:$I$89,5,0)</f>
        <v>10.448504354312195</v>
      </c>
      <c r="EL12" s="14">
        <f t="shared" si="45"/>
        <v>3.6642769645480695</v>
      </c>
      <c r="EM12" s="22">
        <f t="shared" si="19"/>
        <v>24.579760797014959</v>
      </c>
      <c r="EN12" s="62">
        <f t="shared" si="20"/>
        <v>213.93771954957103</v>
      </c>
      <c r="EO12" s="62">
        <f ca="1">AVERAGE(OFFSET($EN$3,0,0,'Données projet'!$E$15+1,1))-AVERAGE(OFFSET($H$3,0,0,'Données projet'!$E$15+1,1))</f>
        <v>281.21543175875604</v>
      </c>
      <c r="EP12" s="62">
        <f t="shared" si="46"/>
        <v>366.68536296857428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4.5884999999999998</v>
      </c>
      <c r="FE12" s="13">
        <f>IF('Données projet'!$A$218&gt;35,FE11+FD12-FM11,IF(A12&lt;'Données projet'!$A$218,$FB$205^A12,IF(A12='Données projet'!$A$218,'Données projet'!$B$218,FE11+FD12-FM11)))</f>
        <v>7.6421459792542805</v>
      </c>
      <c r="FF12" s="18">
        <f>FE12*VLOOKUP('Données projet'!$B$16,Paramètres!$A$1:$I$89,3,0)*VLOOKUP('Données projet'!$B$16,Paramètres!$A$1:$I$89,5,0)</f>
        <v>4.2719596024031432</v>
      </c>
      <c r="FG12" s="14">
        <f t="shared" si="47"/>
        <v>1.6625480399487187</v>
      </c>
      <c r="FH12" s="22">
        <f t="shared" si="22"/>
        <v>10.335934143762827</v>
      </c>
      <c r="FI12" s="62">
        <f t="shared" si="23"/>
        <v>199.69389289631891</v>
      </c>
      <c r="FJ12" s="62">
        <f ca="1">AVERAGE(OFFSET($FI$3,0,0,'Données projet'!$E$16+1,1))-AVERAGE(OFFSET($H$3,0,0,'Données projet'!$E$16+1,1))</f>
        <v>280.9225643428145</v>
      </c>
      <c r="FK12" s="62">
        <f t="shared" si="48"/>
        <v>236.89414218053955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17.657333333333334</v>
      </c>
      <c r="FZ12" s="13">
        <f>IF('Données projet'!$A$244&gt;35,FZ11+FY12-GH11,IF(A12&lt;'Données projet'!$A$244,$FW$205^A12,IF(A12='Données projet'!$A$244,'Données projet'!$B$244,FZ11+FY12-GH11)))</f>
        <v>28.432158062087179</v>
      </c>
      <c r="GA12" s="18">
        <f>FZ12*VLOOKUP('Données projet'!$B$17,Paramètres!$A$1:$I$89,3,0)*VLOOKUP('Données projet'!$B$17,Paramètres!$A$1:$I$89,5,0)</f>
        <v>12.567013863442535</v>
      </c>
      <c r="GB12" s="14">
        <f t="shared" si="49"/>
        <v>4.3135371556424014</v>
      </c>
      <c r="GC12" s="22">
        <f t="shared" si="25"/>
        <v>29.400293024906262</v>
      </c>
      <c r="GD12" s="62">
        <f t="shared" si="26"/>
        <v>218.75825177746233</v>
      </c>
      <c r="GE12" s="62">
        <f ca="1">AVERAGE(OFFSET($GD$3,0,0,'Données projet'!$E$17+1,1))-AVERAGE(OFFSET($H$3,0,0,'Données projet'!$E$17+1,1))</f>
        <v>325.67421864225201</v>
      </c>
      <c r="GF12" s="62">
        <f t="shared" si="50"/>
        <v>542.01920418736745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1.2476666666666667</v>
      </c>
      <c r="GU12" s="13">
        <f>IF('Données projet'!$A$270&gt;35,GU11+GT12-HC11,IF(A12&lt;'Données projet'!$A$270,$GR$205^A12,IF(A12='Données projet'!$A$270,'Données projet'!$B$270,GU11+GT12-HC11)))</f>
        <v>2.9645989341591337</v>
      </c>
      <c r="GV12" s="18">
        <f>GU12*VLOOKUP('Données projet'!$B$18,Paramètres!$A$1:$I$89,3,0)*VLOOKUP('Données projet'!$B$18,Paramètres!$A$1:$I$89,5,0)</f>
        <v>3.0061033192373618</v>
      </c>
      <c r="GW12" s="14">
        <f t="shared" si="51"/>
        <v>1.2187547284995597</v>
      </c>
      <c r="GX12" s="22">
        <f t="shared" si="28"/>
        <v>7.3582944331418041</v>
      </c>
      <c r="GY12" s="62">
        <f t="shared" si="29"/>
        <v>196.71625318569787</v>
      </c>
      <c r="GZ12" s="62">
        <f ca="1">AVERAGE(OFFSET($GY$3,0,0,'Données projet'!$E$18+1,1))-AVERAGE(OFFSET($H$3,0,0,'Données projet'!$E$18+1,1))</f>
        <v>220.89224520315713</v>
      </c>
      <c r="HA12" s="62">
        <f t="shared" si="52"/>
        <v>141.82763623159096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1.2492000000000001</v>
      </c>
      <c r="N13" s="14">
        <f>IF('Données projet'!$A$36&gt;35,N12+M13-V12,IF(A13&lt;'Données projet'!$A$36,$K$205^A13,IF(A13='Données projet'!$A$36,'Données projet'!$B$36,N12+M13-V12)))</f>
        <v>3.9612184546914269</v>
      </c>
      <c r="O13" s="14">
        <f>N13*VLOOKUP('Données projet'!$B$9,Paramètres!$A$1:$I$89,3,0)*VLOOKUP('Données projet'!$B$9,Paramètres!$A$1:$I$89,5,0)</f>
        <v>3.8312904893775483</v>
      </c>
      <c r="P13" s="14">
        <f t="shared" si="33"/>
        <v>1.5100654771774404</v>
      </c>
      <c r="Q13" s="22">
        <f t="shared" si="2"/>
        <v>9.3028616417499386</v>
      </c>
      <c r="R13" s="62">
        <f t="shared" si="0"/>
        <v>201.24152362679482</v>
      </c>
      <c r="S13" s="62">
        <f ca="1">AVERAGE(OFFSET($R$3,0,0,'Données projet'!$E$9+1,1))-AVERAGE(OFFSET($H$3,0,0,'Données projet'!$E$9+1,1))</f>
        <v>84.959354125980269</v>
      </c>
      <c r="T13" s="62">
        <f t="shared" si="34"/>
        <v>89.658970210276806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3.1414999999999997</v>
      </c>
      <c r="AI13" s="14">
        <f>IF('Données projet'!$A$62&gt;35,AI12+AH13-AQ12,IF(A13&lt;'Données projet'!$A$62,$AF$205^A13,IF(A13='Données projet'!$A$62,'Données projet'!$B$62,AI12+AH13-AQ12)))</f>
        <v>7.9265377057073305</v>
      </c>
      <c r="AJ13" s="14">
        <f>AI13*VLOOKUP('Données projet'!$B$10,Paramètres!$A$1:$I$89,3,0)*VLOOKUP('Données projet'!$B$10,Paramètres!$A$1:$I$89,5,0)</f>
        <v>7.5428932807510956</v>
      </c>
      <c r="AK13" s="14">
        <f t="shared" si="35"/>
        <v>2.7475437032846606</v>
      </c>
      <c r="AL13" s="22">
        <f t="shared" si="4"/>
        <v>17.922511080528938</v>
      </c>
      <c r="AM13" s="62">
        <f t="shared" si="5"/>
        <v>209.86117306557384</v>
      </c>
      <c r="AN13" s="62">
        <f ca="1">AVERAGE(OFFSET($AM$3,0,0,'Données projet'!$E$10+1,1))-AVERAGE(OFFSET($H$3,0,0,'Données projet'!$E$10+1,1))</f>
        <v>592.76231355549089</v>
      </c>
      <c r="AO13" s="62">
        <f t="shared" si="36"/>
        <v>200.66895551079014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1.7753333333333332</v>
      </c>
      <c r="BD13" s="13">
        <f>IF('Données projet'!$A$88&gt;35,BD12+BC13-BL12,IF(A13&lt;'Données projet'!$A$88,$BA$205^A13,IF(A13='Données projet'!$A$88,'Données projet'!$B$88,BD12+BC13-BL12)))</f>
        <v>3.7624180914682492</v>
      </c>
      <c r="BE13" s="14">
        <f>BD13*VLOOKUP('Données projet'!$B$11,Paramètres!$A$1:$I$89,3,0)*VLOOKUP('Données projet'!$B$11,Paramètres!$A$1:$I$89,5,0)</f>
        <v>3.4042358891604714</v>
      </c>
      <c r="BF13" s="14">
        <f t="shared" si="37"/>
        <v>1.3603310905541863</v>
      </c>
      <c r="BG13" s="22">
        <f t="shared" si="7"/>
        <v>8.2982874896696952</v>
      </c>
      <c r="BH13" s="62">
        <f t="shared" si="8"/>
        <v>200.23694947471458</v>
      </c>
      <c r="BI13" s="62">
        <f ca="1">AVERAGE(OFFSET($BH$3,0,0,'Données projet'!$E$11+1,1))-AVERAGE(OFFSET($H$3,0,0,'Données projet'!$E$11+1,1))</f>
        <v>316.71836722354374</v>
      </c>
      <c r="BJ13" s="62">
        <f t="shared" si="38"/>
        <v>164.34067012996618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2.7920000000000003</v>
      </c>
      <c r="BY13" s="13">
        <f>IF('Données projet'!$A$114&gt;35,BY12+BX13-CG12,IF(A13&lt;'Données projet'!$A$114,$BV$205^A13,IF(A13='Données projet'!$A$114,'Données projet'!$B$114,BY12+BX13-CG12)))</f>
        <v>12.05973547929338</v>
      </c>
      <c r="BZ13" s="14">
        <f>BY13*VLOOKUP('Données projet'!$B$12,Paramètres!$A$1:$I$89,3,0)*VLOOKUP('Données projet'!$B$12,Paramètres!$A$1:$I$89,5,0)</f>
        <v>13.733626763819302</v>
      </c>
      <c r="CA13" s="14">
        <f t="shared" si="39"/>
        <v>4.6655097715053993</v>
      </c>
      <c r="CB13" s="22">
        <f t="shared" si="10"/>
        <v>32.045162799023849</v>
      </c>
      <c r="CC13" s="62">
        <f t="shared" si="11"/>
        <v>223.98382478406873</v>
      </c>
      <c r="CD13" s="62">
        <f ca="1">AVERAGE(OFFSET($CC$3,0,0,'Données projet'!$E$12+1,1))-AVERAGE(OFFSET($H$3,0,0,'Données projet'!$E$12+1,1))</f>
        <v>454.9779384236806</v>
      </c>
      <c r="CE13" s="62">
        <f t="shared" si="40"/>
        <v>379.32753348721906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4.2880000000000003</v>
      </c>
      <c r="CT13" s="13">
        <f>IF('Données projet'!$A$140&gt;35,CT12+CS13-DB12,IF(A13&lt;'Données projet'!$A$140,$CQ$205^A13,IF(A13='Données projet'!$A$140,'Données projet'!$B$140,CT12+CS13-DB12)))</f>
        <v>9.2606695222321704</v>
      </c>
      <c r="CU13" s="18">
        <f>CT13*VLOOKUP('Données projet'!$B$13,Paramètres!$A$1:$I$89,3,0)*VLOOKUP('Données projet'!$B$13,Paramètres!$A$1:$I$89,5,0)</f>
        <v>7.2233222273410931</v>
      </c>
      <c r="CV13" s="14">
        <f t="shared" si="41"/>
        <v>2.6444299562598164</v>
      </c>
      <c r="CW13" s="22">
        <f t="shared" si="13"/>
        <v>17.186335053104919</v>
      </c>
      <c r="CX13" s="62">
        <f t="shared" si="14"/>
        <v>209.12499703814981</v>
      </c>
      <c r="CY13" s="62">
        <f ca="1">AVERAGE(OFFSET($CX$3,0,0,'Données projet'!$E$13+1,1))-AVERAGE(OFFSET($H$3,0,0,'Données projet'!$E$13+1,1))</f>
        <v>252.10592533338991</v>
      </c>
      <c r="CZ13" s="62">
        <f t="shared" si="42"/>
        <v>272.71831345325313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4.4390000000000001</v>
      </c>
      <c r="DO13" s="13">
        <f>IF('Données projet'!$A$166&gt;35,DO12+DN13-DW12,IF(A13&lt;'Données projet'!$A$166,$DL$205^A13,IF(A13='Données projet'!$A$166,'Données projet'!$B$166,DO12+DN13-DW12)))</f>
        <v>9.4223139408533747</v>
      </c>
      <c r="DP13" s="18">
        <f>DO13*VLOOKUP('Données projet'!$B$14,Paramètres!$A$1:$I$89,3,0)*VLOOKUP('Données projet'!$B$14,Paramètres!$A$1:$I$89,5,0)</f>
        <v>5.6345437366303184</v>
      </c>
      <c r="DQ13" s="14">
        <f t="shared" si="43"/>
        <v>2.1232975576417603</v>
      </c>
      <c r="DR13" s="22">
        <f t="shared" si="16"/>
        <v>13.51157358752387</v>
      </c>
      <c r="DS13" s="62">
        <f t="shared" si="17"/>
        <v>205.45023557256877</v>
      </c>
      <c r="DT13" s="62">
        <f ca="1">AVERAGE(OFFSET($DS$3,0,0,'Données projet'!$E$14+1,1))-AVERAGE(OFFSET($H$3,0,0,'Données projet'!$E$14+1,1))</f>
        <v>423.0896575168394</v>
      </c>
      <c r="DU13" s="62">
        <f t="shared" si="44"/>
        <v>305.98537395014284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24.01</v>
      </c>
      <c r="EH13" s="13">
        <f>VLOOKUP(A13,'Données projet'!$A$191:$I$211,9,0)</f>
        <v>2.4010000000000002</v>
      </c>
      <c r="EI13" s="13">
        <f t="array" ref="EI13">INDEX(EH:EH,MIN(IF(ISNUMBER(EH13:EH209),ROW(EH13:EH209),"")))</f>
        <v>2.4010000000000002</v>
      </c>
      <c r="EJ13" s="13">
        <f>IF('Données projet'!$A$192&gt;35,EJ12+EI13-ER12,IF(A13&lt;'Données projet'!$A$192,$EG$205^A13,IF(A13='Données projet'!$A$192,'Données projet'!$B$192,EJ12+EI13-ER12)))</f>
        <v>24.01</v>
      </c>
      <c r="EK13" s="18">
        <f>EJ13*VLOOKUP('Données projet'!$B$15,Paramètres!$A$1:$I$89,3,0)*VLOOKUP('Données projet'!$B$15,Paramètres!$A$1:$I$89,5,0)</f>
        <v>14.357980000000001</v>
      </c>
      <c r="EL13" s="14">
        <f t="shared" si="45"/>
        <v>4.8524351909433561</v>
      </c>
      <c r="EM13" s="22">
        <f t="shared" si="19"/>
        <v>33.458139790893014</v>
      </c>
      <c r="EN13" s="62">
        <f t="shared" si="20"/>
        <v>225.39680177593789</v>
      </c>
      <c r="EO13" s="62">
        <f ca="1">AVERAGE(OFFSET($EN$3,0,0,'Données projet'!$E$15+1,1))-AVERAGE(OFFSET($H$3,0,0,'Données projet'!$E$15+1,1))</f>
        <v>281.21543175875604</v>
      </c>
      <c r="EP13" s="62">
        <f t="shared" si="46"/>
        <v>366.68536296857428</v>
      </c>
      <c r="EQ13" s="16">
        <f>IF(ISNA(VLOOKUP(A13,'Données projet'!$A$191:$I$211,3,0)),0,VLOOKUP(A13,'Données projet'!$A$191:$I$211,3,0))</f>
        <v>1</v>
      </c>
      <c r="ER13" s="16">
        <f>IF(ISNA(VLOOKUP(A13,'Données projet'!$A$191:$I$211,4,0)),0,VLOOKUP(A13,'Données projet'!$A$191:$I$211,4,0))</f>
        <v>8.19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0.3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1.6635730635034707</v>
      </c>
      <c r="EY13" s="24">
        <f t="shared" si="21"/>
        <v>1.6635730635034707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4.5884999999999998</v>
      </c>
      <c r="FE13" s="13">
        <f>IF('Données projet'!$A$218&gt;35,FE12+FD13-FM12,IF(A13&lt;'Données projet'!$A$218,$FB$205^A13,IF(A13='Données projet'!$A$218,'Données projet'!$B$218,FE12+FD13-FM12)))</f>
        <v>9.5796659649488785</v>
      </c>
      <c r="FF13" s="18">
        <f>FE13*VLOOKUP('Données projet'!$B$16,Paramètres!$A$1:$I$89,3,0)*VLOOKUP('Données projet'!$B$16,Paramètres!$A$1:$I$89,5,0)</f>
        <v>5.3550332744064235</v>
      </c>
      <c r="FG13" s="14">
        <f t="shared" si="47"/>
        <v>2.0299545839827324</v>
      </c>
      <c r="FH13" s="22">
        <f t="shared" si="22"/>
        <v>12.862187186694447</v>
      </c>
      <c r="FI13" s="62">
        <f t="shared" si="23"/>
        <v>204.80084917173934</v>
      </c>
      <c r="FJ13" s="62">
        <f ca="1">AVERAGE(OFFSET($FI$3,0,0,'Données projet'!$E$16+1,1))-AVERAGE(OFFSET($H$3,0,0,'Données projet'!$E$16+1,1))</f>
        <v>280.9225643428145</v>
      </c>
      <c r="FK13" s="62">
        <f t="shared" si="48"/>
        <v>236.89414218053955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17.657333333333334</v>
      </c>
      <c r="FZ13" s="13">
        <f>IF('Données projet'!$A$244&gt;35,FZ12+FY13-GH12,IF(A13&lt;'Données projet'!$A$244,$FW$205^A13,IF(A13='Données projet'!$A$244,'Données projet'!$B$244,FZ12+FY13-GH12)))</f>
        <v>41.242430366136624</v>
      </c>
      <c r="GA13" s="18">
        <f>FZ13*VLOOKUP('Données projet'!$B$17,Paramètres!$A$1:$I$89,3,0)*VLOOKUP('Données projet'!$B$17,Paramètres!$A$1:$I$89,5,0)</f>
        <v>18.229154221832388</v>
      </c>
      <c r="GB13" s="14">
        <f t="shared" si="49"/>
        <v>5.9919110992075604</v>
      </c>
      <c r="GC13" s="22">
        <f t="shared" si="25"/>
        <v>42.185022100811246</v>
      </c>
      <c r="GD13" s="62">
        <f t="shared" si="26"/>
        <v>234.12368408585613</v>
      </c>
      <c r="GE13" s="62">
        <f ca="1">AVERAGE(OFFSET($GD$3,0,0,'Données projet'!$E$17+1,1))-AVERAGE(OFFSET($H$3,0,0,'Données projet'!$E$17+1,1))</f>
        <v>325.67421864225201</v>
      </c>
      <c r="GF13" s="62">
        <f t="shared" si="50"/>
        <v>542.01920418736745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1.2476666666666667</v>
      </c>
      <c r="GU13" s="13">
        <f>IF('Données projet'!$A$270&gt;35,GU12+GT13-HC12,IF(A13&lt;'Données projet'!$A$270,$GR$205^A13,IF(A13='Données projet'!$A$270,'Données projet'!$B$270,GU12+GT13-HC12)))</f>
        <v>3.345080772886186</v>
      </c>
      <c r="GV13" s="18">
        <f>GU13*VLOOKUP('Données projet'!$B$18,Paramètres!$A$1:$I$89,3,0)*VLOOKUP('Données projet'!$B$18,Paramètres!$A$1:$I$89,5,0)</f>
        <v>3.391911903706593</v>
      </c>
      <c r="GW13" s="14">
        <f t="shared" si="51"/>
        <v>1.3559787438869511</v>
      </c>
      <c r="GX13" s="22">
        <f t="shared" si="28"/>
        <v>8.2692428778920881</v>
      </c>
      <c r="GY13" s="62">
        <f t="shared" si="29"/>
        <v>200.20790486293697</v>
      </c>
      <c r="GZ13" s="62">
        <f ca="1">AVERAGE(OFFSET($GY$3,0,0,'Données projet'!$E$18+1,1))-AVERAGE(OFFSET($H$3,0,0,'Données projet'!$E$18+1,1))</f>
        <v>220.89224520315713</v>
      </c>
      <c r="HA13" s="62">
        <f t="shared" si="52"/>
        <v>141.82763623159096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1.2492000000000001</v>
      </c>
      <c r="N14" s="14">
        <f>IF('Données projet'!$A$36&gt;35,N13+M14-V13,IF(A14&lt;'Données projet'!$A$36,$K$205^A14,IF(A14='Données projet'!$A$36,'Données projet'!$B$36,N13+M14-V13)))</f>
        <v>4.5458141175851008</v>
      </c>
      <c r="O14" s="14">
        <f>N14*VLOOKUP('Données projet'!$B$9,Paramètres!$A$1:$I$89,3,0)*VLOOKUP('Données projet'!$B$9,Paramètres!$A$1:$I$89,5,0)</f>
        <v>4.3967114145283093</v>
      </c>
      <c r="P14" s="14">
        <f t="shared" si="33"/>
        <v>1.7053751531174888</v>
      </c>
      <c r="Q14" s="22">
        <f t="shared" si="2"/>
        <v>10.627800771983097</v>
      </c>
      <c r="R14" s="62">
        <f t="shared" si="0"/>
        <v>205.12359938109722</v>
      </c>
      <c r="S14" s="62">
        <f ca="1">AVERAGE(OFFSET($R$3,0,0,'Données projet'!$E$9+1,1))-AVERAGE(OFFSET($H$3,0,0,'Données projet'!$E$9+1,1))</f>
        <v>84.959354125980269</v>
      </c>
      <c r="T14" s="62">
        <f t="shared" si="34"/>
        <v>89.658970210276806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3.1414999999999997</v>
      </c>
      <c r="AI14" s="14">
        <f>IF('Données projet'!$A$62&gt;35,AI13+AH14-AQ13,IF(A14&lt;'Données projet'!$A$62,$AF$205^A14,IF(A14='Données projet'!$A$62,'Données projet'!$B$62,AI13+AH14-AQ13)))</f>
        <v>9.7497141489949257</v>
      </c>
      <c r="AJ14" s="14">
        <f>AI14*VLOOKUP('Données projet'!$B$10,Paramètres!$A$1:$I$89,3,0)*VLOOKUP('Données projet'!$B$10,Paramètres!$A$1:$I$89,5,0)</f>
        <v>9.2778279841835722</v>
      </c>
      <c r="AK14" s="14">
        <f t="shared" si="35"/>
        <v>3.2990403690837429</v>
      </c>
      <c r="AL14" s="22">
        <f t="shared" si="4"/>
        <v>21.90471238194057</v>
      </c>
      <c r="AM14" s="62">
        <f t="shared" si="5"/>
        <v>216.40051099105472</v>
      </c>
      <c r="AN14" s="62">
        <f ca="1">AVERAGE(OFFSET($AM$3,0,0,'Données projet'!$E$10+1,1))-AVERAGE(OFFSET($H$3,0,0,'Données projet'!$E$10+1,1))</f>
        <v>592.76231355549089</v>
      </c>
      <c r="AO14" s="62">
        <f t="shared" si="36"/>
        <v>200.66895551079014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1.7753333333333332</v>
      </c>
      <c r="BD14" s="13">
        <f>IF('Données projet'!$A$88&gt;35,BD13+BC14-BL13,IF(A14&lt;'Données projet'!$A$88,$BA$205^A14,IF(A14='Données projet'!$A$88,'Données projet'!$B$88,BD13+BC14-BL13)))</f>
        <v>4.2955003567218766</v>
      </c>
      <c r="BE14" s="14">
        <f>BD14*VLOOKUP('Données projet'!$B$11,Paramètres!$A$1:$I$89,3,0)*VLOOKUP('Données projet'!$B$11,Paramètres!$A$1:$I$89,5,0)</f>
        <v>3.8865687227619539</v>
      </c>
      <c r="BF14" s="14">
        <f t="shared" si="37"/>
        <v>1.5293007197575692</v>
      </c>
      <c r="BG14" s="22">
        <f t="shared" si="7"/>
        <v>9.4326392790548343</v>
      </c>
      <c r="BH14" s="62">
        <f t="shared" si="8"/>
        <v>203.92843788816896</v>
      </c>
      <c r="BI14" s="62">
        <f ca="1">AVERAGE(OFFSET($BH$3,0,0,'Données projet'!$E$11+1,1))-AVERAGE(OFFSET($H$3,0,0,'Données projet'!$E$11+1,1))</f>
        <v>316.71836722354374</v>
      </c>
      <c r="BJ14" s="62">
        <f t="shared" si="38"/>
        <v>164.34067012996618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2.7920000000000003</v>
      </c>
      <c r="BY14" s="13">
        <f>IF('Données projet'!$A$114&gt;35,BY13+BX14-CG13,IF(A14&lt;'Données projet'!$A$114,$BV$205^A14,IF(A14='Données projet'!$A$114,'Données projet'!$B$114,BY13+BX14-CG13)))</f>
        <v>15.469331996361095</v>
      </c>
      <c r="BZ14" s="14">
        <f>BY14*VLOOKUP('Données projet'!$B$12,Paramètres!$A$1:$I$89,3,0)*VLOOKUP('Données projet'!$B$12,Paramètres!$A$1:$I$89,5,0)</f>
        <v>17.616475277456018</v>
      </c>
      <c r="CA14" s="14">
        <f t="shared" si="39"/>
        <v>5.8136128855400164</v>
      </c>
      <c r="CB14" s="22">
        <f t="shared" si="10"/>
        <v>40.80740355055142</v>
      </c>
      <c r="CC14" s="62">
        <f t="shared" si="11"/>
        <v>235.30320215966555</v>
      </c>
      <c r="CD14" s="62">
        <f ca="1">AVERAGE(OFFSET($CC$3,0,0,'Données projet'!$E$12+1,1))-AVERAGE(OFFSET($H$3,0,0,'Données projet'!$E$12+1,1))</f>
        <v>454.9779384236806</v>
      </c>
      <c r="CE14" s="62">
        <f t="shared" si="40"/>
        <v>379.32753348721906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4.2880000000000003</v>
      </c>
      <c r="CT14" s="13">
        <f>IF('Données projet'!$A$140&gt;35,CT13+CS14-DB13,IF(A14&lt;'Données projet'!$A$140,$CQ$205^A14,IF(A14='Données projet'!$A$140,'Données projet'!$B$140,CT13+CS14-DB13)))</f>
        <v>11.56928779958397</v>
      </c>
      <c r="CU14" s="18">
        <f>CT14*VLOOKUP('Données projet'!$B$13,Paramètres!$A$1:$I$89,3,0)*VLOOKUP('Données projet'!$B$13,Paramètres!$A$1:$I$89,5,0)</f>
        <v>9.0240444836754961</v>
      </c>
      <c r="CV14" s="14">
        <f t="shared" si="41"/>
        <v>3.2191750232428573</v>
      </c>
      <c r="CW14" s="22">
        <f t="shared" si="13"/>
        <v>21.323607307882799</v>
      </c>
      <c r="CX14" s="62">
        <f t="shared" si="14"/>
        <v>215.81940591699694</v>
      </c>
      <c r="CY14" s="62">
        <f ca="1">AVERAGE(OFFSET($CX$3,0,0,'Données projet'!$E$13+1,1))-AVERAGE(OFFSET($H$3,0,0,'Données projet'!$E$13+1,1))</f>
        <v>252.10592533338991</v>
      </c>
      <c r="CZ14" s="62">
        <f t="shared" si="42"/>
        <v>272.71831345325313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4.4390000000000001</v>
      </c>
      <c r="DO14" s="13">
        <f>IF('Données projet'!$A$166&gt;35,DO13+DN14-DW13,IF(A14&lt;'Données projet'!$A$166,$DL$205^A14,IF(A14='Données projet'!$A$166,'Données projet'!$B$166,DO13+DN14-DW13)))</f>
        <v>11.791615990648841</v>
      </c>
      <c r="DP14" s="18">
        <f>DO14*VLOOKUP('Données projet'!$B$14,Paramètres!$A$1:$I$89,3,0)*VLOOKUP('Données projet'!$B$14,Paramètres!$A$1:$I$89,5,0)</f>
        <v>7.0513863624080075</v>
      </c>
      <c r="DQ14" s="14">
        <f t="shared" si="43"/>
        <v>2.5887339726784133</v>
      </c>
      <c r="DR14" s="22">
        <f t="shared" si="16"/>
        <v>16.789876250275515</v>
      </c>
      <c r="DS14" s="62">
        <f t="shared" si="17"/>
        <v>211.28567485938964</v>
      </c>
      <c r="DT14" s="62">
        <f ca="1">AVERAGE(OFFSET($DS$3,0,0,'Données projet'!$E$14+1,1))-AVERAGE(OFFSET($H$3,0,0,'Données projet'!$E$14+1,1))</f>
        <v>423.0896575168394</v>
      </c>
      <c r="DU14" s="62">
        <f t="shared" si="44"/>
        <v>305.98537395014284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9.7160000000000011</v>
      </c>
      <c r="EJ14" s="13">
        <f>IF('Données projet'!$A$192&gt;35,EJ13+EI14-ER13,IF(A14&lt;'Données projet'!$A$192,$EG$205^A14,IF(A14='Données projet'!$A$192,'Données projet'!$B$192,EJ13+EI14-ER13)))</f>
        <v>25.536000000000001</v>
      </c>
      <c r="EK14" s="18">
        <f>EJ14*VLOOKUP('Données projet'!$B$15,Paramètres!$A$1:$I$89,3,0)*VLOOKUP('Données projet'!$B$15,Paramètres!$A$1:$I$89,5,0)</f>
        <v>15.270528000000001</v>
      </c>
      <c r="EL14" s="14">
        <f t="shared" si="45"/>
        <v>5.1239573559925731</v>
      </c>
      <c r="EM14" s="22">
        <f t="shared" si="19"/>
        <v>35.520395328353729</v>
      </c>
      <c r="EN14" s="62">
        <f t="shared" si="20"/>
        <v>230.01619393746785</v>
      </c>
      <c r="EO14" s="62">
        <f ca="1">AVERAGE(OFFSET($EN$3,0,0,'Données projet'!$E$15+1,1))-AVERAGE(OFFSET($H$3,0,0,'Données projet'!$E$15+1,1))</f>
        <v>281.21543175875604</v>
      </c>
      <c r="EP14" s="62">
        <f t="shared" si="46"/>
        <v>366.68536296857428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1.1763237942025833</v>
      </c>
      <c r="EY14" s="24">
        <f t="shared" si="21"/>
        <v>1.1763237942025833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4.5884999999999998</v>
      </c>
      <c r="FE14" s="13">
        <f>IF('Données projet'!$A$218&gt;35,FE13+FD14-FM13,IF(A14&lt;'Données projet'!$A$218,$FB$205^A14,IF(A14='Données projet'!$A$218,'Données projet'!$B$218,FE13+FD14-FM13)))</f>
        <v>12.00840709522207</v>
      </c>
      <c r="FF14" s="18">
        <f>FE14*VLOOKUP('Données projet'!$B$16,Paramètres!$A$1:$I$89,3,0)*VLOOKUP('Données projet'!$B$16,Paramètres!$A$1:$I$89,5,0)</f>
        <v>6.712699566229138</v>
      </c>
      <c r="FG14" s="14">
        <f t="shared" si="47"/>
        <v>2.4785543118258486</v>
      </c>
      <c r="FH14" s="22">
        <f t="shared" si="22"/>
        <v>16.008100504279099</v>
      </c>
      <c r="FI14" s="62">
        <f t="shared" si="23"/>
        <v>210.50389911339323</v>
      </c>
      <c r="FJ14" s="62">
        <f ca="1">AVERAGE(OFFSET($FI$3,0,0,'Données projet'!$E$16+1,1))-AVERAGE(OFFSET($H$3,0,0,'Données projet'!$E$16+1,1))</f>
        <v>280.9225643428145</v>
      </c>
      <c r="FK14" s="62">
        <f t="shared" si="48"/>
        <v>236.89414218053955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17.657333333333334</v>
      </c>
      <c r="FZ14" s="13">
        <f>IF('Données projet'!$A$244&gt;35,FZ13+FY14-GH13,IF(A14&lt;'Données projet'!$A$244,$FW$205^A14,IF(A14='Données projet'!$A$244,'Données projet'!$B$244,FZ13+FY14-GH13)))</f>
        <v>59.824444517763922</v>
      </c>
      <c r="GA14" s="18">
        <f>FZ14*VLOOKUP('Données projet'!$B$17,Paramètres!$A$1:$I$89,3,0)*VLOOKUP('Données projet'!$B$17,Paramètres!$A$1:$I$89,5,0)</f>
        <v>26.442404476851657</v>
      </c>
      <c r="GB14" s="14">
        <f t="shared" si="49"/>
        <v>8.3233312535266251</v>
      </c>
      <c r="GC14" s="22">
        <f t="shared" si="25"/>
        <v>60.550323063742177</v>
      </c>
      <c r="GD14" s="62">
        <f t="shared" si="26"/>
        <v>255.04612167285632</v>
      </c>
      <c r="GE14" s="62">
        <f ca="1">AVERAGE(OFFSET($GD$3,0,0,'Données projet'!$E$17+1,1))-AVERAGE(OFFSET($H$3,0,0,'Données projet'!$E$17+1,1))</f>
        <v>325.67421864225201</v>
      </c>
      <c r="GF14" s="62">
        <f t="shared" si="50"/>
        <v>542.01920418736745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1.2476666666666667</v>
      </c>
      <c r="GU14" s="13">
        <f>IF('Données projet'!$A$270&gt;35,GU13+GT14-HC13,IF(A14&lt;'Données projet'!$A$270,$GR$205^A14,IF(A14='Données projet'!$A$270,'Données projet'!$B$270,GU13+GT14-HC13)))</f>
        <v>3.7743943196507299</v>
      </c>
      <c r="GV14" s="18">
        <f>GU14*VLOOKUP('Données projet'!$B$18,Paramètres!$A$1:$I$89,3,0)*VLOOKUP('Données projet'!$B$18,Paramètres!$A$1:$I$89,5,0)</f>
        <v>3.8272358401258404</v>
      </c>
      <c r="GW14" s="14">
        <f t="shared" si="51"/>
        <v>1.5086533088875702</v>
      </c>
      <c r="GX14" s="22">
        <f t="shared" si="28"/>
        <v>9.2933402678650214</v>
      </c>
      <c r="GY14" s="62">
        <f t="shared" si="29"/>
        <v>203.78913887697917</v>
      </c>
      <c r="GZ14" s="62">
        <f ca="1">AVERAGE(OFFSET($GY$3,0,0,'Données projet'!$E$18+1,1))-AVERAGE(OFFSET($H$3,0,0,'Données projet'!$E$18+1,1))</f>
        <v>220.89224520315713</v>
      </c>
      <c r="HA14" s="62">
        <f t="shared" si="52"/>
        <v>141.82763623159096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1.2492000000000001</v>
      </c>
      <c r="N15" s="14">
        <f>IF('Données projet'!$A$36&gt;35,N14+M15-V14,IF(A15&lt;'Données projet'!$A$36,$K$205^A15,IF(A15='Données projet'!$A$36,'Données projet'!$B$36,N14+M15-V14)))</f>
        <v>5.2166842672264933</v>
      </c>
      <c r="O15" s="14">
        <f>N15*VLOOKUP('Données projet'!$B$9,Paramètres!$A$1:$I$89,3,0)*VLOOKUP('Données projet'!$B$9,Paramètres!$A$1:$I$89,5,0)</f>
        <v>5.0455770232614645</v>
      </c>
      <c r="P15" s="14">
        <f t="shared" si="33"/>
        <v>1.9259458989199565</v>
      </c>
      <c r="Q15" s="22">
        <f t="shared" si="2"/>
        <v>12.142069089465975</v>
      </c>
      <c r="R15" s="62">
        <f t="shared" si="0"/>
        <v>209.17184654219884</v>
      </c>
      <c r="S15" s="62">
        <f ca="1">AVERAGE(OFFSET($R$3,0,0,'Données projet'!$E$9+1,1))-AVERAGE(OFFSET($H$3,0,0,'Données projet'!$E$9+1,1))</f>
        <v>84.959354125980269</v>
      </c>
      <c r="T15" s="62">
        <f t="shared" si="34"/>
        <v>89.658970210276806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3.1414999999999997</v>
      </c>
      <c r="AI15" s="14">
        <f>IF('Données projet'!$A$62&gt;35,AI14+AH15-AQ14,IF(A15&lt;'Données projet'!$A$62,$AF$205^A15,IF(A15='Données projet'!$A$62,'Données projet'!$B$62,AI14+AH15-AQ14)))</f>
        <v>11.992237912230985</v>
      </c>
      <c r="AJ15" s="14">
        <f>AI15*VLOOKUP('Données projet'!$B$10,Paramètres!$A$1:$I$89,3,0)*VLOOKUP('Données projet'!$B$10,Paramètres!$A$1:$I$89,5,0)</f>
        <v>11.411813597279005</v>
      </c>
      <c r="AK15" s="14">
        <f t="shared" si="35"/>
        <v>3.9612353913908191</v>
      </c>
      <c r="AL15" s="22">
        <f t="shared" si="4"/>
        <v>26.774726988599941</v>
      </c>
      <c r="AM15" s="62">
        <f t="shared" si="5"/>
        <v>223.80450444133282</v>
      </c>
      <c r="AN15" s="62">
        <f ca="1">AVERAGE(OFFSET($AM$3,0,0,'Données projet'!$E$10+1,1))-AVERAGE(OFFSET($H$3,0,0,'Données projet'!$E$10+1,1))</f>
        <v>592.76231355549089</v>
      </c>
      <c r="AO15" s="62">
        <f t="shared" si="36"/>
        <v>200.66895551079014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1.7753333333333332</v>
      </c>
      <c r="BD15" s="13">
        <f>IF('Données projet'!$A$88&gt;35,BD14+BC15-BL14,IF(A15&lt;'Données projet'!$A$88,$BA$205^A15,IF(A15='Données projet'!$A$88,'Données projet'!$B$88,BD14+BC15-BL14)))</f>
        <v>4.904112957684962</v>
      </c>
      <c r="BE15" s="14">
        <f>BD15*VLOOKUP('Données projet'!$B$11,Paramètres!$A$1:$I$89,3,0)*VLOOKUP('Données projet'!$B$11,Paramètres!$A$1:$I$89,5,0)</f>
        <v>4.4372414041133537</v>
      </c>
      <c r="BF15" s="14">
        <f t="shared" si="37"/>
        <v>1.7192584273716989</v>
      </c>
      <c r="BG15" s="22">
        <f t="shared" si="7"/>
        <v>10.722570539836466</v>
      </c>
      <c r="BH15" s="62">
        <f t="shared" si="8"/>
        <v>207.75234799256933</v>
      </c>
      <c r="BI15" s="62">
        <f ca="1">AVERAGE(OFFSET($BH$3,0,0,'Données projet'!$E$11+1,1))-AVERAGE(OFFSET($H$3,0,0,'Données projet'!$E$11+1,1))</f>
        <v>316.71836722354374</v>
      </c>
      <c r="BJ15" s="62">
        <f t="shared" si="38"/>
        <v>164.34067012996618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2.7920000000000003</v>
      </c>
      <c r="BY15" s="13">
        <f>IF('Données projet'!$A$114&gt;35,BY14+BX15-CG14,IF(A15&lt;'Données projet'!$A$114,$BV$205^A15,IF(A15='Données projet'!$A$114,'Données projet'!$B$114,BY14+BX15-CG14)))</f>
        <v>19.842908895018532</v>
      </c>
      <c r="BZ15" s="14">
        <f>BY15*VLOOKUP('Données projet'!$B$12,Paramètres!$A$1:$I$89,3,0)*VLOOKUP('Données projet'!$B$12,Paramètres!$A$1:$I$89,5,0)</f>
        <v>22.597104649647104</v>
      </c>
      <c r="CA15" s="14">
        <f t="shared" si="39"/>
        <v>7.2442447745664964</v>
      </c>
      <c r="CB15" s="22">
        <f t="shared" si="10"/>
        <v>51.973683580505345</v>
      </c>
      <c r="CC15" s="62">
        <f t="shared" si="11"/>
        <v>249.00346103323821</v>
      </c>
      <c r="CD15" s="62">
        <f ca="1">AVERAGE(OFFSET($CC$3,0,0,'Données projet'!$E$12+1,1))-AVERAGE(OFFSET($H$3,0,0,'Données projet'!$E$12+1,1))</f>
        <v>454.9779384236806</v>
      </c>
      <c r="CE15" s="62">
        <f t="shared" si="40"/>
        <v>379.32753348721906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4.2880000000000003</v>
      </c>
      <c r="CT15" s="13">
        <f>IF('Données projet'!$A$140&gt;35,CT14+CS15-DB14,IF(A15&lt;'Données projet'!$A$140,$CQ$205^A15,IF(A15='Données projet'!$A$140,'Données projet'!$B$140,CT14+CS15-DB14)))</f>
        <v>14.453428001968044</v>
      </c>
      <c r="CU15" s="18">
        <f>CT15*VLOOKUP('Données projet'!$B$13,Paramètres!$A$1:$I$89,3,0)*VLOOKUP('Données projet'!$B$13,Paramètres!$A$1:$I$89,5,0)</f>
        <v>11.273673841535075</v>
      </c>
      <c r="CV15" s="14">
        <f t="shared" si="41"/>
        <v>3.918836195959531</v>
      </c>
      <c r="CW15" s="22">
        <f t="shared" si="13"/>
        <v>26.460288315303103</v>
      </c>
      <c r="CX15" s="62">
        <f t="shared" si="14"/>
        <v>223.49006576803598</v>
      </c>
      <c r="CY15" s="62">
        <f ca="1">AVERAGE(OFFSET($CX$3,0,0,'Données projet'!$E$13+1,1))-AVERAGE(OFFSET($H$3,0,0,'Données projet'!$E$13+1,1))</f>
        <v>252.10592533338991</v>
      </c>
      <c r="CZ15" s="62">
        <f t="shared" si="42"/>
        <v>272.71831345325313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4.4390000000000001</v>
      </c>
      <c r="DO15" s="13">
        <f>IF('Données projet'!$A$166&gt;35,DO14+DN15-DW14,IF(A15&lt;'Données projet'!$A$166,$DL$205^A15,IF(A15='Données projet'!$A$166,'Données projet'!$B$166,DO14+DN15-DW14)))</f>
        <v>14.756694432358563</v>
      </c>
      <c r="DP15" s="18">
        <f>DO15*VLOOKUP('Données projet'!$B$14,Paramètres!$A$1:$I$89,3,0)*VLOOKUP('Données projet'!$B$14,Paramètres!$A$1:$I$89,5,0)</f>
        <v>8.8245032705504212</v>
      </c>
      <c r="DQ15" s="14">
        <f t="shared" si="43"/>
        <v>3.1561961521504438</v>
      </c>
      <c r="DR15" s="22">
        <f t="shared" si="16"/>
        <v>20.866384827870672</v>
      </c>
      <c r="DS15" s="62">
        <f t="shared" si="17"/>
        <v>217.89616228060353</v>
      </c>
      <c r="DT15" s="62">
        <f ca="1">AVERAGE(OFFSET($DS$3,0,0,'Données projet'!$E$14+1,1))-AVERAGE(OFFSET($H$3,0,0,'Données projet'!$E$14+1,1))</f>
        <v>423.0896575168394</v>
      </c>
      <c r="DU15" s="62">
        <f t="shared" si="44"/>
        <v>305.98537395014284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9.7160000000000011</v>
      </c>
      <c r="EJ15" s="13">
        <f>IF('Données projet'!$A$192&gt;35,EJ14+EI15-ER14,IF(A15&lt;'Données projet'!$A$192,$EG$205^A15,IF(A15='Données projet'!$A$192,'Données projet'!$B$192,EJ14+EI15-ER14)))</f>
        <v>35.252000000000002</v>
      </c>
      <c r="EK15" s="18">
        <f>EJ15*VLOOKUP('Données projet'!$B$15,Paramètres!$A$1:$I$89,3,0)*VLOOKUP('Données projet'!$B$15,Paramètres!$A$1:$I$89,5,0)</f>
        <v>21.080696000000003</v>
      </c>
      <c r="EL15" s="14">
        <f t="shared" si="45"/>
        <v>6.8129751152523408</v>
      </c>
      <c r="EM15" s="22">
        <f t="shared" si="19"/>
        <v>48.581477192397834</v>
      </c>
      <c r="EN15" s="62">
        <f t="shared" si="20"/>
        <v>245.61125464513071</v>
      </c>
      <c r="EO15" s="62">
        <f ca="1">AVERAGE(OFFSET($EN$3,0,0,'Données projet'!$E$15+1,1))-AVERAGE(OFFSET($H$3,0,0,'Données projet'!$E$15+1,1))</f>
        <v>281.21543175875604</v>
      </c>
      <c r="EP15" s="62">
        <f t="shared" si="46"/>
        <v>366.68536296857428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0.83178653175173545</v>
      </c>
      <c r="EY15" s="24">
        <f t="shared" si="21"/>
        <v>0.83178653175173545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4.5884999999999998</v>
      </c>
      <c r="FE15" s="13">
        <f>IF('Données projet'!$A$218&gt;35,FE14+FD15-FM14,IF(A15&lt;'Données projet'!$A$218,$FB$205^A15,IF(A15='Données projet'!$A$218,'Données projet'!$B$218,FE14+FD15-FM14)))</f>
        <v>15.052909098521923</v>
      </c>
      <c r="FF15" s="18">
        <f>FE15*VLOOKUP('Données projet'!$B$16,Paramètres!$A$1:$I$89,3,0)*VLOOKUP('Données projet'!$B$16,Paramètres!$A$1:$I$89,5,0)</f>
        <v>8.414576186073754</v>
      </c>
      <c r="FG15" s="14">
        <f t="shared" si="47"/>
        <v>3.0262901077410311</v>
      </c>
      <c r="FH15" s="22">
        <f t="shared" si="22"/>
        <v>19.926175461727418</v>
      </c>
      <c r="FI15" s="62">
        <f t="shared" si="23"/>
        <v>216.95595291446028</v>
      </c>
      <c r="FJ15" s="62">
        <f ca="1">AVERAGE(OFFSET($FI$3,0,0,'Données projet'!$E$16+1,1))-AVERAGE(OFFSET($H$3,0,0,'Données projet'!$E$16+1,1))</f>
        <v>280.9225643428145</v>
      </c>
      <c r="FK15" s="62">
        <f t="shared" si="48"/>
        <v>236.89414218053955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17.657333333333334</v>
      </c>
      <c r="FZ15" s="13">
        <f>IF('Données projet'!$A$244&gt;35,FZ14+FY15-GH14,IF(A15&lt;'Données projet'!$A$244,$FW$205^A15,IF(A15='Données projet'!$A$244,'Données projet'!$B$244,FZ14+FY15-GH14)))</f>
        <v>86.778691994777134</v>
      </c>
      <c r="GA15" s="18">
        <f>FZ15*VLOOKUP('Données projet'!$B$17,Paramètres!$A$1:$I$89,3,0)*VLOOKUP('Données projet'!$B$17,Paramètres!$A$1:$I$89,5,0)</f>
        <v>38.356181861691496</v>
      </c>
      <c r="GB15" s="14">
        <f t="shared" si="49"/>
        <v>11.561894362066763</v>
      </c>
      <c r="GC15" s="22">
        <f t="shared" si="25"/>
        <v>86.940649423045627</v>
      </c>
      <c r="GD15" s="62">
        <f t="shared" si="26"/>
        <v>283.97042687577851</v>
      </c>
      <c r="GE15" s="62">
        <f ca="1">AVERAGE(OFFSET($GD$3,0,0,'Données projet'!$E$17+1,1))-AVERAGE(OFFSET($H$3,0,0,'Données projet'!$E$17+1,1))</f>
        <v>325.67421864225201</v>
      </c>
      <c r="GF15" s="62">
        <f t="shared" si="50"/>
        <v>542.01920418736745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1.2476666666666667</v>
      </c>
      <c r="GU15" s="13">
        <f>IF('Données projet'!$A$270&gt;35,GU14+GT15-HC14,IF(A15&lt;'Données projet'!$A$270,$GR$205^A15,IF(A15='Données projet'!$A$270,'Données projet'!$B$270,GU14+GT15-HC14)))</f>
        <v>4.2588067217043575</v>
      </c>
      <c r="GV15" s="18">
        <f>GU15*VLOOKUP('Données projet'!$B$18,Paramètres!$A$1:$I$89,3,0)*VLOOKUP('Données projet'!$B$18,Paramètres!$A$1:$I$89,5,0)</f>
        <v>4.3184300158082189</v>
      </c>
      <c r="GW15" s="14">
        <f t="shared" si="51"/>
        <v>1.6785180569225573</v>
      </c>
      <c r="GX15" s="22">
        <f t="shared" si="28"/>
        <v>10.444684560006101</v>
      </c>
      <c r="GY15" s="62">
        <f t="shared" si="29"/>
        <v>207.47446201273897</v>
      </c>
      <c r="GZ15" s="62">
        <f ca="1">AVERAGE(OFFSET($GY$3,0,0,'Données projet'!$E$18+1,1))-AVERAGE(OFFSET($H$3,0,0,'Données projet'!$E$18+1,1))</f>
        <v>220.89224520315713</v>
      </c>
      <c r="HA15" s="62">
        <f t="shared" si="52"/>
        <v>141.82763623159096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1.2492000000000001</v>
      </c>
      <c r="N16" s="14">
        <f>IF('Données projet'!$A$36&gt;35,N15+M16-V15,IF(A16&lt;'Données projet'!$A$36,$K$205^A16,IF(A16='Données projet'!$A$36,'Données projet'!$B$36,N15+M16-V15)))</f>
        <v>5.9865612715342085</v>
      </c>
      <c r="O16" s="14">
        <f>N16*VLOOKUP('Données projet'!$B$9,Paramètres!$A$1:$I$89,3,0)*VLOOKUP('Données projet'!$B$9,Paramètres!$A$1:$I$89,5,0)</f>
        <v>5.7902020618278867</v>
      </c>
      <c r="P16" s="14">
        <f t="shared" si="33"/>
        <v>2.1750449446773756</v>
      </c>
      <c r="Q16" s="22">
        <f t="shared" si="2"/>
        <v>13.872805202996664</v>
      </c>
      <c r="R16" s="62">
        <f t="shared" si="0"/>
        <v>213.41380545461547</v>
      </c>
      <c r="S16" s="62">
        <f ca="1">AVERAGE(OFFSET($R$3,0,0,'Données projet'!$E$9+1,1))-AVERAGE(OFFSET($H$3,0,0,'Données projet'!$E$9+1,1))</f>
        <v>84.959354125980269</v>
      </c>
      <c r="T16" s="62">
        <f t="shared" si="34"/>
        <v>89.658970210276806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3.1414999999999997</v>
      </c>
      <c r="AI16" s="14">
        <f>IF('Données projet'!$A$62&gt;35,AI15+AH16-AQ15,IF(A16&lt;'Données projet'!$A$62,$AF$205^A16,IF(A16='Données projet'!$A$62,'Données projet'!$B$62,AI15+AH16-AQ15)))</f>
        <v>14.750562728895552</v>
      </c>
      <c r="AJ16" s="14">
        <f>AI16*VLOOKUP('Données projet'!$B$10,Paramètres!$A$1:$I$89,3,0)*VLOOKUP('Données projet'!$B$10,Paramètres!$A$1:$I$89,5,0)</f>
        <v>14.036635492817007</v>
      </c>
      <c r="AK16" s="14">
        <f t="shared" si="35"/>
        <v>4.7563485348817425</v>
      </c>
      <c r="AL16" s="22">
        <f t="shared" si="4"/>
        <v>32.731113848241989</v>
      </c>
      <c r="AM16" s="62">
        <f t="shared" si="5"/>
        <v>232.2721140998608</v>
      </c>
      <c r="AN16" s="62">
        <f ca="1">AVERAGE(OFFSET($AM$3,0,0,'Données projet'!$E$10+1,1))-AVERAGE(OFFSET($H$3,0,0,'Données projet'!$E$10+1,1))</f>
        <v>592.76231355549089</v>
      </c>
      <c r="AO16" s="62">
        <f t="shared" si="36"/>
        <v>200.66895551079014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1.7753333333333332</v>
      </c>
      <c r="BD16" s="13">
        <f>IF('Données projet'!$A$88&gt;35,BD15+BC16-BL15,IF(A16&lt;'Données projet'!$A$88,$BA$205^A16,IF(A16='Données projet'!$A$88,'Données projet'!$B$88,BD15+BC16-BL15)))</f>
        <v>5.5989574914359039</v>
      </c>
      <c r="BE16" s="14">
        <f>BD16*VLOOKUP('Données projet'!$B$11,Paramètres!$A$1:$I$89,3,0)*VLOOKUP('Données projet'!$B$11,Paramètres!$A$1:$I$89,5,0)</f>
        <v>5.0659367382512057</v>
      </c>
      <c r="BF16" s="14">
        <f t="shared" si="37"/>
        <v>1.9328111874276632</v>
      </c>
      <c r="BG16" s="22">
        <f t="shared" si="7"/>
        <v>12.189485970557362</v>
      </c>
      <c r="BH16" s="62">
        <f t="shared" si="8"/>
        <v>211.73048622217618</v>
      </c>
      <c r="BI16" s="62">
        <f ca="1">AVERAGE(OFFSET($BH$3,0,0,'Données projet'!$E$11+1,1))-AVERAGE(OFFSET($H$3,0,0,'Données projet'!$E$11+1,1))</f>
        <v>316.71836722354374</v>
      </c>
      <c r="BJ16" s="62">
        <f t="shared" si="38"/>
        <v>164.34067012996618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2.7920000000000003</v>
      </c>
      <c r="BY16" s="13">
        <f>IF('Données projet'!$A$114&gt;35,BY15+BX16-CG15,IF(A16&lt;'Données projet'!$A$114,$BV$205^A16,IF(A16='Données projet'!$A$114,'Données projet'!$B$114,BY15+BX16-CG15)))</f>
        <v>25.45300815242873</v>
      </c>
      <c r="BZ16" s="14">
        <f>BY16*VLOOKUP('Données projet'!$B$12,Paramètres!$A$1:$I$89,3,0)*VLOOKUP('Données projet'!$B$12,Paramètres!$A$1:$I$89,5,0)</f>
        <v>28.985885683985838</v>
      </c>
      <c r="CA16" s="14">
        <f t="shared" si="39"/>
        <v>9.0269309957605337</v>
      </c>
      <c r="CB16" s="22">
        <f t="shared" si="10"/>
        <v>66.205655717224928</v>
      </c>
      <c r="CC16" s="62">
        <f t="shared" si="11"/>
        <v>265.74665596884375</v>
      </c>
      <c r="CD16" s="62">
        <f ca="1">AVERAGE(OFFSET($CC$3,0,0,'Données projet'!$E$12+1,1))-AVERAGE(OFFSET($H$3,0,0,'Données projet'!$E$12+1,1))</f>
        <v>454.9779384236806</v>
      </c>
      <c r="CE16" s="62">
        <f t="shared" si="40"/>
        <v>379.32753348721906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4.2880000000000003</v>
      </c>
      <c r="CT16" s="13">
        <f>IF('Données projet'!$A$140&gt;35,CT15+CS16-DB15,IF(A16&lt;'Données projet'!$A$140,$CQ$205^A16,IF(A16='Données projet'!$A$140,'Données projet'!$B$140,CT15+CS16-DB15)))</f>
        <v>18.056563604164644</v>
      </c>
      <c r="CU16" s="18">
        <f>CT16*VLOOKUP('Données projet'!$B$13,Paramètres!$A$1:$I$89,3,0)*VLOOKUP('Données projet'!$B$13,Paramètres!$A$1:$I$89,5,0)</f>
        <v>14.084119611248424</v>
      </c>
      <c r="CV16" s="14">
        <f t="shared" si="41"/>
        <v>4.7705629609701425</v>
      </c>
      <c r="CW16" s="22">
        <f t="shared" si="13"/>
        <v>32.838572146613998</v>
      </c>
      <c r="CX16" s="62">
        <f t="shared" si="14"/>
        <v>232.37957239823282</v>
      </c>
      <c r="CY16" s="62">
        <f ca="1">AVERAGE(OFFSET($CX$3,0,0,'Données projet'!$E$13+1,1))-AVERAGE(OFFSET($H$3,0,0,'Données projet'!$E$13+1,1))</f>
        <v>252.10592533338991</v>
      </c>
      <c r="CZ16" s="62">
        <f t="shared" si="42"/>
        <v>272.71831345325313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4.4390000000000001</v>
      </c>
      <c r="DO16" s="13">
        <f>IF('Données projet'!$A$166&gt;35,DO15+DN16-DW15,IF(A16&lt;'Données projet'!$A$166,$DL$205^A16,IF(A16='Données projet'!$A$166,'Données projet'!$B$166,DO15+DN16-DW15)))</f>
        <v>18.467361110020324</v>
      </c>
      <c r="DP16" s="18">
        <f>DO16*VLOOKUP('Données projet'!$B$14,Paramètres!$A$1:$I$89,3,0)*VLOOKUP('Données projet'!$B$14,Paramètres!$A$1:$I$89,5,0)</f>
        <v>11.043481943792155</v>
      </c>
      <c r="DQ16" s="14">
        <f t="shared" si="43"/>
        <v>3.8480486044468294</v>
      </c>
      <c r="DR16" s="22">
        <f t="shared" si="16"/>
        <v>25.936082371516232</v>
      </c>
      <c r="DS16" s="62">
        <f t="shared" si="17"/>
        <v>225.47708262313503</v>
      </c>
      <c r="DT16" s="62">
        <f ca="1">AVERAGE(OFFSET($DS$3,0,0,'Données projet'!$E$14+1,1))-AVERAGE(OFFSET($H$3,0,0,'Données projet'!$E$14+1,1))</f>
        <v>423.0896575168394</v>
      </c>
      <c r="DU16" s="62">
        <f t="shared" si="44"/>
        <v>305.98537395014284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9.7160000000000011</v>
      </c>
      <c r="EJ16" s="13">
        <f>IF('Données projet'!$A$192&gt;35,EJ15+EI16-ER15,IF(A16&lt;'Données projet'!$A$192,$EG$205^A16,IF(A16='Données projet'!$A$192,'Données projet'!$B$192,EJ15+EI16-ER15)))</f>
        <v>44.968000000000004</v>
      </c>
      <c r="EK16" s="18">
        <f>EJ16*VLOOKUP('Données projet'!$B$15,Paramètres!$A$1:$I$89,3,0)*VLOOKUP('Données projet'!$B$15,Paramètres!$A$1:$I$89,5,0)</f>
        <v>26.890864000000004</v>
      </c>
      <c r="EL16" s="14">
        <f t="shared" si="45"/>
        <v>8.4479401325019268</v>
      </c>
      <c r="EM16" s="22">
        <f t="shared" si="19"/>
        <v>61.548417197440862</v>
      </c>
      <c r="EN16" s="62">
        <f t="shared" si="20"/>
        <v>261.08941744905968</v>
      </c>
      <c r="EO16" s="62">
        <f ca="1">AVERAGE(OFFSET($EN$3,0,0,'Données projet'!$E$15+1,1))-AVERAGE(OFFSET($H$3,0,0,'Données projet'!$E$15+1,1))</f>
        <v>281.21543175875604</v>
      </c>
      <c r="EP16" s="62">
        <f t="shared" si="46"/>
        <v>366.68536296857428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0.58816189710129174</v>
      </c>
      <c r="EY16" s="24">
        <f t="shared" si="21"/>
        <v>0.58816189710129174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4.5884999999999998</v>
      </c>
      <c r="FE16" s="13">
        <f>IF('Données projet'!$A$218&gt;35,FE15+FD16-FM15,IF(A16&lt;'Données projet'!$A$218,$FB$205^A16,IF(A16='Données projet'!$A$218,'Données projet'!$B$218,FE15+FD16-FM15)))</f>
        <v>18.869286370089853</v>
      </c>
      <c r="FF16" s="18">
        <f>FE16*VLOOKUP('Données projet'!$B$16,Paramètres!$A$1:$I$89,3,0)*VLOOKUP('Données projet'!$B$16,Paramètres!$A$1:$I$89,5,0)</f>
        <v>10.547931080880227</v>
      </c>
      <c r="FG16" s="14">
        <f t="shared" si="47"/>
        <v>3.6950700545531254</v>
      </c>
      <c r="FH16" s="22">
        <f t="shared" si="22"/>
        <v>24.806560310879757</v>
      </c>
      <c r="FI16" s="62">
        <f t="shared" si="23"/>
        <v>224.34756056249856</v>
      </c>
      <c r="FJ16" s="62">
        <f ca="1">AVERAGE(OFFSET($FI$3,0,0,'Données projet'!$E$16+1,1))-AVERAGE(OFFSET($H$3,0,0,'Données projet'!$E$16+1,1))</f>
        <v>280.9225643428145</v>
      </c>
      <c r="FK16" s="62">
        <f t="shared" si="48"/>
        <v>236.89414218053955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17.657333333333334</v>
      </c>
      <c r="FZ16" s="13">
        <f>IF('Données projet'!$A$244&gt;35,FZ15+FY16-GH15,IF(A16&lt;'Données projet'!$A$244,$FW$205^A16,IF(A16='Données projet'!$A$244,'Données projet'!$B$244,FZ15+FY16-GH15)))</f>
        <v>125.87733066352703</v>
      </c>
      <c r="GA16" s="18">
        <f>FZ16*VLOOKUP('Données projet'!$B$17,Paramètres!$A$1:$I$89,3,0)*VLOOKUP('Données projet'!$B$17,Paramètres!$A$1:$I$89,5,0)</f>
        <v>55.637780153278953</v>
      </c>
      <c r="GB16" s="14">
        <f t="shared" si="49"/>
        <v>16.060564834897271</v>
      </c>
      <c r="GC16" s="22">
        <f t="shared" si="25"/>
        <v>124.87461752107356</v>
      </c>
      <c r="GD16" s="62">
        <f t="shared" si="26"/>
        <v>324.41561777269237</v>
      </c>
      <c r="GE16" s="62">
        <f ca="1">AVERAGE(OFFSET($GD$3,0,0,'Données projet'!$E$17+1,1))-AVERAGE(OFFSET($H$3,0,0,'Données projet'!$E$17+1,1))</f>
        <v>325.67421864225201</v>
      </c>
      <c r="GF16" s="62">
        <f t="shared" si="50"/>
        <v>542.01920418736745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1.2476666666666667</v>
      </c>
      <c r="GU16" s="13">
        <f>IF('Données projet'!$A$270&gt;35,GU15+GT16-HC15,IF(A16&lt;'Données projet'!$A$270,$GR$205^A16,IF(A16='Données projet'!$A$270,'Données projet'!$B$270,GU15+GT16-HC15)))</f>
        <v>4.8053894629940519</v>
      </c>
      <c r="GV16" s="18">
        <f>GU16*VLOOKUP('Données projet'!$B$18,Paramètres!$A$1:$I$89,3,0)*VLOOKUP('Données projet'!$B$18,Paramètres!$A$1:$I$89,5,0)</f>
        <v>4.8726649154759691</v>
      </c>
      <c r="GW16" s="14">
        <f t="shared" si="51"/>
        <v>1.867508493049705</v>
      </c>
      <c r="GX16" s="22">
        <f t="shared" si="28"/>
        <v>11.739135353182215</v>
      </c>
      <c r="GY16" s="62">
        <f t="shared" si="29"/>
        <v>211.28013560480102</v>
      </c>
      <c r="GZ16" s="62">
        <f ca="1">AVERAGE(OFFSET($GY$3,0,0,'Données projet'!$E$18+1,1))-AVERAGE(OFFSET($H$3,0,0,'Données projet'!$E$18+1,1))</f>
        <v>220.89224520315713</v>
      </c>
      <c r="HA16" s="62">
        <f t="shared" si="52"/>
        <v>141.82763623159096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1.2492000000000001</v>
      </c>
      <c r="N17" s="14">
        <f>IF('Données projet'!$A$36&gt;35,N16+M17-V16,IF(A17&lt;'Données projet'!$A$36,$K$205^A17,IF(A17='Données projet'!$A$36,'Données projet'!$B$36,N16+M17-V16)))</f>
        <v>6.8700565382093606</v>
      </c>
      <c r="O17" s="14">
        <f>N17*VLOOKUP('Données projet'!$B$9,Paramètres!$A$1:$I$89,3,0)*VLOOKUP('Données projet'!$B$9,Paramètres!$A$1:$I$89,5,0)</f>
        <v>6.6447186837560936</v>
      </c>
      <c r="P17" s="14">
        <f t="shared" si="33"/>
        <v>2.4563620992778588</v>
      </c>
      <c r="Q17" s="22">
        <f t="shared" si="2"/>
        <v>15.851049030450801</v>
      </c>
      <c r="R17" s="62">
        <f t="shared" si="0"/>
        <v>217.880910802724</v>
      </c>
      <c r="S17" s="62">
        <f ca="1">AVERAGE(OFFSET($R$3,0,0,'Données projet'!$E$9+1,1))-AVERAGE(OFFSET($H$3,0,0,'Données projet'!$E$9+1,1))</f>
        <v>84.959354125980269</v>
      </c>
      <c r="T17" s="62">
        <f t="shared" si="34"/>
        <v>89.658970210276806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3.1414999999999997</v>
      </c>
      <c r="AI17" s="14">
        <f>IF('Données projet'!$A$62&gt;35,AI16+AH17-AQ16,IF(A17&lt;'Données projet'!$A$62,$AF$205^A17,IF(A17='Données projet'!$A$62,'Données projet'!$B$62,AI16+AH17-AQ16)))</f>
        <v>18.143327576679564</v>
      </c>
      <c r="AJ17" s="14">
        <f>AI17*VLOOKUP('Données projet'!$B$10,Paramètres!$A$1:$I$89,3,0)*VLOOKUP('Données projet'!$B$10,Paramètres!$A$1:$I$89,5,0)</f>
        <v>17.265190521968272</v>
      </c>
      <c r="AK17" s="14">
        <f t="shared" si="35"/>
        <v>5.7110595937921875</v>
      </c>
      <c r="AL17" s="22">
        <f t="shared" si="4"/>
        <v>40.016968951616128</v>
      </c>
      <c r="AM17" s="62">
        <f t="shared" si="5"/>
        <v>242.04683072388931</v>
      </c>
      <c r="AN17" s="62">
        <f ca="1">AVERAGE(OFFSET($AM$3,0,0,'Données projet'!$E$10+1,1))-AVERAGE(OFFSET($H$3,0,0,'Données projet'!$E$10+1,1))</f>
        <v>592.76231355549089</v>
      </c>
      <c r="AO17" s="62">
        <f t="shared" si="36"/>
        <v>200.66895551079014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1.7753333333333332</v>
      </c>
      <c r="BD17" s="13">
        <f>IF('Données projet'!$A$88&gt;35,BD16+BC17-BL16,IF(A17&lt;'Données projet'!$A$88,$BA$205^A17,IF(A17='Données projet'!$A$88,'Données projet'!$B$88,BD16+BC17-BL16)))</f>
        <v>6.3922518223773821</v>
      </c>
      <c r="BE17" s="14">
        <f>BD17*VLOOKUP('Données projet'!$B$11,Paramètres!$A$1:$I$89,3,0)*VLOOKUP('Données projet'!$B$11,Paramètres!$A$1:$I$89,5,0)</f>
        <v>5.7837094488870555</v>
      </c>
      <c r="BF17" s="14">
        <f t="shared" si="37"/>
        <v>2.1728897917671066</v>
      </c>
      <c r="BG17" s="22">
        <f t="shared" si="7"/>
        <v>13.857743677472664</v>
      </c>
      <c r="BH17" s="62">
        <f t="shared" si="8"/>
        <v>215.88760544974585</v>
      </c>
      <c r="BI17" s="62">
        <f ca="1">AVERAGE(OFFSET($BH$3,0,0,'Données projet'!$E$11+1,1))-AVERAGE(OFFSET($H$3,0,0,'Données projet'!$E$11+1,1))</f>
        <v>316.71836722354374</v>
      </c>
      <c r="BJ17" s="62">
        <f t="shared" si="38"/>
        <v>164.34067012996618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2.7920000000000003</v>
      </c>
      <c r="BY17" s="13">
        <f>IF('Données projet'!$A$114&gt;35,BY16+BX17-CG16,IF(A17&lt;'Données projet'!$A$114,$BV$205^A17,IF(A17='Données projet'!$A$114,'Données projet'!$B$114,BY16+BX17-CG16)))</f>
        <v>32.64922635260622</v>
      </c>
      <c r="BZ17" s="14">
        <f>BY17*VLOOKUP('Données projet'!$B$12,Paramètres!$A$1:$I$89,3,0)*VLOOKUP('Données projet'!$B$12,Paramètres!$A$1:$I$89,5,0)</f>
        <v>37.18093897034796</v>
      </c>
      <c r="CA17" s="14">
        <f t="shared" si="39"/>
        <v>11.248306171031942</v>
      </c>
      <c r="CB17" s="22">
        <f t="shared" si="10"/>
        <v>84.347601954569996</v>
      </c>
      <c r="CC17" s="62">
        <f t="shared" si="11"/>
        <v>286.37746372684319</v>
      </c>
      <c r="CD17" s="62">
        <f ca="1">AVERAGE(OFFSET($CC$3,0,0,'Données projet'!$E$12+1,1))-AVERAGE(OFFSET($H$3,0,0,'Données projet'!$E$12+1,1))</f>
        <v>454.9779384236806</v>
      </c>
      <c r="CE17" s="62">
        <f t="shared" si="40"/>
        <v>379.32753348721906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4.2880000000000003</v>
      </c>
      <c r="CT17" s="13">
        <f>IF('Données projet'!$A$140&gt;35,CT16+CS17-DB16,IF(A17&lt;'Données projet'!$A$140,$CQ$205^A17,IF(A17='Données projet'!$A$140,'Données projet'!$B$140,CT16+CS17-DB16)))</f>
        <v>22.557934985862751</v>
      </c>
      <c r="CU17" s="18">
        <f>CT17*VLOOKUP('Données projet'!$B$13,Paramètres!$A$1:$I$89,3,0)*VLOOKUP('Données projet'!$B$13,Paramètres!$A$1:$I$89,5,0)</f>
        <v>17.595189288972946</v>
      </c>
      <c r="CV17" s="14">
        <f t="shared" si="41"/>
        <v>5.8074055220896605</v>
      </c>
      <c r="CW17" s="22">
        <f t="shared" si="13"/>
        <v>40.759519295934034</v>
      </c>
      <c r="CX17" s="62">
        <f t="shared" si="14"/>
        <v>242.78938106820723</v>
      </c>
      <c r="CY17" s="62">
        <f ca="1">AVERAGE(OFFSET($CX$3,0,0,'Données projet'!$E$13+1,1))-AVERAGE(OFFSET($H$3,0,0,'Données projet'!$E$13+1,1))</f>
        <v>252.10592533338991</v>
      </c>
      <c r="CZ17" s="62">
        <f t="shared" si="42"/>
        <v>272.71831345325313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4.4390000000000001</v>
      </c>
      <c r="DO17" s="13">
        <f>IF('Données projet'!$A$166&gt;35,DO16+DN17-DW16,IF(A17&lt;'Données projet'!$A$166,$DL$205^A17,IF(A17='Données projet'!$A$166,'Données projet'!$B$166,DO16+DN17-DW16)))</f>
        <v>23.111099029065016</v>
      </c>
      <c r="DP17" s="18">
        <f>DO17*VLOOKUP('Données projet'!$B$14,Paramètres!$A$1:$I$89,3,0)*VLOOKUP('Données projet'!$B$14,Paramètres!$A$1:$I$89,5,0)</f>
        <v>13.820437219380882</v>
      </c>
      <c r="DQ17" s="14">
        <f t="shared" si="43"/>
        <v>4.6915582392102806</v>
      </c>
      <c r="DR17" s="22">
        <f t="shared" si="16"/>
        <v>32.241725423712943</v>
      </c>
      <c r="DS17" s="62">
        <f t="shared" si="17"/>
        <v>234.27158719598614</v>
      </c>
      <c r="DT17" s="62">
        <f ca="1">AVERAGE(OFFSET($DS$3,0,0,'Données projet'!$E$14+1,1))-AVERAGE(OFFSET($H$3,0,0,'Données projet'!$E$14+1,1))</f>
        <v>423.0896575168394</v>
      </c>
      <c r="DU17" s="62">
        <f t="shared" si="44"/>
        <v>305.98537395014284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9.7160000000000011</v>
      </c>
      <c r="EJ17" s="13">
        <f>IF('Données projet'!$A$192&gt;35,EJ16+EI17-ER16,IF(A17&lt;'Données projet'!$A$192,$EG$205^A17,IF(A17='Données projet'!$A$192,'Données projet'!$B$192,EJ16+EI17-ER16)))</f>
        <v>54.684000000000005</v>
      </c>
      <c r="EK17" s="18">
        <f>EJ17*VLOOKUP('Données projet'!$B$15,Paramètres!$A$1:$I$89,3,0)*VLOOKUP('Données projet'!$B$15,Paramètres!$A$1:$I$89,5,0)</f>
        <v>32.701032000000005</v>
      </c>
      <c r="EL17" s="14">
        <f t="shared" si="45"/>
        <v>10.041961909505726</v>
      </c>
      <c r="EM17" s="22">
        <f t="shared" si="19"/>
        <v>74.444047725722484</v>
      </c>
      <c r="EN17" s="62">
        <f t="shared" si="20"/>
        <v>276.47390949799569</v>
      </c>
      <c r="EO17" s="62">
        <f ca="1">AVERAGE(OFFSET($EN$3,0,0,'Données projet'!$E$15+1,1))-AVERAGE(OFFSET($H$3,0,0,'Données projet'!$E$15+1,1))</f>
        <v>281.21543175875604</v>
      </c>
      <c r="EP17" s="62">
        <f t="shared" si="46"/>
        <v>366.68536296857428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0.41589326587586783</v>
      </c>
      <c r="EY17" s="24">
        <f t="shared" si="21"/>
        <v>0.41589326587586783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4.5884999999999998</v>
      </c>
      <c r="FE17" s="13">
        <f>IF('Données projet'!$A$218&gt;35,FE16+FD17-FM16,IF(A17&lt;'Données projet'!$A$218,$FB$205^A17,IF(A17='Données projet'!$A$218,'Données projet'!$B$218,FE16+FD17-FM16)))</f>
        <v>23.653233124979142</v>
      </c>
      <c r="FF17" s="18">
        <f>FE17*VLOOKUP('Données projet'!$B$16,Paramètres!$A$1:$I$89,3,0)*VLOOKUP('Données projet'!$B$16,Paramètres!$A$1:$I$89,5,0)</f>
        <v>13.22215731686334</v>
      </c>
      <c r="FG17" s="14">
        <f t="shared" si="47"/>
        <v>4.5116437030047001</v>
      </c>
      <c r="FH17" s="22">
        <f t="shared" si="22"/>
        <v>30.886370109603504</v>
      </c>
      <c r="FI17" s="62">
        <f t="shared" si="23"/>
        <v>232.91623188187668</v>
      </c>
      <c r="FJ17" s="62">
        <f ca="1">AVERAGE(OFFSET($FI$3,0,0,'Données projet'!$E$16+1,1))-AVERAGE(OFFSET($H$3,0,0,'Données projet'!$E$16+1,1))</f>
        <v>280.9225643428145</v>
      </c>
      <c r="FK17" s="62">
        <f t="shared" si="48"/>
        <v>236.89414218053955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17.657333333333334</v>
      </c>
      <c r="FZ17" s="13">
        <f>IF('Données projet'!$A$244&gt;35,FZ16+FY17-GH16,IF(A17&lt;'Données projet'!$A$244,$FW$205^A17,IF(A17='Données projet'!$A$244,'Données projet'!$B$244,FZ16+FY17-GH16)))</f>
        <v>182.59208580752264</v>
      </c>
      <c r="GA17" s="18">
        <f>FZ17*VLOOKUP('Données projet'!$B$17,Paramètres!$A$1:$I$89,3,0)*VLOOKUP('Données projet'!$B$17,Paramètres!$A$1:$I$89,5,0)</f>
        <v>80.705701926925016</v>
      </c>
      <c r="GB17" s="14">
        <f t="shared" si="49"/>
        <v>22.309643622261056</v>
      </c>
      <c r="GC17" s="22">
        <f t="shared" si="25"/>
        <v>179.41839349816573</v>
      </c>
      <c r="GD17" s="62">
        <f t="shared" si="26"/>
        <v>381.44825527043895</v>
      </c>
      <c r="GE17" s="62">
        <f ca="1">AVERAGE(OFFSET($GD$3,0,0,'Données projet'!$E$17+1,1))-AVERAGE(OFFSET($H$3,0,0,'Données projet'!$E$17+1,1))</f>
        <v>325.67421864225201</v>
      </c>
      <c r="GF17" s="62">
        <f t="shared" si="50"/>
        <v>542.01920418736745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1.2476666666666667</v>
      </c>
      <c r="GU17" s="13">
        <f>IF('Données projet'!$A$270&gt;35,GU16+GT17-HC16,IF(A17&lt;'Données projet'!$A$270,$GR$205^A17,IF(A17='Données projet'!$A$270,'Données projet'!$B$270,GU16+GT17-HC16)))</f>
        <v>5.422121594147626</v>
      </c>
      <c r="GV17" s="18">
        <f>GU17*VLOOKUP('Données projet'!$B$18,Paramètres!$A$1:$I$89,3,0)*VLOOKUP('Données projet'!$B$18,Paramètres!$A$1:$I$89,5,0)</f>
        <v>5.498031296465693</v>
      </c>
      <c r="GW17" s="14">
        <f t="shared" si="51"/>
        <v>2.0777780478614702</v>
      </c>
      <c r="GX17" s="22">
        <f t="shared" si="28"/>
        <v>13.194534608036477</v>
      </c>
      <c r="GY17" s="62">
        <f t="shared" si="29"/>
        <v>215.22439638030966</v>
      </c>
      <c r="GZ17" s="62">
        <f ca="1">AVERAGE(OFFSET($GY$3,0,0,'Données projet'!$E$18+1,1))-AVERAGE(OFFSET($H$3,0,0,'Données projet'!$E$18+1,1))</f>
        <v>220.89224520315713</v>
      </c>
      <c r="HA17" s="62">
        <f t="shared" si="52"/>
        <v>141.82763623159096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1.2492000000000001</v>
      </c>
      <c r="N18" s="14">
        <f>IF('Données projet'!$A$36&gt;35,N17+M18-V17,IF(A18&lt;'Données projet'!$A$36,$K$205^A18,IF(A18='Données projet'!$A$36,'Données projet'!$B$36,N17+M18-V17)))</f>
        <v>7.8839378229728831</v>
      </c>
      <c r="O18" s="14">
        <f>N18*VLOOKUP('Données projet'!$B$9,Paramètres!$A$1:$I$89,3,0)*VLOOKUP('Données projet'!$B$9,Paramètres!$A$1:$I$89,5,0)</f>
        <v>7.6253446623793737</v>
      </c>
      <c r="P18" s="14">
        <f t="shared" si="33"/>
        <v>2.7740644061328634</v>
      </c>
      <c r="Q18" s="22">
        <f t="shared" si="2"/>
        <v>18.112304127658813</v>
      </c>
      <c r="R18" s="62">
        <f t="shared" si="0"/>
        <v>222.60905406053985</v>
      </c>
      <c r="S18" s="62">
        <f ca="1">AVERAGE(OFFSET($R$3,0,0,'Données projet'!$E$9+1,1))-AVERAGE(OFFSET($H$3,0,0,'Données projet'!$E$9+1,1))</f>
        <v>84.959354125980269</v>
      </c>
      <c r="T18" s="62">
        <f t="shared" si="34"/>
        <v>89.658970210276806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3.1414999999999997</v>
      </c>
      <c r="AI18" s="14">
        <f>IF('Données projet'!$A$62&gt;35,AI17+AH18-AQ17,IF(A18&lt;'Données projet'!$A$62,$AF$205^A18,IF(A18='Données projet'!$A$62,'Données projet'!$B$62,AI17+AH18-AQ17)))</f>
        <v>22.316459487328896</v>
      </c>
      <c r="AJ18" s="14">
        <f>AI18*VLOOKUP('Données projet'!$B$10,Paramètres!$A$1:$I$89,3,0)*VLOOKUP('Données projet'!$B$10,Paramètres!$A$1:$I$89,5,0)</f>
        <v>21.236342848142179</v>
      </c>
      <c r="AK18" s="14">
        <f t="shared" si="35"/>
        <v>6.8574036247864534</v>
      </c>
      <c r="AL18" s="22">
        <f t="shared" si="4"/>
        <v>48.929941773684028</v>
      </c>
      <c r="AM18" s="62">
        <f t="shared" si="5"/>
        <v>253.42669170656507</v>
      </c>
      <c r="AN18" s="62">
        <f ca="1">AVERAGE(OFFSET($AM$3,0,0,'Données projet'!$E$10+1,1))-AVERAGE(OFFSET($H$3,0,0,'Données projet'!$E$10+1,1))</f>
        <v>592.76231355549089</v>
      </c>
      <c r="AO18" s="62">
        <f t="shared" si="36"/>
        <v>200.66895551079014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1.7753333333333332</v>
      </c>
      <c r="BD18" s="13">
        <f>IF('Données projet'!$A$88&gt;35,BD17+BC18-BL17,IF(A18&lt;'Données projet'!$A$88,$BA$205^A18,IF(A18='Données projet'!$A$88,'Données projet'!$B$88,BD17+BC18-BL17)))</f>
        <v>7.2979449162075731</v>
      </c>
      <c r="BE18" s="14">
        <f>BD18*VLOOKUP('Données projet'!$B$11,Paramètres!$A$1:$I$89,3,0)*VLOOKUP('Données projet'!$B$11,Paramètres!$A$1:$I$89,5,0)</f>
        <v>6.6031805601846116</v>
      </c>
      <c r="BF18" s="14">
        <f t="shared" si="37"/>
        <v>2.4427890721438628</v>
      </c>
      <c r="BG18" s="22">
        <f t="shared" si="7"/>
        <v>15.755063776305427</v>
      </c>
      <c r="BH18" s="62">
        <f t="shared" si="8"/>
        <v>220.25181370918648</v>
      </c>
      <c r="BI18" s="62">
        <f ca="1">AVERAGE(OFFSET($BH$3,0,0,'Données projet'!$E$11+1,1))-AVERAGE(OFFSET($H$3,0,0,'Données projet'!$E$11+1,1))</f>
        <v>316.71836722354374</v>
      </c>
      <c r="BJ18" s="62">
        <f t="shared" si="38"/>
        <v>164.34067012996618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41.88</v>
      </c>
      <c r="BW18" s="13">
        <f>VLOOKUP(A18,'Données projet'!$A$113:$I$133,9,0)</f>
        <v>2.7920000000000003</v>
      </c>
      <c r="BX18" s="13">
        <f t="array" ref="BX18">INDEX(BW:BW,MIN(IF(ISNUMBER(BW18:BW214),ROW(BW18:BW214),"")))</f>
        <v>2.7920000000000003</v>
      </c>
      <c r="BY18" s="13">
        <f>IF('Données projet'!$A$114&gt;35,BY17+BX18-CG17,IF(A18&lt;'Données projet'!$A$114,$BV$205^A18,IF(A18='Données projet'!$A$114,'Données projet'!$B$114,BY17+BX18-CG17)))</f>
        <v>41.88</v>
      </c>
      <c r="BZ18" s="14">
        <f>BY18*VLOOKUP('Données projet'!$B$12,Paramètres!$A$1:$I$89,3,0)*VLOOKUP('Données projet'!$B$12,Paramètres!$A$1:$I$89,5,0)</f>
        <v>47.692944000000004</v>
      </c>
      <c r="CA18" s="14">
        <f t="shared" si="39"/>
        <v>14.016324238735953</v>
      </c>
      <c r="CB18" s="22">
        <f t="shared" si="10"/>
        <v>107.47697551579846</v>
      </c>
      <c r="CC18" s="62">
        <f t="shared" si="11"/>
        <v>311.97372544867949</v>
      </c>
      <c r="CD18" s="62">
        <f ca="1">AVERAGE(OFFSET($CC$3,0,0,'Données projet'!$E$12+1,1))-AVERAGE(OFFSET($H$3,0,0,'Données projet'!$E$12+1,1))</f>
        <v>454.9779384236806</v>
      </c>
      <c r="CE18" s="62">
        <f t="shared" si="40"/>
        <v>379.32753348721906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16.75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0.3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5.3993044630218954</v>
      </c>
      <c r="CN18" s="24">
        <f t="shared" si="12"/>
        <v>5.3993044630218954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4.2880000000000003</v>
      </c>
      <c r="CT18" s="13">
        <f>IF('Données projet'!$A$140&gt;35,CT17+CS18-DB17,IF(A18&lt;'Données projet'!$A$140,$CQ$205^A18,IF(A18='Données projet'!$A$140,'Données projet'!$B$140,CT17+CS18-DB17)))</f>
        <v>28.181465863695404</v>
      </c>
      <c r="CU18" s="18">
        <f>CT18*VLOOKUP('Données projet'!$B$13,Paramètres!$A$1:$I$89,3,0)*VLOOKUP('Données projet'!$B$13,Paramètres!$A$1:$I$89,5,0)</f>
        <v>21.981543373682417</v>
      </c>
      <c r="CV18" s="14">
        <f t="shared" si="41"/>
        <v>7.0695972726747032</v>
      </c>
      <c r="CW18" s="22">
        <f t="shared" si="13"/>
        <v>50.597403292405318</v>
      </c>
      <c r="CX18" s="62">
        <f t="shared" si="14"/>
        <v>255.09415322528636</v>
      </c>
      <c r="CY18" s="62">
        <f ca="1">AVERAGE(OFFSET($CX$3,0,0,'Données projet'!$E$13+1,1))-AVERAGE(OFFSET($H$3,0,0,'Données projet'!$E$13+1,1))</f>
        <v>252.10592533338991</v>
      </c>
      <c r="CZ18" s="62">
        <f t="shared" si="42"/>
        <v>272.71831345325313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4.4390000000000001</v>
      </c>
      <c r="DO18" s="13">
        <f>IF('Données projet'!$A$166&gt;35,DO17+DN18-DW17,IF(A18&lt;'Données projet'!$A$166,$DL$205^A18,IF(A18='Données projet'!$A$166,'Données projet'!$B$166,DO17+DN18-DW17)))</f>
        <v>28.922535014568851</v>
      </c>
      <c r="DP18" s="18">
        <f>DO18*VLOOKUP('Données projet'!$B$14,Paramètres!$A$1:$I$89,3,0)*VLOOKUP('Données projet'!$B$14,Paramètres!$A$1:$I$89,5,0)</f>
        <v>17.295675938712172</v>
      </c>
      <c r="DQ18" s="14">
        <f t="shared" si="43"/>
        <v>5.7199689958349644</v>
      </c>
      <c r="DR18" s="22">
        <f t="shared" si="16"/>
        <v>40.085581594336269</v>
      </c>
      <c r="DS18" s="62">
        <f t="shared" si="17"/>
        <v>244.58233152721732</v>
      </c>
      <c r="DT18" s="62">
        <f ca="1">AVERAGE(OFFSET($DS$3,0,0,'Données projet'!$E$14+1,1))-AVERAGE(OFFSET($H$3,0,0,'Données projet'!$E$14+1,1))</f>
        <v>423.0896575168394</v>
      </c>
      <c r="DU18" s="62">
        <f t="shared" si="44"/>
        <v>305.98537395014284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64.400000000000006</v>
      </c>
      <c r="EH18" s="13">
        <f>VLOOKUP(A18,'Données projet'!$A$191:$I$211,9,0)</f>
        <v>9.7160000000000011</v>
      </c>
      <c r="EI18" s="13">
        <f t="array" ref="EI18">INDEX(EH:EH,MIN(IF(ISNUMBER(EH18:EH214),ROW(EH18:EH214),"")))</f>
        <v>9.7160000000000011</v>
      </c>
      <c r="EJ18" s="13">
        <f>IF('Données projet'!$A$192&gt;35,EJ17+EI18-ER17,IF(A18&lt;'Données projet'!$A$192,$EG$205^A18,IF(A18='Données projet'!$A$192,'Données projet'!$B$192,EJ17+EI18-ER17)))</f>
        <v>64.400000000000006</v>
      </c>
      <c r="EK18" s="18">
        <f>EJ18*VLOOKUP('Données projet'!$B$15,Paramètres!$A$1:$I$89,3,0)*VLOOKUP('Données projet'!$B$15,Paramètres!$A$1:$I$89,5,0)</f>
        <v>38.511200000000002</v>
      </c>
      <c r="EL18" s="14">
        <f t="shared" si="45"/>
        <v>11.603173425918703</v>
      </c>
      <c r="EM18" s="22">
        <f t="shared" si="19"/>
        <v>87.282533716808416</v>
      </c>
      <c r="EN18" s="62">
        <f t="shared" si="20"/>
        <v>291.77928364968943</v>
      </c>
      <c r="EO18" s="62">
        <f ca="1">AVERAGE(OFFSET($EN$3,0,0,'Données projet'!$E$15+1,1))-AVERAGE(OFFSET($H$3,0,0,'Données projet'!$E$15+1,1))</f>
        <v>281.21543175875604</v>
      </c>
      <c r="EP18" s="62">
        <f t="shared" si="46"/>
        <v>366.68536296857428</v>
      </c>
      <c r="EQ18" s="16">
        <f>IF(ISNA(VLOOKUP(A18,'Données projet'!$A$191:$I$211,3,0)),0,VLOOKUP(A18,'Données projet'!$A$191:$I$211,3,0))</f>
        <v>2</v>
      </c>
      <c r="ER18" s="16">
        <f>IF(ISNA(VLOOKUP(A18,'Données projet'!$A$191:$I$211,4,0)),0,VLOOKUP(A18,'Données projet'!$A$191:$I$211,4,0))</f>
        <v>23.9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0.3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5.1487080813629724</v>
      </c>
      <c r="EY18" s="24">
        <f t="shared" si="21"/>
        <v>5.1487080813629724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4.5884999999999998</v>
      </c>
      <c r="FE18" s="13">
        <f>IF('Données projet'!$A$218&gt;35,FE17+FD18-FM17,IF(A18&lt;'Données projet'!$A$218,$FB$205^A18,IF(A18='Données projet'!$A$218,'Données projet'!$B$218,FE17+FD18-FM17)))</f>
        <v>29.650058104552812</v>
      </c>
      <c r="FF18" s="18">
        <f>FE18*VLOOKUP('Données projet'!$B$16,Paramètres!$A$1:$I$89,3,0)*VLOOKUP('Données projet'!$B$16,Paramètres!$A$1:$I$89,5,0)</f>
        <v>16.574382480445024</v>
      </c>
      <c r="FG18" s="14">
        <f t="shared" si="47"/>
        <v>5.5086719879046111</v>
      </c>
      <c r="FH18" s="22">
        <f t="shared" si="22"/>
        <v>38.461319865708951</v>
      </c>
      <c r="FI18" s="62">
        <f t="shared" si="23"/>
        <v>242.95806979859</v>
      </c>
      <c r="FJ18" s="62">
        <f ca="1">AVERAGE(OFFSET($FI$3,0,0,'Données projet'!$E$16+1,1))-AVERAGE(OFFSET($H$3,0,0,'Données projet'!$E$16+1,1))</f>
        <v>280.9225643428145</v>
      </c>
      <c r="FK18" s="62">
        <f t="shared" si="48"/>
        <v>236.89414218053955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264.86</v>
      </c>
      <c r="FX18" s="13">
        <f>VLOOKUP(A18,'Données projet'!$A$243:$I$263,9,0)</f>
        <v>17.657333333333334</v>
      </c>
      <c r="FY18" s="13">
        <f t="array" ref="FY18">INDEX(FX:FX,MIN(IF(ISNUMBER(FX18:FX214),ROW(FX18:FX214),"")))</f>
        <v>17.657333333333334</v>
      </c>
      <c r="FZ18" s="13">
        <f>IF('Données projet'!$A$244&gt;35,FZ17+FY18-GH17,IF(A18&lt;'Données projet'!$A$244,$FW$205^A18,IF(A18='Données projet'!$A$244,'Données projet'!$B$244,FZ17+FY18-GH17)))</f>
        <v>264.86</v>
      </c>
      <c r="GA18" s="18">
        <f>FZ18*VLOOKUP('Données projet'!$B$17,Paramètres!$A$1:$I$89,3,0)*VLOOKUP('Données projet'!$B$17,Paramètres!$A$1:$I$89,5,0)</f>
        <v>117.06812000000001</v>
      </c>
      <c r="GB18" s="14">
        <f t="shared" si="49"/>
        <v>30.990205118491268</v>
      </c>
      <c r="GC18" s="22">
        <f t="shared" si="25"/>
        <v>257.86824958137225</v>
      </c>
      <c r="GD18" s="62">
        <f t="shared" si="26"/>
        <v>462.36499951425333</v>
      </c>
      <c r="GE18" s="62">
        <f ca="1">AVERAGE(OFFSET($GD$3,0,0,'Données projet'!$E$17+1,1))-AVERAGE(OFFSET($H$3,0,0,'Données projet'!$E$17+1,1))</f>
        <v>325.67421864225201</v>
      </c>
      <c r="GF18" s="62">
        <f t="shared" si="50"/>
        <v>542.01920418736745</v>
      </c>
      <c r="GG18" s="16">
        <f>IF(ISNA(VLOOKUP(A18,'Données projet'!$A$243:$I$263,3,0)),0,VLOOKUP(A18,'Données projet'!$A$243:$I$263,3,0))</f>
        <v>1</v>
      </c>
      <c r="GH18" s="16">
        <f>IF(ISNA(VLOOKUP(A18,'Données projet'!$A$243:$I$263,4,0)),0,VLOOKUP(A18,'Données projet'!$A$243:$I$263,4,0))</f>
        <v>86.35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0.44000000000000006</v>
      </c>
      <c r="GK18" s="17">
        <f>IF(ISNA(VLOOKUP(A18,'Données projet'!$A$243:$I$263,7,0)),0%,VLOOKUP(A18,'Données projet'!$A$243:$I$263,7,0))</f>
        <v>0.2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22.189743701959316</v>
      </c>
      <c r="GN18" s="23">
        <f>EXP(-LN(2)/2)*GN17+(1-EXP(-LN(2)/2))/(LN(2)/2)*GH18*GK18*VLOOKUP('Données projet'!$B$17,Paramètres!$A$1:$I$89,3,0)*0.475*44/12</f>
        <v>8.642714086000673</v>
      </c>
      <c r="GO18" s="23">
        <f t="shared" si="27"/>
        <v>30.832457787959989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1.2476666666666667</v>
      </c>
      <c r="GU18" s="13">
        <f>IF('Données projet'!$A$270&gt;35,GU17+GT18-HC17,IF(A18&lt;'Données projet'!$A$270,$GR$205^A18,IF(A18='Données projet'!$A$270,'Données projet'!$B$270,GU17+GT18-HC17)))</f>
        <v>6.1180062111769749</v>
      </c>
      <c r="GV18" s="18">
        <f>GU18*VLOOKUP('Données projet'!$B$18,Paramètres!$A$1:$I$89,3,0)*VLOOKUP('Données projet'!$B$18,Paramètres!$A$1:$I$89,5,0)</f>
        <v>6.2036582981334529</v>
      </c>
      <c r="GW18" s="14">
        <f t="shared" si="51"/>
        <v>2.3117226145113534</v>
      </c>
      <c r="GX18" s="22">
        <f t="shared" si="28"/>
        <v>14.830955089523037</v>
      </c>
      <c r="GY18" s="62">
        <f t="shared" si="29"/>
        <v>219.32770502240407</v>
      </c>
      <c r="GZ18" s="62">
        <f ca="1">AVERAGE(OFFSET($GY$3,0,0,'Données projet'!$E$18+1,1))-AVERAGE(OFFSET($H$3,0,0,'Données projet'!$E$18+1,1))</f>
        <v>220.89224520315713</v>
      </c>
      <c r="HA18" s="62">
        <f t="shared" si="52"/>
        <v>141.82763623159096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1.2492000000000001</v>
      </c>
      <c r="N19" s="14">
        <f>IF('Données projet'!$A$36&gt;35,N18+M19-V18,IF(A19&lt;'Données projet'!$A$36,$K$205^A19,IF(A19='Données projet'!$A$36,'Données projet'!$B$36,N18+M19-V18)))</f>
        <v>9.0474474628855273</v>
      </c>
      <c r="O19" s="14">
        <f>N19*VLOOKUP('Données projet'!$B$9,Paramètres!$A$1:$I$89,3,0)*VLOOKUP('Données projet'!$B$9,Paramètres!$A$1:$I$89,5,0)</f>
        <v>8.7506911861028822</v>
      </c>
      <c r="P19" s="14">
        <f t="shared" si="33"/>
        <v>3.1328578679974104</v>
      </c>
      <c r="Q19" s="22">
        <f t="shared" si="2"/>
        <v>20.697181269224675</v>
      </c>
      <c r="R19" s="62">
        <f t="shared" si="0"/>
        <v>227.63922719133873</v>
      </c>
      <c r="S19" s="62">
        <f ca="1">AVERAGE(OFFSET($R$3,0,0,'Données projet'!$E$9+1,1))-AVERAGE(OFFSET($H$3,0,0,'Données projet'!$E$9+1,1))</f>
        <v>84.959354125980269</v>
      </c>
      <c r="T19" s="62">
        <f t="shared" si="34"/>
        <v>89.658970210276806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3.1414999999999997</v>
      </c>
      <c r="AI19" s="14">
        <f>IF('Données projet'!$A$62&gt;35,AI18+AH19-AQ18,IF(A19&lt;'Données projet'!$A$62,$AF$205^A19,IF(A19='Données projet'!$A$62,'Données projet'!$B$62,AI18+AH19-AQ18)))</f>
        <v>27.449450049599776</v>
      </c>
      <c r="AJ19" s="14">
        <f>AI19*VLOOKUP('Données projet'!$B$10,Paramètres!$A$1:$I$89,3,0)*VLOOKUP('Données projet'!$B$10,Paramètres!$A$1:$I$89,5,0)</f>
        <v>26.120896667199144</v>
      </c>
      <c r="AK19" s="14">
        <f t="shared" si="35"/>
        <v>8.2338458741261498</v>
      </c>
      <c r="AL19" s="22">
        <f t="shared" si="4"/>
        <v>59.83450992614155</v>
      </c>
      <c r="AM19" s="62">
        <f t="shared" si="5"/>
        <v>266.77655584825561</v>
      </c>
      <c r="AN19" s="62">
        <f ca="1">AVERAGE(OFFSET($AM$3,0,0,'Données projet'!$E$10+1,1))-AVERAGE(OFFSET($H$3,0,0,'Données projet'!$E$10+1,1))</f>
        <v>592.76231355549089</v>
      </c>
      <c r="AO19" s="62">
        <f t="shared" si="36"/>
        <v>200.66895551079014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1.7753333333333332</v>
      </c>
      <c r="BD19" s="13">
        <f>IF('Données projet'!$A$88&gt;35,BD18+BC19-BL18,IF(A19&lt;'Données projet'!$A$88,$BA$205^A19,IF(A19='Données projet'!$A$88,'Données projet'!$B$88,BD18+BC19-BL18)))</f>
        <v>8.3319621128742849</v>
      </c>
      <c r="BE19" s="14">
        <f>BD19*VLOOKUP('Données projet'!$B$11,Paramètres!$A$1:$I$89,3,0)*VLOOKUP('Données projet'!$B$11,Paramètres!$A$1:$I$89,5,0)</f>
        <v>7.5387593197286531</v>
      </c>
      <c r="BF19" s="14">
        <f t="shared" si="37"/>
        <v>2.7462131183987122</v>
      </c>
      <c r="BG19" s="22">
        <f t="shared" si="7"/>
        <v>17.912993663071827</v>
      </c>
      <c r="BH19" s="62">
        <f t="shared" si="8"/>
        <v>224.85503958518589</v>
      </c>
      <c r="BI19" s="62">
        <f ca="1">AVERAGE(OFFSET($BH$3,0,0,'Données projet'!$E$11+1,1))-AVERAGE(OFFSET($H$3,0,0,'Données projet'!$E$11+1,1))</f>
        <v>316.71836722354374</v>
      </c>
      <c r="BJ19" s="62">
        <f t="shared" si="38"/>
        <v>164.34067012996618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6.9720000000000004</v>
      </c>
      <c r="BY19" s="13">
        <f>IF('Données projet'!$A$114&gt;35,BY18+BX19-CG18,IF(A19&lt;'Données projet'!$A$114,$BV$205^A19,IF(A19='Données projet'!$A$114,'Données projet'!$B$114,BY18+BX19-CG18)))</f>
        <v>32.102000000000004</v>
      </c>
      <c r="BZ19" s="14">
        <f>BY19*VLOOKUP('Données projet'!$B$12,Paramètres!$A$1:$I$89,3,0)*VLOOKUP('Données projet'!$B$12,Paramètres!$A$1:$I$89,5,0)</f>
        <v>36.557757600000002</v>
      </c>
      <c r="CA19" s="14">
        <f t="shared" si="39"/>
        <v>11.081557244753707</v>
      </c>
      <c r="CB19" s="22">
        <f t="shared" si="10"/>
        <v>82.971806687946042</v>
      </c>
      <c r="CC19" s="62">
        <f t="shared" si="11"/>
        <v>289.91385261006008</v>
      </c>
      <c r="CD19" s="62">
        <f ca="1">AVERAGE(OFFSET($CC$3,0,0,'Données projet'!$E$12+1,1))-AVERAGE(OFFSET($H$3,0,0,'Données projet'!$E$12+1,1))</f>
        <v>454.9779384236806</v>
      </c>
      <c r="CE19" s="62">
        <f t="shared" si="40"/>
        <v>379.32753348721906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3.817884799493573</v>
      </c>
      <c r="CN19" s="24">
        <f t="shared" si="12"/>
        <v>3.817884799493573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4.2880000000000003</v>
      </c>
      <c r="CT19" s="13">
        <f>IF('Données projet'!$A$140&gt;35,CT18+CS19-DB18,IF(A19&lt;'Données projet'!$A$140,$CQ$205^A19,IF(A19='Données projet'!$A$140,'Données projet'!$B$140,CT18+CS19-DB18)))</f>
        <v>35.206902525623818</v>
      </c>
      <c r="CU19" s="18">
        <f>CT19*VLOOKUP('Données projet'!$B$13,Paramètres!$A$1:$I$89,3,0)*VLOOKUP('Données projet'!$B$13,Paramètres!$A$1:$I$89,5,0)</f>
        <v>27.461383969986578</v>
      </c>
      <c r="CV19" s="14">
        <f t="shared" si="41"/>
        <v>8.6061160026974814</v>
      </c>
      <c r="CW19" s="22">
        <f t="shared" si="13"/>
        <v>62.817562452424738</v>
      </c>
      <c r="CX19" s="62">
        <f t="shared" si="14"/>
        <v>269.7596083745388</v>
      </c>
      <c r="CY19" s="62">
        <f ca="1">AVERAGE(OFFSET($CX$3,0,0,'Données projet'!$E$13+1,1))-AVERAGE(OFFSET($H$3,0,0,'Données projet'!$E$13+1,1))</f>
        <v>252.10592533338991</v>
      </c>
      <c r="CZ19" s="62">
        <f t="shared" si="42"/>
        <v>272.71831345325313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4.4390000000000001</v>
      </c>
      <c r="DO19" s="13">
        <f>IF('Données projet'!$A$166&gt;35,DO18+DN19-DW18,IF(A19&lt;'Données projet'!$A$166,$DL$205^A19,IF(A19='Données projet'!$A$166,'Données projet'!$B$166,DO18+DN19-DW18)))</f>
        <v>36.195294330959527</v>
      </c>
      <c r="DP19" s="18">
        <f>DO19*VLOOKUP('Données projet'!$B$14,Paramètres!$A$1:$I$89,3,0)*VLOOKUP('Données projet'!$B$14,Paramètres!$A$1:$I$89,5,0)</f>
        <v>21.644786009913798</v>
      </c>
      <c r="DQ19" s="14">
        <f t="shared" si="43"/>
        <v>6.9738120353847703</v>
      </c>
      <c r="DR19" s="22">
        <f t="shared" si="16"/>
        <v>49.844058262228344</v>
      </c>
      <c r="DS19" s="62">
        <f t="shared" si="17"/>
        <v>256.78610418434243</v>
      </c>
      <c r="DT19" s="62">
        <f ca="1">AVERAGE(OFFSET($DS$3,0,0,'Données projet'!$E$14+1,1))-AVERAGE(OFFSET($H$3,0,0,'Données projet'!$E$14+1,1))</f>
        <v>423.0896575168394</v>
      </c>
      <c r="DU19" s="62">
        <f t="shared" si="44"/>
        <v>305.98537395014284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13.830000000000002</v>
      </c>
      <c r="EJ19" s="13">
        <f>IF('Données projet'!$A$192&gt;35,EJ18+EI19-ER18,IF(A19&lt;'Données projet'!$A$192,$EG$205^A19,IF(A19='Données projet'!$A$192,'Données projet'!$B$192,EJ18+EI19-ER18)))</f>
        <v>54.330000000000005</v>
      </c>
      <c r="EK19" s="18">
        <f>EJ19*VLOOKUP('Données projet'!$B$15,Paramètres!$A$1:$I$89,3,0)*VLOOKUP('Données projet'!$B$15,Paramètres!$A$1:$I$89,5,0)</f>
        <v>32.489340000000006</v>
      </c>
      <c r="EL19" s="14">
        <f t="shared" si="45"/>
        <v>9.9844998411935464</v>
      </c>
      <c r="EM19" s="22">
        <f t="shared" si="19"/>
        <v>73.975271056745441</v>
      </c>
      <c r="EN19" s="62">
        <f t="shared" si="20"/>
        <v>280.9173169788595</v>
      </c>
      <c r="EO19" s="62">
        <f ca="1">AVERAGE(OFFSET($EN$3,0,0,'Données projet'!$E$15+1,1))-AVERAGE(OFFSET($H$3,0,0,'Données projet'!$E$15+1,1))</f>
        <v>281.21543175875604</v>
      </c>
      <c r="EP19" s="62">
        <f t="shared" si="46"/>
        <v>366.68536296857428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3.6406863986817366</v>
      </c>
      <c r="EY19" s="24">
        <f t="shared" si="21"/>
        <v>3.6406863986817366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4.5884999999999998</v>
      </c>
      <c r="FE19" s="13">
        <f>IF('Données projet'!$A$218&gt;35,FE18+FD19-FM18,IF(A19&lt;'Données projet'!$A$218,$FB$205^A19,IF(A19='Données projet'!$A$218,'Données projet'!$B$218,FE18+FD19-FM18)))</f>
        <v>37.16726339093794</v>
      </c>
      <c r="FF19" s="18">
        <f>FE19*VLOOKUP('Données projet'!$B$16,Paramètres!$A$1:$I$89,3,0)*VLOOKUP('Données projet'!$B$16,Paramètres!$A$1:$I$89,5,0)</f>
        <v>20.776500235534311</v>
      </c>
      <c r="FG19" s="14">
        <f t="shared" si="47"/>
        <v>6.7260335850801374</v>
      </c>
      <c r="FH19" s="22">
        <f t="shared" si="22"/>
        <v>47.900246404236832</v>
      </c>
      <c r="FI19" s="62">
        <f t="shared" si="23"/>
        <v>254.8422923263509</v>
      </c>
      <c r="FJ19" s="62">
        <f ca="1">AVERAGE(OFFSET($FI$3,0,0,'Données projet'!$E$16+1,1))-AVERAGE(OFFSET($H$3,0,0,'Données projet'!$E$16+1,1))</f>
        <v>280.9225643428145</v>
      </c>
      <c r="FK19" s="62">
        <f t="shared" si="48"/>
        <v>236.89414218053955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34.944000000000003</v>
      </c>
      <c r="FZ19" s="13">
        <f>IF('Données projet'!$A$244&gt;35,FZ18+FY19-GH18,IF(A19&lt;'Données projet'!$A$244,$FW$205^A19,IF(A19='Données projet'!$A$244,'Données projet'!$B$244,FZ18+FY19-GH18)))</f>
        <v>213.45400000000004</v>
      </c>
      <c r="GA19" s="18">
        <f>FZ19*VLOOKUP('Données projet'!$B$17,Paramètres!$A$1:$I$89,3,0)*VLOOKUP('Données projet'!$B$17,Paramètres!$A$1:$I$89,5,0)</f>
        <v>94.346668000000022</v>
      </c>
      <c r="GB19" s="14">
        <f t="shared" si="49"/>
        <v>25.61064165122934</v>
      </c>
      <c r="GC19" s="22">
        <f t="shared" si="25"/>
        <v>208.92564764255781</v>
      </c>
      <c r="GD19" s="62">
        <f t="shared" si="26"/>
        <v>415.86769356467187</v>
      </c>
      <c r="GE19" s="62">
        <f ca="1">AVERAGE(OFFSET($GD$3,0,0,'Données projet'!$E$17+1,1))-AVERAGE(OFFSET($H$3,0,0,'Données projet'!$E$17+1,1))</f>
        <v>325.67421864225201</v>
      </c>
      <c r="GF19" s="62">
        <f t="shared" si="50"/>
        <v>542.01920418736745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21.582963993521332</v>
      </c>
      <c r="GN19" s="23">
        <f>EXP(-LN(2)/2)*GN18+(1-EXP(-LN(2)/2))/(LN(2)/2)*GH19*GK19*VLOOKUP('Données projet'!$B$17,Paramètres!$A$1:$I$89,3,0)*0.475*44/12</f>
        <v>6.1113217380675708</v>
      </c>
      <c r="GO19" s="23">
        <f t="shared" si="27"/>
        <v>27.694285731588902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1.2476666666666667</v>
      </c>
      <c r="GU19" s="13">
        <f>IF('Données projet'!$A$270&gt;35,GU18+GT19-HC18,IF(A19&lt;'Données projet'!$A$270,$GR$205^A19,IF(A19='Données projet'!$A$270,'Données projet'!$B$270,GU18+GT19-HC18)))</f>
        <v>6.9032018832628461</v>
      </c>
      <c r="GV19" s="18">
        <f>GU19*VLOOKUP('Données projet'!$B$18,Paramètres!$A$1:$I$89,3,0)*VLOOKUP('Données projet'!$B$18,Paramètres!$A$1:$I$89,5,0)</f>
        <v>6.9998467096285255</v>
      </c>
      <c r="GW19" s="14">
        <f t="shared" si="51"/>
        <v>2.5720078484530742</v>
      </c>
      <c r="GX19" s="22">
        <f t="shared" si="28"/>
        <v>16.670980021992118</v>
      </c>
      <c r="GY19" s="62">
        <f t="shared" si="29"/>
        <v>223.61302594410617</v>
      </c>
      <c r="GZ19" s="62">
        <f ca="1">AVERAGE(OFFSET($GY$3,0,0,'Données projet'!$E$18+1,1))-AVERAGE(OFFSET($H$3,0,0,'Données projet'!$E$18+1,1))</f>
        <v>220.89224520315713</v>
      </c>
      <c r="HA19" s="62">
        <f t="shared" si="52"/>
        <v>141.82763623159096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1.2492000000000001</v>
      </c>
      <c r="N20" s="14">
        <f>IF('Données projet'!$A$36&gt;35,N19+M20-V19,IF(A20&lt;'Données projet'!$A$36,$K$205^A20,IF(A20='Données projet'!$A$36,'Données projet'!$B$36,N19+M20-V19)))</f>
        <v>10.382667574464369</v>
      </c>
      <c r="O20" s="14">
        <f>N20*VLOOKUP('Données projet'!$B$9,Paramètres!$A$1:$I$89,3,0)*VLOOKUP('Données projet'!$B$9,Paramètres!$A$1:$I$89,5,0)</f>
        <v>10.042116078021937</v>
      </c>
      <c r="P20" s="14">
        <f t="shared" si="33"/>
        <v>3.5380571551889184</v>
      </c>
      <c r="Q20" s="22">
        <f t="shared" si="2"/>
        <v>23.65213504784224</v>
      </c>
      <c r="R20" s="62">
        <f t="shared" si="0"/>
        <v>233.01825936371498</v>
      </c>
      <c r="S20" s="62">
        <f ca="1">AVERAGE(OFFSET($R$3,0,0,'Données projet'!$E$9+1,1))-AVERAGE(OFFSET($H$3,0,0,'Données projet'!$E$9+1,1))</f>
        <v>84.959354125980269</v>
      </c>
      <c r="T20" s="62">
        <f t="shared" si="34"/>
        <v>89.658970210276806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3.1414999999999997</v>
      </c>
      <c r="AI20" s="14">
        <f>IF('Données projet'!$A$62&gt;35,AI19+AH20-AQ19,IF(A20&lt;'Données projet'!$A$62,$AF$205^A20,IF(A20='Données projet'!$A$62,'Données projet'!$B$62,AI19+AH20-AQ19)))</f>
        <v>33.763075565516502</v>
      </c>
      <c r="AJ20" s="14">
        <f>AI20*VLOOKUP('Données projet'!$B$10,Paramètres!$A$1:$I$89,3,0)*VLOOKUP('Données projet'!$B$10,Paramètres!$A$1:$I$89,5,0)</f>
        <v>32.128942708145502</v>
      </c>
      <c r="AK20" s="14">
        <f t="shared" si="35"/>
        <v>9.8865724680126963</v>
      </c>
      <c r="AL20" s="22">
        <f t="shared" si="4"/>
        <v>73.177022265142185</v>
      </c>
      <c r="AM20" s="62">
        <f t="shared" si="5"/>
        <v>282.54314658101492</v>
      </c>
      <c r="AN20" s="62">
        <f ca="1">AVERAGE(OFFSET($AM$3,0,0,'Données projet'!$E$10+1,1))-AVERAGE(OFFSET($H$3,0,0,'Données projet'!$E$10+1,1))</f>
        <v>592.76231355549089</v>
      </c>
      <c r="AO20" s="62">
        <f t="shared" si="36"/>
        <v>200.66895551079014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1.7753333333333332</v>
      </c>
      <c r="BD20" s="13">
        <f>IF('Données projet'!$A$88&gt;35,BD19+BC20-BL19,IF(A20&lt;'Données projet'!$A$88,$BA$205^A20,IF(A20='Données projet'!$A$88,'Données projet'!$B$88,BD19+BC20-BL19)))</f>
        <v>9.5124851512921449</v>
      </c>
      <c r="BE20" s="14">
        <f>BD20*VLOOKUP('Données projet'!$B$11,Paramètres!$A$1:$I$89,3,0)*VLOOKUP('Données projet'!$B$11,Paramètres!$A$1:$I$89,5,0)</f>
        <v>8.6068965648891318</v>
      </c>
      <c r="BF20" s="14">
        <f t="shared" si="37"/>
        <v>3.0873261132801675</v>
      </c>
      <c r="BG20" s="22">
        <f t="shared" si="7"/>
        <v>20.367437831144866</v>
      </c>
      <c r="BH20" s="62">
        <f t="shared" si="8"/>
        <v>229.73356214701758</v>
      </c>
      <c r="BI20" s="62">
        <f ca="1">AVERAGE(OFFSET($BH$3,0,0,'Données projet'!$E$11+1,1))-AVERAGE(OFFSET($H$3,0,0,'Données projet'!$E$11+1,1))</f>
        <v>316.71836722354374</v>
      </c>
      <c r="BJ20" s="62">
        <f t="shared" si="38"/>
        <v>164.34067012996618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6.9720000000000004</v>
      </c>
      <c r="BY20" s="13">
        <f>IF('Données projet'!$A$114&gt;35,BY19+BX20-CG19,IF(A20&lt;'Données projet'!$A$114,$BV$205^A20,IF(A20='Données projet'!$A$114,'Données projet'!$B$114,BY19+BX20-CG19)))</f>
        <v>39.074000000000005</v>
      </c>
      <c r="BZ20" s="14">
        <f>BY20*VLOOKUP('Données projet'!$B$12,Paramètres!$A$1:$I$89,3,0)*VLOOKUP('Données projet'!$B$12,Paramètres!$A$1:$I$89,5,0)</f>
        <v>44.497471200000007</v>
      </c>
      <c r="CA20" s="14">
        <f t="shared" si="39"/>
        <v>13.183209783308969</v>
      </c>
      <c r="CB20" s="22">
        <f t="shared" si="10"/>
        <v>100.46051937926313</v>
      </c>
      <c r="CC20" s="62">
        <f t="shared" si="11"/>
        <v>309.82664369513589</v>
      </c>
      <c r="CD20" s="62">
        <f ca="1">AVERAGE(OFFSET($CC$3,0,0,'Données projet'!$E$12+1,1))-AVERAGE(OFFSET($H$3,0,0,'Données projet'!$E$12+1,1))</f>
        <v>454.9779384236806</v>
      </c>
      <c r="CE20" s="62">
        <f t="shared" si="40"/>
        <v>379.32753348721906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2.6996522315109481</v>
      </c>
      <c r="CN20" s="24">
        <f t="shared" si="12"/>
        <v>2.6996522315109481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4.2880000000000003</v>
      </c>
      <c r="CT20" s="13">
        <f>IF('Données projet'!$A$140&gt;35,CT19+CS20-DB19,IF(A20&lt;'Données projet'!$A$140,$CQ$205^A20,IF(A20='Données projet'!$A$140,'Données projet'!$B$140,CT19+CS20-DB19)))</f>
        <v>43.983729996301875</v>
      </c>
      <c r="CU20" s="18">
        <f>CT20*VLOOKUP('Données projet'!$B$13,Paramètres!$A$1:$I$89,3,0)*VLOOKUP('Données projet'!$B$13,Paramètres!$A$1:$I$89,5,0)</f>
        <v>34.307309397115461</v>
      </c>
      <c r="CV20" s="14">
        <f t="shared" si="41"/>
        <v>10.476584421316554</v>
      </c>
      <c r="CW20" s="22">
        <f t="shared" si="13"/>
        <v>77.998615067102421</v>
      </c>
      <c r="CX20" s="62">
        <f t="shared" si="14"/>
        <v>287.36473938297513</v>
      </c>
      <c r="CY20" s="62">
        <f ca="1">AVERAGE(OFFSET($CX$3,0,0,'Données projet'!$E$13+1,1))-AVERAGE(OFFSET($H$3,0,0,'Données projet'!$E$13+1,1))</f>
        <v>252.10592533338991</v>
      </c>
      <c r="CZ20" s="62">
        <f t="shared" si="42"/>
        <v>272.71831345325313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4.4390000000000001</v>
      </c>
      <c r="DO20" s="13">
        <f>IF('Données projet'!$A$166&gt;35,DO19+DN20-DW19,IF(A20&lt;'Données projet'!$A$166,$DL$205^A20,IF(A20='Données projet'!$A$166,'Données projet'!$B$166,DO19+DN20-DW19)))</f>
        <v>45.29683622285765</v>
      </c>
      <c r="DP20" s="18">
        <f>DO20*VLOOKUP('Données projet'!$B$14,Paramètres!$A$1:$I$89,3,0)*VLOOKUP('Données projet'!$B$14,Paramètres!$A$1:$I$89,5,0)</f>
        <v>27.087508061268878</v>
      </c>
      <c r="DQ20" s="14">
        <f t="shared" si="43"/>
        <v>8.5025031324978713</v>
      </c>
      <c r="DR20" s="22">
        <f t="shared" si="16"/>
        <v>61.985936162477088</v>
      </c>
      <c r="DS20" s="62">
        <f t="shared" si="17"/>
        <v>271.35206047834981</v>
      </c>
      <c r="DT20" s="62">
        <f ca="1">AVERAGE(OFFSET($DS$3,0,0,'Données projet'!$E$14+1,1))-AVERAGE(OFFSET($H$3,0,0,'Données projet'!$E$14+1,1))</f>
        <v>423.0896575168394</v>
      </c>
      <c r="DU20" s="62">
        <f t="shared" si="44"/>
        <v>305.98537395014284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13.830000000000002</v>
      </c>
      <c r="EJ20" s="13">
        <f>IF('Données projet'!$A$192&gt;35,EJ19+EI20-ER19,IF(A20&lt;'Données projet'!$A$192,$EG$205^A20,IF(A20='Données projet'!$A$192,'Données projet'!$B$192,EJ19+EI20-ER19)))</f>
        <v>68.160000000000011</v>
      </c>
      <c r="EK20" s="18">
        <f>EJ20*VLOOKUP('Données projet'!$B$15,Paramètres!$A$1:$I$89,3,0)*VLOOKUP('Données projet'!$B$15,Paramètres!$A$1:$I$89,5,0)</f>
        <v>40.75968000000001</v>
      </c>
      <c r="EL20" s="14">
        <f t="shared" si="45"/>
        <v>12.199779169049076</v>
      </c>
      <c r="EM20" s="22">
        <f t="shared" si="19"/>
        <v>92.237724719427149</v>
      </c>
      <c r="EN20" s="62">
        <f t="shared" si="20"/>
        <v>301.60384903529985</v>
      </c>
      <c r="EO20" s="62">
        <f ca="1">AVERAGE(OFFSET($EN$3,0,0,'Données projet'!$E$15+1,1))-AVERAGE(OFFSET($H$3,0,0,'Données projet'!$E$15+1,1))</f>
        <v>281.21543175875604</v>
      </c>
      <c r="EP20" s="62">
        <f t="shared" si="46"/>
        <v>366.68536296857428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2.5743540406814867</v>
      </c>
      <c r="EY20" s="24">
        <f t="shared" si="21"/>
        <v>2.5743540406814867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4.5884999999999998</v>
      </c>
      <c r="FE20" s="13">
        <f>IF('Données projet'!$A$218&gt;35,FE19+FD20-FM19,IF(A20&lt;'Données projet'!$A$218,$FB$205^A20,IF(A20='Données projet'!$A$218,'Données projet'!$B$218,FE19+FD20-FM19)))</f>
        <v>46.590312339362285</v>
      </c>
      <c r="FF20" s="18">
        <f>FE20*VLOOKUP('Données projet'!$B$16,Paramètres!$A$1:$I$89,3,0)*VLOOKUP('Données projet'!$B$16,Paramètres!$A$1:$I$89,5,0)</f>
        <v>26.04398459770352</v>
      </c>
      <c r="FG20" s="14">
        <f t="shared" si="47"/>
        <v>8.2124199601933796</v>
      </c>
      <c r="FH20" s="22">
        <f t="shared" si="22"/>
        <v>59.663237938337097</v>
      </c>
      <c r="FI20" s="62">
        <f t="shared" si="23"/>
        <v>269.02936225420984</v>
      </c>
      <c r="FJ20" s="62">
        <f ca="1">AVERAGE(OFFSET($FI$3,0,0,'Données projet'!$E$16+1,1))-AVERAGE(OFFSET($H$3,0,0,'Données projet'!$E$16+1,1))</f>
        <v>280.9225643428145</v>
      </c>
      <c r="FK20" s="62">
        <f t="shared" si="48"/>
        <v>236.89414218053955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34.944000000000003</v>
      </c>
      <c r="FZ20" s="13">
        <f>IF('Données projet'!$A$244&gt;35,FZ19+FY20-GH19,IF(A20&lt;'Données projet'!$A$244,$FW$205^A20,IF(A20='Données projet'!$A$244,'Données projet'!$B$244,FZ19+FY20-GH19)))</f>
        <v>248.39800000000002</v>
      </c>
      <c r="GA20" s="18">
        <f>FZ20*VLOOKUP('Données projet'!$B$17,Paramètres!$A$1:$I$89,3,0)*VLOOKUP('Données projet'!$B$17,Paramètres!$A$1:$I$89,5,0)</f>
        <v>109.79191600000003</v>
      </c>
      <c r="GB20" s="14">
        <f t="shared" si="49"/>
        <v>29.281952957802069</v>
      </c>
      <c r="GC20" s="22">
        <f t="shared" si="25"/>
        <v>242.22032176817197</v>
      </c>
      <c r="GD20" s="62">
        <f t="shared" si="26"/>
        <v>451.58644608404472</v>
      </c>
      <c r="GE20" s="62">
        <f ca="1">AVERAGE(OFFSET($GD$3,0,0,'Données projet'!$E$17+1,1))-AVERAGE(OFFSET($H$3,0,0,'Données projet'!$E$17+1,1))</f>
        <v>325.67421864225201</v>
      </c>
      <c r="GF20" s="62">
        <f t="shared" si="50"/>
        <v>542.01920418736745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20.992776708119745</v>
      </c>
      <c r="GN20" s="23">
        <f>EXP(-LN(2)/2)*GN19+(1-EXP(-LN(2)/2))/(LN(2)/2)*GH20*GK20*VLOOKUP('Données projet'!$B$17,Paramètres!$A$1:$I$89,3,0)*0.475*44/12</f>
        <v>4.3213570430003374</v>
      </c>
      <c r="GO20" s="23">
        <f t="shared" si="27"/>
        <v>25.314133751120082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1.2476666666666667</v>
      </c>
      <c r="GU20" s="13">
        <f>IF('Données projet'!$A$270&gt;35,GU19+GT20-HC19,IF(A20&lt;'Données projet'!$A$270,$GR$205^A20,IF(A20='Données projet'!$A$270,'Données projet'!$B$270,GU19+GT20-HC19)))</f>
        <v>7.7891709482125639</v>
      </c>
      <c r="GV20" s="18">
        <f>GU20*VLOOKUP('Données projet'!$B$18,Paramètres!$A$1:$I$89,3,0)*VLOOKUP('Données projet'!$B$18,Paramètres!$A$1:$I$89,5,0)</f>
        <v>7.8982193414875415</v>
      </c>
      <c r="GW20" s="14">
        <f t="shared" si="51"/>
        <v>2.861599540956397</v>
      </c>
      <c r="GX20" s="22">
        <f t="shared" si="28"/>
        <v>18.740017886923187</v>
      </c>
      <c r="GY20" s="62">
        <f t="shared" si="29"/>
        <v>228.10614220279592</v>
      </c>
      <c r="GZ20" s="62">
        <f ca="1">AVERAGE(OFFSET($GY$3,0,0,'Données projet'!$E$18+1,1))-AVERAGE(OFFSET($H$3,0,0,'Données projet'!$E$18+1,1))</f>
        <v>220.89224520315713</v>
      </c>
      <c r="HA20" s="62">
        <f t="shared" si="52"/>
        <v>141.82763623159096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1.2492000000000001</v>
      </c>
      <c r="N21" s="14">
        <f>IF('Données projet'!$A$36&gt;35,N20+M21-V20,IF(A21&lt;'Données projet'!$A$36,$K$205^A21,IF(A21='Données projet'!$A$36,'Données projet'!$B$36,N20+M21-V20)))</f>
        <v>11.914939147649157</v>
      </c>
      <c r="O21" s="14">
        <f>N21*VLOOKUP('Données projet'!$B$9,Paramètres!$A$1:$I$89,3,0)*VLOOKUP('Données projet'!$B$9,Paramètres!$A$1:$I$89,5,0)</f>
        <v>11.524129143606265</v>
      </c>
      <c r="P21" s="14">
        <f t="shared" si="33"/>
        <v>3.9956643297658396</v>
      </c>
      <c r="Q21" s="22">
        <f t="shared" si="2"/>
        <v>27.030306966123078</v>
      </c>
      <c r="R21" s="62">
        <f t="shared" si="0"/>
        <v>238.79966015812619</v>
      </c>
      <c r="S21" s="62">
        <f ca="1">AVERAGE(OFFSET($R$3,0,0,'Données projet'!$E$9+1,1))-AVERAGE(OFFSET($H$3,0,0,'Données projet'!$E$9+1,1))</f>
        <v>84.959354125980269</v>
      </c>
      <c r="T21" s="62">
        <f t="shared" si="34"/>
        <v>89.658970210276806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3.1414999999999997</v>
      </c>
      <c r="AI21" s="14">
        <f>IF('Données projet'!$A$62&gt;35,AI20+AH21-AQ20,IF(A21&lt;'Données projet'!$A$62,$AF$205^A21,IF(A21='Données projet'!$A$62,'Données projet'!$B$62,AI20+AH21-AQ20)))</f>
        <v>41.528892913444665</v>
      </c>
      <c r="AJ21" s="14">
        <f>AI21*VLOOKUP('Données projet'!$B$10,Paramètres!$A$1:$I$89,3,0)*VLOOKUP('Données projet'!$B$10,Paramètres!$A$1:$I$89,5,0)</f>
        <v>39.518894496433944</v>
      </c>
      <c r="AK21" s="14">
        <f t="shared" si="35"/>
        <v>11.871040174849057</v>
      </c>
      <c r="AL21" s="22">
        <f t="shared" si="4"/>
        <v>89.504136219151221</v>
      </c>
      <c r="AM21" s="62">
        <f t="shared" si="5"/>
        <v>301.27348941115434</v>
      </c>
      <c r="AN21" s="62">
        <f ca="1">AVERAGE(OFFSET($AM$3,0,0,'Données projet'!$E$10+1,1))-AVERAGE(OFFSET($H$3,0,0,'Données projet'!$E$10+1,1))</f>
        <v>592.76231355549089</v>
      </c>
      <c r="AO21" s="62">
        <f t="shared" si="36"/>
        <v>200.66895551079014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1.7753333333333332</v>
      </c>
      <c r="BD21" s="13">
        <f>IF('Données projet'!$A$88&gt;35,BD20+BC21-BL20,IF(A21&lt;'Données projet'!$A$88,$BA$205^A21,IF(A21='Données projet'!$A$88,'Données projet'!$B$88,BD20+BC21-BL20)))</f>
        <v>10.860271869663844</v>
      </c>
      <c r="BE21" s="14">
        <f>BD21*VLOOKUP('Données projet'!$B$11,Paramètres!$A$1:$I$89,3,0)*VLOOKUP('Données projet'!$B$11,Paramètres!$A$1:$I$89,5,0)</f>
        <v>9.8263739876718468</v>
      </c>
      <c r="BF21" s="14">
        <f t="shared" si="37"/>
        <v>3.47080948156689</v>
      </c>
      <c r="BG21" s="22">
        <f t="shared" si="7"/>
        <v>23.159261208924132</v>
      </c>
      <c r="BH21" s="62">
        <f t="shared" si="8"/>
        <v>234.92861440092724</v>
      </c>
      <c r="BI21" s="62">
        <f ca="1">AVERAGE(OFFSET($BH$3,0,0,'Données projet'!$E$11+1,1))-AVERAGE(OFFSET($H$3,0,0,'Données projet'!$E$11+1,1))</f>
        <v>316.71836722354374</v>
      </c>
      <c r="BJ21" s="62">
        <f t="shared" si="38"/>
        <v>164.34067012996618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6.9720000000000004</v>
      </c>
      <c r="BY21" s="13">
        <f>IF('Données projet'!$A$114&gt;35,BY20+BX21-CG20,IF(A21&lt;'Données projet'!$A$114,$BV$205^A21,IF(A21='Données projet'!$A$114,'Données projet'!$B$114,BY20+BX21-CG20)))</f>
        <v>46.046000000000006</v>
      </c>
      <c r="BZ21" s="14">
        <f>BY21*VLOOKUP('Données projet'!$B$12,Paramètres!$A$1:$I$89,3,0)*VLOOKUP('Données projet'!$B$12,Paramètres!$A$1:$I$89,5,0)</f>
        <v>52.437184800000011</v>
      </c>
      <c r="CA21" s="14">
        <f t="shared" si="39"/>
        <v>15.241419271268294</v>
      </c>
      <c r="CB21" s="22">
        <f t="shared" si="10"/>
        <v>117.87356875745895</v>
      </c>
      <c r="CC21" s="62">
        <f t="shared" si="11"/>
        <v>329.64292194946205</v>
      </c>
      <c r="CD21" s="62">
        <f ca="1">AVERAGE(OFFSET($CC$3,0,0,'Données projet'!$E$12+1,1))-AVERAGE(OFFSET($H$3,0,0,'Données projet'!$E$12+1,1))</f>
        <v>454.9779384236806</v>
      </c>
      <c r="CE21" s="62">
        <f t="shared" si="40"/>
        <v>379.32753348721906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1.9089423997467869</v>
      </c>
      <c r="CN21" s="24">
        <f t="shared" si="12"/>
        <v>1.9089423997467869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4.2880000000000003</v>
      </c>
      <c r="CT21" s="13">
        <f>IF('Données projet'!$A$140&gt;35,CT20+CS21-DB20,IF(A21&lt;'Données projet'!$A$140,$CQ$205^A21,IF(A21='Données projet'!$A$140,'Données projet'!$B$140,CT20+CS21-DB20)))</f>
        <v>54.948557402333066</v>
      </c>
      <c r="CU21" s="18">
        <f>CT21*VLOOKUP('Données projet'!$B$13,Paramètres!$A$1:$I$89,3,0)*VLOOKUP('Données projet'!$B$13,Paramètres!$A$1:$I$89,5,0)</f>
        <v>42.85987477381979</v>
      </c>
      <c r="CV21" s="14">
        <f t="shared" si="41"/>
        <v>12.753583742372291</v>
      </c>
      <c r="CW21" s="22">
        <f t="shared" si="13"/>
        <v>96.860106915701223</v>
      </c>
      <c r="CX21" s="62">
        <f t="shared" si="14"/>
        <v>308.62946010770435</v>
      </c>
      <c r="CY21" s="62">
        <f ca="1">AVERAGE(OFFSET($CX$3,0,0,'Données projet'!$E$13+1,1))-AVERAGE(OFFSET($H$3,0,0,'Données projet'!$E$13+1,1))</f>
        <v>252.10592533338991</v>
      </c>
      <c r="CZ21" s="62">
        <f t="shared" si="42"/>
        <v>272.71831345325313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4.4390000000000001</v>
      </c>
      <c r="DO21" s="13">
        <f>IF('Données projet'!$A$166&gt;35,DO20+DN21-DW20,IF(A21&lt;'Données projet'!$A$166,$DL$205^A21,IF(A21='Données projet'!$A$166,'Données projet'!$B$166,DO20+DN21-DW20)))</f>
        <v>56.687019949037555</v>
      </c>
      <c r="DP21" s="18">
        <f>DO21*VLOOKUP('Données projet'!$B$14,Paramètres!$A$1:$I$89,3,0)*VLOOKUP('Données projet'!$B$14,Paramètres!$A$1:$I$89,5,0)</f>
        <v>33.898837929524461</v>
      </c>
      <c r="DQ21" s="14">
        <f t="shared" si="43"/>
        <v>10.366290222811759</v>
      </c>
      <c r="DR21" s="22">
        <f t="shared" si="16"/>
        <v>77.095098198652252</v>
      </c>
      <c r="DS21" s="62">
        <f t="shared" si="17"/>
        <v>288.86445139065535</v>
      </c>
      <c r="DT21" s="62">
        <f ca="1">AVERAGE(OFFSET($DS$3,0,0,'Données projet'!$E$14+1,1))-AVERAGE(OFFSET($H$3,0,0,'Données projet'!$E$14+1,1))</f>
        <v>423.0896575168394</v>
      </c>
      <c r="DU21" s="62">
        <f t="shared" si="44"/>
        <v>305.98537395014284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13.830000000000002</v>
      </c>
      <c r="EJ21" s="13">
        <f>IF('Données projet'!$A$192&gt;35,EJ20+EI21-ER20,IF(A21&lt;'Données projet'!$A$192,$EG$205^A21,IF(A21='Données projet'!$A$192,'Données projet'!$B$192,EJ20+EI21-ER20)))</f>
        <v>81.990000000000009</v>
      </c>
      <c r="EK21" s="18">
        <f>EJ21*VLOOKUP('Données projet'!$B$15,Paramètres!$A$1:$I$89,3,0)*VLOOKUP('Données projet'!$B$15,Paramètres!$A$1:$I$89,5,0)</f>
        <v>49.030020000000007</v>
      </c>
      <c r="EL21" s="14">
        <f t="shared" si="45"/>
        <v>14.362973205081239</v>
      </c>
      <c r="EM21" s="22">
        <f t="shared" si="19"/>
        <v>110.4094631655165</v>
      </c>
      <c r="EN21" s="62">
        <f t="shared" si="20"/>
        <v>322.17881635751962</v>
      </c>
      <c r="EO21" s="62">
        <f ca="1">AVERAGE(OFFSET($EN$3,0,0,'Données projet'!$E$15+1,1))-AVERAGE(OFFSET($H$3,0,0,'Données projet'!$E$15+1,1))</f>
        <v>281.21543175875604</v>
      </c>
      <c r="EP21" s="62">
        <f t="shared" si="46"/>
        <v>366.68536296857428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1.8203431993408685</v>
      </c>
      <c r="EY21" s="24">
        <f t="shared" si="21"/>
        <v>1.8203431993408685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4.5884999999999998</v>
      </c>
      <c r="FE21" s="13">
        <f>IF('Données projet'!$A$218&gt;35,FE20+FD21-FM20,IF(A21&lt;'Données projet'!$A$218,$FB$205^A21,IF(A21='Données projet'!$A$218,'Données projet'!$B$218,FE20+FD21-FM20)))</f>
        <v>58.402395168232374</v>
      </c>
      <c r="FF21" s="18">
        <f>FE21*VLOOKUP('Données projet'!$B$16,Paramètres!$A$1:$I$89,3,0)*VLOOKUP('Données projet'!$B$16,Paramètres!$A$1:$I$89,5,0)</f>
        <v>32.646938899041899</v>
      </c>
      <c r="FG21" s="14">
        <f t="shared" si="47"/>
        <v>10.027282907446125</v>
      </c>
      <c r="FH21" s="22">
        <f t="shared" si="22"/>
        <v>74.324269646299967</v>
      </c>
      <c r="FI21" s="62">
        <f t="shared" si="23"/>
        <v>286.09362283830308</v>
      </c>
      <c r="FJ21" s="62">
        <f ca="1">AVERAGE(OFFSET($FI$3,0,0,'Données projet'!$E$16+1,1))-AVERAGE(OFFSET($H$3,0,0,'Données projet'!$E$16+1,1))</f>
        <v>280.9225643428145</v>
      </c>
      <c r="FK21" s="62">
        <f t="shared" si="48"/>
        <v>236.89414218053955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34.944000000000003</v>
      </c>
      <c r="FZ21" s="13">
        <f>IF('Données projet'!$A$244&gt;35,FZ20+FY21-GH20,IF(A21&lt;'Données projet'!$A$244,$FW$205^A21,IF(A21='Données projet'!$A$244,'Données projet'!$B$244,FZ20+FY21-GH20)))</f>
        <v>283.34200000000004</v>
      </c>
      <c r="GA21" s="18">
        <f>FZ21*VLOOKUP('Données projet'!$B$17,Paramètres!$A$1:$I$89,3,0)*VLOOKUP('Données projet'!$B$17,Paramètres!$A$1:$I$89,5,0)</f>
        <v>125.23716400000002</v>
      </c>
      <c r="GB21" s="14">
        <f t="shared" si="49"/>
        <v>32.893428454108943</v>
      </c>
      <c r="GC21" s="22">
        <f t="shared" si="25"/>
        <v>275.41078185757311</v>
      </c>
      <c r="GD21" s="62">
        <f t="shared" si="26"/>
        <v>487.18013504957622</v>
      </c>
      <c r="GE21" s="62">
        <f ca="1">AVERAGE(OFFSET($GD$3,0,0,'Données projet'!$E$17+1,1))-AVERAGE(OFFSET($H$3,0,0,'Données projet'!$E$17+1,1))</f>
        <v>325.67421864225201</v>
      </c>
      <c r="GF21" s="62">
        <f t="shared" si="50"/>
        <v>542.01920418736745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20.418728125074065</v>
      </c>
      <c r="GN21" s="23">
        <f>EXP(-LN(2)/2)*GN20+(1-EXP(-LN(2)/2))/(LN(2)/2)*GH21*GK21*VLOOKUP('Données projet'!$B$17,Paramètres!$A$1:$I$89,3,0)*0.475*44/12</f>
        <v>3.0556608690337859</v>
      </c>
      <c r="GO21" s="23">
        <f t="shared" si="27"/>
        <v>23.474388994107851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1.2476666666666667</v>
      </c>
      <c r="GU21" s="13">
        <f>IF('Données projet'!$A$270&gt;35,GU20+GT21-HC20,IF(A21&lt;'Données projet'!$A$270,$GR$205^A21,IF(A21='Données projet'!$A$270,'Données projet'!$B$270,GU20+GT21-HC20)))</f>
        <v>8.788846840417472</v>
      </c>
      <c r="GV21" s="18">
        <f>GU21*VLOOKUP('Données projet'!$B$18,Paramètres!$A$1:$I$89,3,0)*VLOOKUP('Données projet'!$B$18,Paramètres!$A$1:$I$89,5,0)</f>
        <v>8.9118906961833186</v>
      </c>
      <c r="GW21" s="14">
        <f t="shared" si="51"/>
        <v>3.1837974124872761</v>
      </c>
      <c r="GX21" s="22">
        <f t="shared" si="28"/>
        <v>21.066656789267952</v>
      </c>
      <c r="GY21" s="62">
        <f t="shared" si="29"/>
        <v>232.83600998127105</v>
      </c>
      <c r="GZ21" s="62">
        <f ca="1">AVERAGE(OFFSET($GY$3,0,0,'Données projet'!$E$18+1,1))-AVERAGE(OFFSET($H$3,0,0,'Données projet'!$E$18+1,1))</f>
        <v>220.89224520315713</v>
      </c>
      <c r="HA21" s="62">
        <f t="shared" si="52"/>
        <v>141.82763623159096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1.2492000000000001</v>
      </c>
      <c r="N22" s="14">
        <f>IF('Données projet'!$A$36&gt;35,N21+M22-V21,IF(A22&lt;'Données projet'!$A$36,$K$205^A22,IF(A22='Données projet'!$A$36,'Données projet'!$B$36,N21+M22-V21)))</f>
        <v>13.673342989555005</v>
      </c>
      <c r="O22" s="14">
        <f>N22*VLOOKUP('Données projet'!$B$9,Paramètres!$A$1:$I$89,3,0)*VLOOKUP('Données projet'!$B$9,Paramètres!$A$1:$I$89,5,0)</f>
        <v>13.224857339497602</v>
      </c>
      <c r="P22" s="14">
        <f t="shared" si="33"/>
        <v>4.5124577517772186</v>
      </c>
      <c r="Q22" s="22">
        <f t="shared" si="2"/>
        <v>30.892490450636974</v>
      </c>
      <c r="R22" s="62">
        <f t="shared" si="0"/>
        <v>245.04458469366051</v>
      </c>
      <c r="S22" s="62">
        <f ca="1">AVERAGE(OFFSET($R$3,0,0,'Données projet'!$E$9+1,1))-AVERAGE(OFFSET($H$3,0,0,'Données projet'!$E$9+1,1))</f>
        <v>84.959354125980269</v>
      </c>
      <c r="T22" s="62">
        <f t="shared" si="34"/>
        <v>89.658970210276806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3.1414999999999997</v>
      </c>
      <c r="AI22" s="14">
        <f>IF('Données projet'!$A$62&gt;35,AI21+AH22-AQ21,IF(A22&lt;'Données projet'!$A$62,$AF$205^A22,IF(A22='Données projet'!$A$62,'Données projet'!$B$62,AI21+AH22-AQ21)))</f>
        <v>51.080919546849678</v>
      </c>
      <c r="AJ22" s="14">
        <f>AI22*VLOOKUP('Données projet'!$B$10,Paramètres!$A$1:$I$89,3,0)*VLOOKUP('Données projet'!$B$10,Paramètres!$A$1:$I$89,5,0)</f>
        <v>48.60860304078215</v>
      </c>
      <c r="AK22" s="14">
        <f t="shared" si="35"/>
        <v>14.253837241250414</v>
      </c>
      <c r="AL22" s="22">
        <f t="shared" si="4"/>
        <v>109.48541682454005</v>
      </c>
      <c r="AM22" s="62">
        <f t="shared" si="5"/>
        <v>323.63751106756359</v>
      </c>
      <c r="AN22" s="62">
        <f ca="1">AVERAGE(OFFSET($AM$3,0,0,'Données projet'!$E$10+1,1))-AVERAGE(OFFSET($H$3,0,0,'Données projet'!$E$10+1,1))</f>
        <v>592.76231355549089</v>
      </c>
      <c r="AO22" s="62">
        <f t="shared" si="36"/>
        <v>200.66895551079014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1.7753333333333332</v>
      </c>
      <c r="BD22" s="13">
        <f>IF('Données projet'!$A$88&gt;35,BD21+BC22-BL21,IF(A22&lt;'Données projet'!$A$88,$BA$205^A22,IF(A22='Données projet'!$A$88,'Données projet'!$B$88,BD21+BC22-BL21)))</f>
        <v>12.399021202886241</v>
      </c>
      <c r="BE22" s="14">
        <f>BD22*VLOOKUP('Données projet'!$B$11,Paramètres!$A$1:$I$89,3,0)*VLOOKUP('Données projet'!$B$11,Paramètres!$A$1:$I$89,5,0)</f>
        <v>11.21863438437147</v>
      </c>
      <c r="BF22" s="14">
        <f t="shared" si="37"/>
        <v>3.9019261378046171</v>
      </c>
      <c r="BG22" s="22">
        <f t="shared" si="7"/>
        <v>26.334976242790017</v>
      </c>
      <c r="BH22" s="62">
        <f t="shared" si="8"/>
        <v>240.48707048581355</v>
      </c>
      <c r="BI22" s="62">
        <f ca="1">AVERAGE(OFFSET($BH$3,0,0,'Données projet'!$E$11+1,1))-AVERAGE(OFFSET($H$3,0,0,'Données projet'!$E$11+1,1))</f>
        <v>316.71836722354374</v>
      </c>
      <c r="BJ22" s="62">
        <f t="shared" si="38"/>
        <v>164.34067012996618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6.9720000000000004</v>
      </c>
      <c r="BY22" s="13">
        <f>IF('Données projet'!$A$114&gt;35,BY21+BX22-CG21,IF(A22&lt;'Données projet'!$A$114,$BV$205^A22,IF(A22='Données projet'!$A$114,'Données projet'!$B$114,BY21+BX22-CG21)))</f>
        <v>53.018000000000008</v>
      </c>
      <c r="BZ22" s="14">
        <f>BY22*VLOOKUP('Données projet'!$B$12,Paramètres!$A$1:$I$89,3,0)*VLOOKUP('Données projet'!$B$12,Paramètres!$A$1:$I$89,5,0)</f>
        <v>60.376898400000009</v>
      </c>
      <c r="CA22" s="14">
        <f t="shared" si="39"/>
        <v>17.263525996523249</v>
      </c>
      <c r="CB22" s="22">
        <f t="shared" si="10"/>
        <v>135.223739157278</v>
      </c>
      <c r="CC22" s="62">
        <f t="shared" si="11"/>
        <v>349.37583340030153</v>
      </c>
      <c r="CD22" s="62">
        <f ca="1">AVERAGE(OFFSET($CC$3,0,0,'Données projet'!$E$12+1,1))-AVERAGE(OFFSET($H$3,0,0,'Données projet'!$E$12+1,1))</f>
        <v>454.9779384236806</v>
      </c>
      <c r="CE22" s="62">
        <f t="shared" si="40"/>
        <v>379.32753348721906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1.3498261157554743</v>
      </c>
      <c r="CN22" s="24">
        <f t="shared" si="12"/>
        <v>1.3498261157554743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4.2880000000000003</v>
      </c>
      <c r="CT22" s="13">
        <f>IF('Données projet'!$A$140&gt;35,CT21+CS22-DB21,IF(A22&lt;'Données projet'!$A$140,$CQ$205^A22,IF(A22='Données projet'!$A$140,'Données projet'!$B$140,CT21+CS22-DB21)))</f>
        <v>68.646837383990785</v>
      </c>
      <c r="CU22" s="18">
        <f>CT22*VLOOKUP('Données projet'!$B$13,Paramètres!$A$1:$I$89,3,0)*VLOOKUP('Données projet'!$B$13,Paramètres!$A$1:$I$89,5,0)</f>
        <v>53.544533159512817</v>
      </c>
      <c r="CV22" s="14">
        <f t="shared" si="41"/>
        <v>15.525470108631337</v>
      </c>
      <c r="CW22" s="22">
        <f t="shared" si="13"/>
        <v>120.29692235868437</v>
      </c>
      <c r="CX22" s="62">
        <f t="shared" si="14"/>
        <v>334.44901660170791</v>
      </c>
      <c r="CY22" s="62">
        <f ca="1">AVERAGE(OFFSET($CX$3,0,0,'Données projet'!$E$13+1,1))-AVERAGE(OFFSET($H$3,0,0,'Données projet'!$E$13+1,1))</f>
        <v>252.10592533338991</v>
      </c>
      <c r="CZ22" s="62">
        <f t="shared" si="42"/>
        <v>272.71831345325313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4.4390000000000001</v>
      </c>
      <c r="DO22" s="13">
        <f>IF('Données projet'!$A$166&gt;35,DO21+DN22-DW21,IF(A22&lt;'Données projet'!$A$166,$DL$205^A22,IF(A22='Données projet'!$A$166,'Données projet'!$B$166,DO21+DN22-DW21)))</f>
        <v>70.941339366236562</v>
      </c>
      <c r="DP22" s="18">
        <f>DO22*VLOOKUP('Données projet'!$B$14,Paramètres!$A$1:$I$89,3,0)*VLOOKUP('Données projet'!$B$14,Paramètres!$A$1:$I$89,5,0)</f>
        <v>42.422920941009473</v>
      </c>
      <c r="DQ22" s="14">
        <f t="shared" si="43"/>
        <v>12.638627861580449</v>
      </c>
      <c r="DR22" s="22">
        <f t="shared" si="16"/>
        <v>95.898864164510769</v>
      </c>
      <c r="DS22" s="62">
        <f t="shared" si="17"/>
        <v>310.05095840753427</v>
      </c>
      <c r="DT22" s="62">
        <f ca="1">AVERAGE(OFFSET($DS$3,0,0,'Données projet'!$E$14+1,1))-AVERAGE(OFFSET($H$3,0,0,'Données projet'!$E$14+1,1))</f>
        <v>423.0896575168394</v>
      </c>
      <c r="DU22" s="62">
        <f t="shared" si="44"/>
        <v>305.98537395014284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13.830000000000002</v>
      </c>
      <c r="EJ22" s="13">
        <f>IF('Données projet'!$A$192&gt;35,EJ21+EI22-ER21,IF(A22&lt;'Données projet'!$A$192,$EG$205^A22,IF(A22='Données projet'!$A$192,'Données projet'!$B$192,EJ21+EI22-ER21)))</f>
        <v>95.820000000000007</v>
      </c>
      <c r="EK22" s="18">
        <f>EJ22*VLOOKUP('Données projet'!$B$15,Paramètres!$A$1:$I$89,3,0)*VLOOKUP('Données projet'!$B$15,Paramètres!$A$1:$I$89,5,0)</f>
        <v>57.300360000000005</v>
      </c>
      <c r="EL22" s="14">
        <f t="shared" si="45"/>
        <v>16.483897289162297</v>
      </c>
      <c r="EM22" s="22">
        <f t="shared" si="19"/>
        <v>128.50758144529101</v>
      </c>
      <c r="EN22" s="62">
        <f t="shared" si="20"/>
        <v>342.65967568831456</v>
      </c>
      <c r="EO22" s="62">
        <f ca="1">AVERAGE(OFFSET($EN$3,0,0,'Données projet'!$E$15+1,1))-AVERAGE(OFFSET($H$3,0,0,'Données projet'!$E$15+1,1))</f>
        <v>281.21543175875604</v>
      </c>
      <c r="EP22" s="62">
        <f t="shared" si="46"/>
        <v>366.68536296857428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1.2871770203407435</v>
      </c>
      <c r="EY22" s="24">
        <f t="shared" si="21"/>
        <v>1.2871770203407435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4.5884999999999998</v>
      </c>
      <c r="FE22" s="13">
        <f>IF('Données projet'!$A$218&gt;35,FE21+FD22-FM21,IF(A22&lt;'Données projet'!$A$218,$FB$205^A22,IF(A22='Données projet'!$A$218,'Données projet'!$B$218,FE21+FD22-FM21)))</f>
        <v>73.209205736633152</v>
      </c>
      <c r="FF22" s="18">
        <f>FE22*VLOOKUP('Données projet'!$B$16,Paramètres!$A$1:$I$89,3,0)*VLOOKUP('Données projet'!$B$16,Paramètres!$A$1:$I$89,5,0)</f>
        <v>40.923946006777932</v>
      </c>
      <c r="FG22" s="14">
        <f t="shared" si="47"/>
        <v>12.243212474924817</v>
      </c>
      <c r="FH22" s="22">
        <f t="shared" si="22"/>
        <v>92.599467688965618</v>
      </c>
      <c r="FI22" s="62">
        <f t="shared" si="23"/>
        <v>306.75156193198916</v>
      </c>
      <c r="FJ22" s="62">
        <f ca="1">AVERAGE(OFFSET($FI$3,0,0,'Données projet'!$E$16+1,1))-AVERAGE(OFFSET($H$3,0,0,'Données projet'!$E$16+1,1))</f>
        <v>280.9225643428145</v>
      </c>
      <c r="FK22" s="62">
        <f t="shared" si="48"/>
        <v>236.89414218053955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34.944000000000003</v>
      </c>
      <c r="FZ22" s="13">
        <f>IF('Données projet'!$A$244&gt;35,FZ21+FY22-GH21,IF(A22&lt;'Données projet'!$A$244,$FW$205^A22,IF(A22='Données projet'!$A$244,'Données projet'!$B$244,FZ21+FY22-GH21)))</f>
        <v>318.28600000000006</v>
      </c>
      <c r="GA22" s="18">
        <f>FZ22*VLOOKUP('Données projet'!$B$17,Paramètres!$A$1:$I$89,3,0)*VLOOKUP('Données projet'!$B$17,Paramètres!$A$1:$I$89,5,0)</f>
        <v>140.68241200000006</v>
      </c>
      <c r="GB22" s="14">
        <f t="shared" si="49"/>
        <v>36.453292232407037</v>
      </c>
      <c r="GC22" s="22">
        <f t="shared" si="25"/>
        <v>308.51135153810901</v>
      </c>
      <c r="GD22" s="62">
        <f t="shared" si="26"/>
        <v>522.66344578113251</v>
      </c>
      <c r="GE22" s="62">
        <f ca="1">AVERAGE(OFFSET($GD$3,0,0,'Données projet'!$E$17+1,1))-AVERAGE(OFFSET($H$3,0,0,'Données projet'!$E$17+1,1))</f>
        <v>325.67421864225201</v>
      </c>
      <c r="GF22" s="62">
        <f t="shared" si="50"/>
        <v>542.01920418736745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19.860376930719671</v>
      </c>
      <c r="GN22" s="23">
        <f>EXP(-LN(2)/2)*GN21+(1-EXP(-LN(2)/2))/(LN(2)/2)*GH22*GK22*VLOOKUP('Données projet'!$B$17,Paramètres!$A$1:$I$89,3,0)*0.475*44/12</f>
        <v>2.1606785215001691</v>
      </c>
      <c r="GO22" s="23">
        <f t="shared" si="27"/>
        <v>22.021055452219841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1.2476666666666667</v>
      </c>
      <c r="GU22" s="13">
        <f>IF('Données projet'!$A$270&gt;35,GU21+GT22-HC21,IF(A22&lt;'Données projet'!$A$270,$GR$205^A22,IF(A22='Données projet'!$A$270,'Données projet'!$B$270,GU21+GT22-HC21)))</f>
        <v>9.916822893974599</v>
      </c>
      <c r="GV22" s="18">
        <f>GU22*VLOOKUP('Données projet'!$B$18,Paramètres!$A$1:$I$89,3,0)*VLOOKUP('Données projet'!$B$18,Paramètres!$A$1:$I$89,5,0)</f>
        <v>10.055658414490244</v>
      </c>
      <c r="GW22" s="14">
        <f t="shared" si="51"/>
        <v>3.5422727110072345</v>
      </c>
      <c r="GX22" s="22">
        <f t="shared" si="28"/>
        <v>23.683063376908109</v>
      </c>
      <c r="GY22" s="62">
        <f t="shared" si="29"/>
        <v>237.83515761993164</v>
      </c>
      <c r="GZ22" s="62">
        <f ca="1">AVERAGE(OFFSET($GY$3,0,0,'Données projet'!$E$18+1,1))-AVERAGE(OFFSET($H$3,0,0,'Données projet'!$E$18+1,1))</f>
        <v>220.89224520315713</v>
      </c>
      <c r="HA22" s="62">
        <f t="shared" si="52"/>
        <v>141.82763623159096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1.2492000000000001</v>
      </c>
      <c r="N23" s="14">
        <f>IF('Données projet'!$A$36&gt;35,N22+M23-V22,IF(A23&lt;'Données projet'!$A$36,$K$205^A23,IF(A23='Données projet'!$A$36,'Données projet'!$B$36,N22+M23-V22)))</f>
        <v>15.691251645787938</v>
      </c>
      <c r="O23" s="14">
        <f>N23*VLOOKUP('Données projet'!$B$9,Paramètres!$A$1:$I$89,3,0)*VLOOKUP('Données projet'!$B$9,Paramètres!$A$1:$I$89,5,0)</f>
        <v>15.176578591806093</v>
      </c>
      <c r="P23" s="14">
        <f t="shared" si="33"/>
        <v>5.0960924845174915</v>
      </c>
      <c r="Q23" s="22">
        <f t="shared" si="2"/>
        <v>35.308235457930238</v>
      </c>
      <c r="R23" s="62">
        <f t="shared" si="0"/>
        <v>251.82293834482596</v>
      </c>
      <c r="S23" s="62">
        <f ca="1">AVERAGE(OFFSET($R$3,0,0,'Données projet'!$E$9+1,1))-AVERAGE(OFFSET($H$3,0,0,'Données projet'!$E$9+1,1))</f>
        <v>84.959354125980269</v>
      </c>
      <c r="T23" s="62">
        <f t="shared" si="34"/>
        <v>89.658970210276806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62.83</v>
      </c>
      <c r="AG23" s="13">
        <f>VLOOKUP(A23,'Données projet'!$A$61:$I$81,9,0)</f>
        <v>3.1414999999999997</v>
      </c>
      <c r="AH23" s="13">
        <f t="array" ref="AH23">INDEX(AG:AG,MIN(IF(ISNUMBER(AG23:AG219),ROW(AG23:AG219),"")))</f>
        <v>3.1414999999999997</v>
      </c>
      <c r="AI23" s="14">
        <f>IF('Données projet'!$A$62&gt;35,AI22+AH23-AQ22,IF(A23&lt;'Données projet'!$A$62,$AF$205^A23,IF(A23='Données projet'!$A$62,'Données projet'!$B$62,AI22+AH23-AQ22)))</f>
        <v>62.83</v>
      </c>
      <c r="AJ23" s="14">
        <f>AI23*VLOOKUP('Données projet'!$B$10,Paramètres!$A$1:$I$89,3,0)*VLOOKUP('Données projet'!$B$10,Paramètres!$A$1:$I$89,5,0)</f>
        <v>59.789027999999995</v>
      </c>
      <c r="AK23" s="14">
        <f t="shared" si="35"/>
        <v>17.114917741624136</v>
      </c>
      <c r="AL23" s="22">
        <f t="shared" si="4"/>
        <v>133.94103883332869</v>
      </c>
      <c r="AM23" s="62">
        <f t="shared" si="5"/>
        <v>350.45574172022441</v>
      </c>
      <c r="AN23" s="62">
        <f ca="1">AVERAGE(OFFSET($AM$3,0,0,'Données projet'!$E$10+1,1))-AVERAGE(OFFSET($H$3,0,0,'Données projet'!$E$10+1,1))</f>
        <v>592.76231355549089</v>
      </c>
      <c r="AO23" s="62">
        <f t="shared" si="36"/>
        <v>200.66895551079014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37.700000000000003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0.4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13.539731996032392</v>
      </c>
      <c r="AX23" s="23">
        <f t="shared" si="6"/>
        <v>13.539731996032392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1.7753333333333332</v>
      </c>
      <c r="BD23" s="13">
        <f>IF('Données projet'!$A$88&gt;35,BD22+BC23-BL22,IF(A23&lt;'Données projet'!$A$88,$BA$205^A23,IF(A23='Données projet'!$A$88,'Données projet'!$B$88,BD22+BC23-BL22)))</f>
        <v>14.155789895007581</v>
      </c>
      <c r="BE23" s="14">
        <f>BD23*VLOOKUP('Données projet'!$B$11,Paramètres!$A$1:$I$89,3,0)*VLOOKUP('Données projet'!$B$11,Paramètres!$A$1:$I$89,5,0)</f>
        <v>12.80815869700286</v>
      </c>
      <c r="BF23" s="14">
        <f t="shared" si="37"/>
        <v>4.3865927143916714</v>
      </c>
      <c r="BG23" s="22">
        <f t="shared" si="7"/>
        <v>29.947525374845473</v>
      </c>
      <c r="BH23" s="62">
        <f t="shared" si="8"/>
        <v>246.46222826174119</v>
      </c>
      <c r="BI23" s="62">
        <f ca="1">AVERAGE(OFFSET($BH$3,0,0,'Données projet'!$E$11+1,1))-AVERAGE(OFFSET($H$3,0,0,'Données projet'!$E$11+1,1))</f>
        <v>316.71836722354374</v>
      </c>
      <c r="BJ23" s="62">
        <f t="shared" si="38"/>
        <v>164.34067012996618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6.9720000000000004</v>
      </c>
      <c r="BY23" s="13">
        <f>IF('Données projet'!$A$114&gt;35,BY22+BX23-CG22,IF(A23&lt;'Données projet'!$A$114,$BV$205^A23,IF(A23='Données projet'!$A$114,'Données projet'!$B$114,BY22+BX23-CG22)))</f>
        <v>59.990000000000009</v>
      </c>
      <c r="BZ23" s="14">
        <f>BY23*VLOOKUP('Données projet'!$B$12,Paramètres!$A$1:$I$89,3,0)*VLOOKUP('Données projet'!$B$12,Paramètres!$A$1:$I$89,5,0)</f>
        <v>68.316612000000006</v>
      </c>
      <c r="CA23" s="14">
        <f t="shared" si="39"/>
        <v>19.254822594847369</v>
      </c>
      <c r="CB23" s="22">
        <f t="shared" si="10"/>
        <v>152.52024858602582</v>
      </c>
      <c r="CC23" s="62">
        <f t="shared" si="11"/>
        <v>369.03495147292153</v>
      </c>
      <c r="CD23" s="62">
        <f ca="1">AVERAGE(OFFSET($CC$3,0,0,'Données projet'!$E$12+1,1))-AVERAGE(OFFSET($H$3,0,0,'Données projet'!$E$12+1,1))</f>
        <v>454.9779384236806</v>
      </c>
      <c r="CE23" s="62">
        <f t="shared" si="40"/>
        <v>379.32753348721906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0.95447119987339357</v>
      </c>
      <c r="CN23" s="24">
        <f t="shared" si="12"/>
        <v>0.95447119987339357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85.76</v>
      </c>
      <c r="CR23" s="13">
        <f>VLOOKUP(A23,'Données projet'!$A$139:$I$159,9,0)</f>
        <v>4.2880000000000003</v>
      </c>
      <c r="CS23" s="13">
        <f t="array" ref="CS23">INDEX(CR:CR,MIN(IF(ISNUMBER(CR23:CR219),ROW(CR23:CR219),"")))</f>
        <v>4.2880000000000003</v>
      </c>
      <c r="CT23" s="13">
        <f>IF('Données projet'!$A$140&gt;35,CT22+CS23-DB22,IF(A23&lt;'Données projet'!$A$140,$CQ$205^A23,IF(A23='Données projet'!$A$140,'Données projet'!$B$140,CT22+CS23-DB22)))</f>
        <v>85.76</v>
      </c>
      <c r="CU23" s="18">
        <f>CT23*VLOOKUP('Données projet'!$B$13,Paramètres!$A$1:$I$89,3,0)*VLOOKUP('Données projet'!$B$13,Paramètres!$A$1:$I$89,5,0)</f>
        <v>66.892800000000008</v>
      </c>
      <c r="CV23" s="14">
        <f t="shared" si="41"/>
        <v>18.899803142639634</v>
      </c>
      <c r="CW23" s="22">
        <f t="shared" si="13"/>
        <v>149.42211714009738</v>
      </c>
      <c r="CX23" s="62">
        <f t="shared" si="14"/>
        <v>365.93682002699313</v>
      </c>
      <c r="CY23" s="62">
        <f ca="1">AVERAGE(OFFSET($CX$3,0,0,'Données projet'!$E$13+1,1))-AVERAGE(OFFSET($H$3,0,0,'Données projet'!$E$13+1,1))</f>
        <v>252.10592533338991</v>
      </c>
      <c r="CZ23" s="62">
        <f t="shared" si="42"/>
        <v>272.71831345325313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28.59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0.4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8.4163355604332324</v>
      </c>
      <c r="DI23" s="24">
        <f t="shared" si="15"/>
        <v>8.4163355604332324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88.78</v>
      </c>
      <c r="DM23" s="13">
        <f>VLOOKUP(A23,'Données projet'!$A$165:$I$185,9,0)</f>
        <v>4.4390000000000001</v>
      </c>
      <c r="DN23" s="13">
        <f t="array" ref="DN23">INDEX(DM:DM,MIN(IF(ISNUMBER(DM23:DM219),ROW(DM23:DM219),"")))</f>
        <v>4.4390000000000001</v>
      </c>
      <c r="DO23" s="13">
        <f>IF('Données projet'!$A$166&gt;35,DO22+DN23-DW22,IF(A23&lt;'Données projet'!$A$166,$DL$205^A23,IF(A23='Données projet'!$A$166,'Données projet'!$B$166,DO22+DN23-DW22)))</f>
        <v>88.78</v>
      </c>
      <c r="DP23" s="18">
        <f>DO23*VLOOKUP('Données projet'!$B$14,Paramètres!$A$1:$I$89,3,0)*VLOOKUP('Données projet'!$B$14,Paramètres!$A$1:$I$89,5,0)</f>
        <v>53.090440000000001</v>
      </c>
      <c r="DQ23" s="14">
        <f t="shared" si="43"/>
        <v>15.40907217434544</v>
      </c>
      <c r="DR23" s="22">
        <f t="shared" si="16"/>
        <v>119.30331703698498</v>
      </c>
      <c r="DS23" s="62">
        <f t="shared" si="17"/>
        <v>335.81801992388068</v>
      </c>
      <c r="DT23" s="62">
        <f ca="1">AVERAGE(OFFSET($DS$3,0,0,'Données projet'!$E$14+1,1))-AVERAGE(OFFSET($H$3,0,0,'Données projet'!$E$14+1,1))</f>
        <v>423.0896575168394</v>
      </c>
      <c r="DU23" s="62">
        <f t="shared" si="44"/>
        <v>305.98537395014284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32.85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0.27</v>
      </c>
      <c r="DZ23" s="17">
        <f>IF(ISNA(VLOOKUP(A23,'Données projet'!$A$165:$I$185,7,0)),0%,VLOOKUP(A23,'Données projet'!$A$165:$I$185,7,0))</f>
        <v>0.2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7.008342541057794</v>
      </c>
      <c r="EC23" s="23">
        <f>EXP(-LN(2)/2)*EC22+(1-EXP(-LN(2)/2))/(LN(2)/2)*DW23*DZ23*VLOOKUP('Données projet'!$B$14,Paramètres!$A$1:$I$89,3,0)*0.475*44/12</f>
        <v>4.448382184459831</v>
      </c>
      <c r="ED23" s="24">
        <f t="shared" si="18"/>
        <v>11.456724725517624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109.65</v>
      </c>
      <c r="EH23" s="13">
        <f>VLOOKUP(A23,'Données projet'!$A$191:$I$211,9,0)</f>
        <v>13.830000000000002</v>
      </c>
      <c r="EI23" s="13">
        <f t="array" ref="EI23">INDEX(EH:EH,MIN(IF(ISNUMBER(EH23:EH219),ROW(EH23:EH219),"")))</f>
        <v>13.830000000000002</v>
      </c>
      <c r="EJ23" s="13">
        <f>IF('Données projet'!$A$192&gt;35,EJ22+EI23-ER22,IF(A23&lt;'Données projet'!$A$192,$EG$205^A23,IF(A23='Données projet'!$A$192,'Données projet'!$B$192,EJ22+EI23-ER22)))</f>
        <v>109.65</v>
      </c>
      <c r="EK23" s="18">
        <f>EJ23*VLOOKUP('Données projet'!$B$15,Paramètres!$A$1:$I$89,3,0)*VLOOKUP('Données projet'!$B$15,Paramètres!$A$1:$I$89,5,0)</f>
        <v>65.570700000000016</v>
      </c>
      <c r="EL23" s="14">
        <f t="shared" si="45"/>
        <v>18.569356833752519</v>
      </c>
      <c r="EM23" s="22">
        <f t="shared" si="19"/>
        <v>146.54393231878566</v>
      </c>
      <c r="EN23" s="62">
        <f t="shared" si="20"/>
        <v>363.05863520568141</v>
      </c>
      <c r="EO23" s="62">
        <f ca="1">AVERAGE(OFFSET($EN$3,0,0,'Données projet'!$E$15+1,1))-AVERAGE(OFFSET($H$3,0,0,'Données projet'!$E$15+1,1))</f>
        <v>281.21543175875604</v>
      </c>
      <c r="EP23" s="62">
        <f t="shared" si="46"/>
        <v>366.68536296857428</v>
      </c>
      <c r="EQ23" s="16">
        <f>IF(ISNA(VLOOKUP(A23,'Données projet'!$A$191:$I$211,3,0)),0,VLOOKUP(A23,'Données projet'!$A$191:$I$211,3,0))</f>
        <v>3</v>
      </c>
      <c r="ER23" s="16">
        <f>IF(ISNA(VLOOKUP(A23,'Données projet'!$A$191:$I$211,4,0)),0,VLOOKUP(A23,'Données projet'!$A$191:$I$211,4,0))</f>
        <v>34.33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9.0000000000000011E-2</v>
      </c>
      <c r="EU23" s="17">
        <f>IF(ISNA(VLOOKUP(A23,'Données projet'!$A$191:$I$211,7,0)),0%,VLOOKUP(A23,'Données projet'!$A$191:$I$211,7,0))</f>
        <v>0.3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2.4413637689955769</v>
      </c>
      <c r="EX23" s="23">
        <f>EXP(-LN(2)/2)*EX22+(1-EXP(-LN(2)/2))/(LN(2)/2)*ER23*EU23*VLOOKUP('Données projet'!$B$15,Paramètres!$A$1:$I$89,3,0)*0.475*44/12</f>
        <v>7.8833661381410272</v>
      </c>
      <c r="EY23" s="24">
        <f t="shared" si="21"/>
        <v>10.324729907136604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91.77</v>
      </c>
      <c r="FC23" s="13">
        <f>VLOOKUP(A23,'Données projet'!$A$217:$I$237,9,0)</f>
        <v>4.5884999999999998</v>
      </c>
      <c r="FD23" s="13">
        <f t="array" ref="FD23">INDEX(FC:FC,MIN(IF(ISNUMBER(FC23:FC219),ROW(FC23:FC219),"")))</f>
        <v>4.5884999999999998</v>
      </c>
      <c r="FE23" s="13">
        <f>IF('Données projet'!$A$218&gt;35,FE22+FD23-FM22,IF(A23&lt;'Données projet'!$A$218,$FB$205^A23,IF(A23='Données projet'!$A$218,'Données projet'!$B$218,FE22+FD23-FM22)))</f>
        <v>91.77</v>
      </c>
      <c r="FF23" s="18">
        <f>FE23*VLOOKUP('Données projet'!$B$16,Paramètres!$A$1:$I$89,3,0)*VLOOKUP('Données projet'!$B$16,Paramètres!$A$1:$I$89,5,0)</f>
        <v>51.299429999999994</v>
      </c>
      <c r="FG23" s="14">
        <f t="shared" si="47"/>
        <v>14.948840387742921</v>
      </c>
      <c r="FH23" s="22">
        <f t="shared" si="22"/>
        <v>115.38240425865224</v>
      </c>
      <c r="FI23" s="62">
        <f t="shared" si="23"/>
        <v>331.89710714554798</v>
      </c>
      <c r="FJ23" s="62">
        <f ca="1">AVERAGE(OFFSET($FI$3,0,0,'Données projet'!$E$16+1,1))-AVERAGE(OFFSET($H$3,0,0,'Données projet'!$E$16+1,1))</f>
        <v>280.9225643428145</v>
      </c>
      <c r="FK23" s="62">
        <f t="shared" si="48"/>
        <v>236.89414218053955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29.92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0.44000000000000006</v>
      </c>
      <c r="FP23" s="17">
        <f>IF(ISNA(VLOOKUP(A23,'Données projet'!$A$217:$I$237,7,0)),0%,VLOOKUP(A23,'Données projet'!$A$217:$I$237,7,0))</f>
        <v>0.2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9.7239131636611535</v>
      </c>
      <c r="FS23" s="23">
        <f>EXP(-LN(2)/2)*FS22+(1-EXP(-LN(2)/2))/(LN(2)/2)*FM23*FP23*VLOOKUP('Données projet'!$B$16,Paramètres!$A$1:$I$89,3,0)*0.475*44/12</f>
        <v>3.7873804402346907</v>
      </c>
      <c r="FT23" s="24">
        <f t="shared" si="24"/>
        <v>13.511293603895844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353.23</v>
      </c>
      <c r="FX23" s="13">
        <f>VLOOKUP(A23,'Données projet'!$A$243:$I$263,9,0)</f>
        <v>34.944000000000003</v>
      </c>
      <c r="FY23" s="13">
        <f t="array" ref="FY23">INDEX(FX:FX,MIN(IF(ISNUMBER(FX23:FX219),ROW(FX23:FX219),"")))</f>
        <v>34.944000000000003</v>
      </c>
      <c r="FZ23" s="13">
        <f>IF('Données projet'!$A$244&gt;35,FZ22+FY23-GH22,IF(A23&lt;'Données projet'!$A$244,$FW$205^A23,IF(A23='Données projet'!$A$244,'Données projet'!$B$244,FZ22+FY23-GH22)))</f>
        <v>353.23000000000008</v>
      </c>
      <c r="GA23" s="18">
        <f>FZ23*VLOOKUP('Données projet'!$B$17,Paramètres!$A$1:$I$89,3,0)*VLOOKUP('Données projet'!$B$17,Paramètres!$A$1:$I$89,5,0)</f>
        <v>156.12766000000005</v>
      </c>
      <c r="GB23" s="14">
        <f t="shared" si="49"/>
        <v>39.967856822778373</v>
      </c>
      <c r="GC23" s="22">
        <f t="shared" si="25"/>
        <v>341.53302513300576</v>
      </c>
      <c r="GD23" s="62">
        <f t="shared" si="26"/>
        <v>558.04772801990146</v>
      </c>
      <c r="GE23" s="62">
        <f ca="1">AVERAGE(OFFSET($GD$3,0,0,'Données projet'!$E$17+1,1))-AVERAGE(OFFSET($H$3,0,0,'Données projet'!$E$17+1,1))</f>
        <v>325.67421864225201</v>
      </c>
      <c r="GF23" s="62">
        <f t="shared" si="50"/>
        <v>542.01920418736745</v>
      </c>
      <c r="GG23" s="16">
        <f>IF(ISNA(VLOOKUP(A23,'Données projet'!$A$243:$I$263,3,0)),0,VLOOKUP(A23,'Données projet'!$A$243:$I$263,3,0))</f>
        <v>2</v>
      </c>
      <c r="GH23" s="16">
        <f>IF(ISNA(VLOOKUP(A23,'Données projet'!$A$243:$I$263,4,0)),0,VLOOKUP(A23,'Données projet'!$A$243:$I$263,4,0))</f>
        <v>128.22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0.44000000000000006</v>
      </c>
      <c r="GK23" s="17">
        <f>IF(ISNA(VLOOKUP(A23,'Données projet'!$A$243:$I$263,7,0)),0%,VLOOKUP(A23,'Données projet'!$A$243:$I$263,7,0))</f>
        <v>0.2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52.266557775665667</v>
      </c>
      <c r="GN23" s="23">
        <f>EXP(-LN(2)/2)*GN22+(1-EXP(-LN(2)/2))/(LN(2)/2)*GH23*GK23*VLOOKUP('Données projet'!$B$17,Paramètres!$A$1:$I$89,3,0)*0.475*44/12</f>
        <v>14.361284981210657</v>
      </c>
      <c r="GO23" s="23">
        <f t="shared" si="27"/>
        <v>66.627842756876319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1.2476666666666667</v>
      </c>
      <c r="GU23" s="13">
        <f>IF('Données projet'!$A$270&gt;35,GU22+GT23-HC22,IF(A23&lt;'Données projet'!$A$270,$GR$205^A23,IF(A23='Données projet'!$A$270,'Données projet'!$B$270,GU22+GT23-HC22)))</f>
        <v>11.189565377132842</v>
      </c>
      <c r="GV23" s="18">
        <f>GU23*VLOOKUP('Données projet'!$B$18,Paramètres!$A$1:$I$89,3,0)*VLOOKUP('Données projet'!$B$18,Paramètres!$A$1:$I$89,5,0)</f>
        <v>11.346219292412703</v>
      </c>
      <c r="GW23" s="14">
        <f t="shared" si="51"/>
        <v>3.9411100436016477</v>
      </c>
      <c r="GX23" s="22">
        <f t="shared" si="28"/>
        <v>26.625431926891665</v>
      </c>
      <c r="GY23" s="62">
        <f t="shared" si="29"/>
        <v>243.14013481378737</v>
      </c>
      <c r="GZ23" s="62">
        <f ca="1">AVERAGE(OFFSET($GY$3,0,0,'Données projet'!$E$18+1,1))-AVERAGE(OFFSET($H$3,0,0,'Données projet'!$E$18+1,1))</f>
        <v>220.89224520315713</v>
      </c>
      <c r="HA23" s="62">
        <f t="shared" si="52"/>
        <v>141.82763623159096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1.2492000000000001</v>
      </c>
      <c r="N24" s="14">
        <f>IF('Données projet'!$A$36&gt;35,N23+M24-V23,IF(A24&lt;'Données projet'!$A$36,$K$205^A24,IF(A24='Données projet'!$A$36,'Données projet'!$B$36,N23+M24-V23)))</f>
        <v>18.006962774174927</v>
      </c>
      <c r="O24" s="14">
        <f>N24*VLOOKUP('Données projet'!$B$9,Paramètres!$A$1:$I$89,3,0)*VLOOKUP('Données projet'!$B$9,Paramètres!$A$1:$I$89,5,0)</f>
        <v>17.416334395181991</v>
      </c>
      <c r="P24" s="14">
        <f t="shared" si="33"/>
        <v>5.7552136860511087</v>
      </c>
      <c r="Q24" s="22">
        <f t="shared" si="2"/>
        <v>40.357112908147641</v>
      </c>
      <c r="R24" s="62">
        <f t="shared" si="0"/>
        <v>259.21464128402204</v>
      </c>
      <c r="S24" s="62">
        <f ca="1">AVERAGE(OFFSET($R$3,0,0,'Données projet'!$E$9+1,1))-AVERAGE(OFFSET($H$3,0,0,'Données projet'!$E$9+1,1))</f>
        <v>84.959354125980269</v>
      </c>
      <c r="T24" s="62">
        <f t="shared" si="34"/>
        <v>89.658970210276806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4.298</v>
      </c>
      <c r="AI24" s="14">
        <f>IF('Données projet'!$A$62&gt;35,AI23+AH24-AQ23,IF(A24&lt;'Données projet'!$A$62,$AF$205^A24,IF(A24='Données projet'!$A$62,'Données projet'!$B$62,AI23+AH24-AQ23)))</f>
        <v>29.427999999999997</v>
      </c>
      <c r="AJ24" s="14">
        <f>AI24*VLOOKUP('Données projet'!$B$10,Paramètres!$A$1:$I$89,3,0)*VLOOKUP('Données projet'!$B$10,Paramètres!$A$1:$I$89,5,0)</f>
        <v>28.003684799999998</v>
      </c>
      <c r="AK24" s="14">
        <f t="shared" si="35"/>
        <v>8.7561138255835278</v>
      </c>
      <c r="AL24" s="22">
        <f t="shared" si="4"/>
        <v>64.023315939557975</v>
      </c>
      <c r="AM24" s="62">
        <f t="shared" si="5"/>
        <v>282.88084431543234</v>
      </c>
      <c r="AN24" s="62">
        <f ca="1">AVERAGE(OFFSET($AM$3,0,0,'Données projet'!$E$10+1,1))-AVERAGE(OFFSET($H$3,0,0,'Données projet'!$E$10+1,1))</f>
        <v>592.76231355549089</v>
      </c>
      <c r="AO24" s="62">
        <f t="shared" si="36"/>
        <v>200.66895551079014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9.5740363098429739</v>
      </c>
      <c r="AX24" s="23">
        <f t="shared" si="6"/>
        <v>9.5740363098429739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1.7753333333333332</v>
      </c>
      <c r="BD24" s="13">
        <f>IF('Données projet'!$A$88&gt;35,BD23+BC24-BL23,IF(A24&lt;'Données projet'!$A$88,$BA$205^A24,IF(A24='Données projet'!$A$88,'Données projet'!$B$88,BD23+BC24-BL23)))</f>
        <v>16.161468254038706</v>
      </c>
      <c r="BE24" s="14">
        <f>BD24*VLOOKUP('Données projet'!$B$11,Paramètres!$A$1:$I$89,3,0)*VLOOKUP('Données projet'!$B$11,Paramètres!$A$1:$I$89,5,0)</f>
        <v>14.622896476254221</v>
      </c>
      <c r="BF24" s="14">
        <f t="shared" si="37"/>
        <v>4.9314607612691885</v>
      </c>
      <c r="BG24" s="22">
        <f t="shared" si="7"/>
        <v>34.0571721886866</v>
      </c>
      <c r="BH24" s="62">
        <f t="shared" si="8"/>
        <v>252.91470056456097</v>
      </c>
      <c r="BI24" s="62">
        <f ca="1">AVERAGE(OFFSET($BH$3,0,0,'Données projet'!$E$11+1,1))-AVERAGE(OFFSET($H$3,0,0,'Données projet'!$E$11+1,1))</f>
        <v>316.71836722354374</v>
      </c>
      <c r="BJ24" s="62">
        <f t="shared" si="38"/>
        <v>164.34067012996618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6.9720000000000004</v>
      </c>
      <c r="BY24" s="13">
        <f>IF('Données projet'!$A$114&gt;35,BY23+BX24-CG23,IF(A24&lt;'Données projet'!$A$114,$BV$205^A24,IF(A24='Données projet'!$A$114,'Données projet'!$B$114,BY23+BX24-CG23)))</f>
        <v>66.962000000000003</v>
      </c>
      <c r="BZ24" s="14">
        <f>BY24*VLOOKUP('Données projet'!$B$12,Paramètres!$A$1:$I$89,3,0)*VLOOKUP('Données projet'!$B$12,Paramètres!$A$1:$I$89,5,0)</f>
        <v>76.256325600000011</v>
      </c>
      <c r="CA24" s="14">
        <f t="shared" si="39"/>
        <v>21.219298783864009</v>
      </c>
      <c r="CB24" s="22">
        <f t="shared" si="10"/>
        <v>169.77004580189649</v>
      </c>
      <c r="CC24" s="62">
        <f t="shared" si="11"/>
        <v>388.62757417777084</v>
      </c>
      <c r="CD24" s="62">
        <f ca="1">AVERAGE(OFFSET($CC$3,0,0,'Données projet'!$E$12+1,1))-AVERAGE(OFFSET($H$3,0,0,'Données projet'!$E$12+1,1))</f>
        <v>454.9779384236806</v>
      </c>
      <c r="CE24" s="62">
        <f t="shared" si="40"/>
        <v>379.32753348721906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0.67491305787773725</v>
      </c>
      <c r="CN24" s="24">
        <f t="shared" si="12"/>
        <v>0.67491305787773725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8.8000000000000007</v>
      </c>
      <c r="CT24" s="13">
        <f>IF('Données projet'!$A$140&gt;35,CT23+CS24-DB23,IF(A24&lt;'Données projet'!$A$140,$CQ$205^A24,IF(A24='Données projet'!$A$140,'Données projet'!$B$140,CT23+CS24-DB23)))</f>
        <v>65.97</v>
      </c>
      <c r="CU24" s="18">
        <f>CT24*VLOOKUP('Données projet'!$B$13,Paramètres!$A$1:$I$89,3,0)*VLOOKUP('Données projet'!$B$13,Paramètres!$A$1:$I$89,5,0)</f>
        <v>51.456600000000002</v>
      </c>
      <c r="CV24" s="14">
        <f t="shared" si="41"/>
        <v>14.989301979794357</v>
      </c>
      <c r="CW24" s="22">
        <f t="shared" si="13"/>
        <v>115.7266126148085</v>
      </c>
      <c r="CX24" s="62">
        <f t="shared" si="14"/>
        <v>334.5841409906829</v>
      </c>
      <c r="CY24" s="62">
        <f ca="1">AVERAGE(OFFSET($CX$3,0,0,'Données projet'!$E$13+1,1))-AVERAGE(OFFSET($H$3,0,0,'Données projet'!$E$13+1,1))</f>
        <v>252.10592533338991</v>
      </c>
      <c r="CZ24" s="62">
        <f t="shared" si="42"/>
        <v>272.71831345325313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5.9512479475238207</v>
      </c>
      <c r="DI24" s="24">
        <f t="shared" si="15"/>
        <v>5.9512479475238207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13.388</v>
      </c>
      <c r="DO24" s="13">
        <f>IF('Données projet'!$A$166&gt;35,DO23+DN24-DW23,IF(A24&lt;'Données projet'!$A$166,$DL$205^A24,IF(A24='Données projet'!$A$166,'Données projet'!$B$166,DO23+DN24-DW23)))</f>
        <v>69.318000000000012</v>
      </c>
      <c r="DP24" s="18">
        <f>DO24*VLOOKUP('Données projet'!$B$14,Paramètres!$A$1:$I$89,3,0)*VLOOKUP('Données projet'!$B$14,Paramètres!$A$1:$I$89,5,0)</f>
        <v>41.45216400000001</v>
      </c>
      <c r="DQ24" s="14">
        <f t="shared" si="43"/>
        <v>12.382740668722665</v>
      </c>
      <c r="DR24" s="22">
        <f t="shared" si="16"/>
        <v>93.762458964691973</v>
      </c>
      <c r="DS24" s="62">
        <f t="shared" si="17"/>
        <v>312.61998734056635</v>
      </c>
      <c r="DT24" s="62">
        <f ca="1">AVERAGE(OFFSET($DS$3,0,0,'Données projet'!$E$14+1,1))-AVERAGE(OFFSET($H$3,0,0,'Données projet'!$E$14+1,1))</f>
        <v>423.0896575168394</v>
      </c>
      <c r="DU24" s="62">
        <f t="shared" si="44"/>
        <v>305.98537395014284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6.8166990457198517</v>
      </c>
      <c r="EC24" s="23">
        <f>EXP(-LN(2)/2)*EC23+(1-EXP(-LN(2)/2))/(LN(2)/2)*DW24*DZ24*VLOOKUP('Données projet'!$B$14,Paramètres!$A$1:$I$89,3,0)*0.475*44/12</f>
        <v>3.1454812079409744</v>
      </c>
      <c r="ED24" s="24">
        <f t="shared" si="18"/>
        <v>9.9621802536608257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17.558</v>
      </c>
      <c r="EJ24" s="13">
        <f>IF('Données projet'!$A$192&gt;35,EJ23+EI24-ER23,IF(A24&lt;'Données projet'!$A$192,$EG$205^A24,IF(A24='Données projet'!$A$192,'Données projet'!$B$192,EJ23+EI24-ER23)))</f>
        <v>92.878</v>
      </c>
      <c r="EK24" s="18">
        <f>EJ24*VLOOKUP('Données projet'!$B$15,Paramètres!$A$1:$I$89,3,0)*VLOOKUP('Données projet'!$B$15,Paramètres!$A$1:$I$89,5,0)</f>
        <v>55.541044000000007</v>
      </c>
      <c r="EL24" s="14">
        <f t="shared" si="45"/>
        <v>16.035888564834611</v>
      </c>
      <c r="EM24" s="22">
        <f t="shared" si="19"/>
        <v>124.66315755042029</v>
      </c>
      <c r="EN24" s="62">
        <f t="shared" si="20"/>
        <v>343.52068592629468</v>
      </c>
      <c r="EO24" s="62">
        <f ca="1">AVERAGE(OFFSET($EN$3,0,0,'Données projet'!$E$15+1,1))-AVERAGE(OFFSET($H$3,0,0,'Données projet'!$E$15+1,1))</f>
        <v>281.21543175875604</v>
      </c>
      <c r="EP24" s="62">
        <f t="shared" si="46"/>
        <v>366.68536296857428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2.3746045483466522</v>
      </c>
      <c r="EX24" s="23">
        <f>EXP(-LN(2)/2)*EX23+(1-EXP(-LN(2)/2))/(LN(2)/2)*ER24*EU24*VLOOKUP('Données projet'!$B$15,Paramètres!$A$1:$I$89,3,0)*0.475*44/12</f>
        <v>5.5743816548559257</v>
      </c>
      <c r="EY24" s="24">
        <f t="shared" si="21"/>
        <v>7.948986203202578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11.022</v>
      </c>
      <c r="FE24" s="13">
        <f>IF('Données projet'!$A$218&gt;35,FE23+FD24-FM23,IF(A24&lt;'Données projet'!$A$218,$FB$205^A24,IF(A24='Données projet'!$A$218,'Données projet'!$B$218,FE23+FD24-FM23)))</f>
        <v>72.872</v>
      </c>
      <c r="FF24" s="18">
        <f>FE24*VLOOKUP('Données projet'!$B$16,Paramètres!$A$1:$I$89,3,0)*VLOOKUP('Données projet'!$B$16,Paramètres!$A$1:$I$89,5,0)</f>
        <v>40.735447999999998</v>
      </c>
      <c r="FG24" s="14">
        <f t="shared" si="47"/>
        <v>12.193370302903213</v>
      </c>
      <c r="FH24" s="22">
        <f t="shared" si="22"/>
        <v>92.184358544223088</v>
      </c>
      <c r="FI24" s="62">
        <f t="shared" si="23"/>
        <v>311.04188692009745</v>
      </c>
      <c r="FJ24" s="62">
        <f ca="1">AVERAGE(OFFSET($FI$3,0,0,'Données projet'!$E$16+1,1))-AVERAGE(OFFSET($H$3,0,0,'Données projet'!$E$16+1,1))</f>
        <v>280.9225643428145</v>
      </c>
      <c r="FK24" s="62">
        <f t="shared" si="48"/>
        <v>236.89414218053955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9.4580122468424701</v>
      </c>
      <c r="FS24" s="23">
        <f>EXP(-LN(2)/2)*FS23+(1-EXP(-LN(2)/2))/(LN(2)/2)*FM24*FP24*VLOOKUP('Données projet'!$B$16,Paramètres!$A$1:$I$89,3,0)*0.475*44/12</f>
        <v>2.6780823922232417</v>
      </c>
      <c r="FT24" s="24">
        <f t="shared" si="24"/>
        <v>12.136094639065712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28.214999999999996</v>
      </c>
      <c r="FZ24" s="13">
        <f>IF('Données projet'!$A$244&gt;35,FZ23+FY24-GH23,IF(A24&lt;'Données projet'!$A$244,$FW$205^A24,IF(A24='Données projet'!$A$244,'Données projet'!$B$244,FZ23+FY24-GH23)))</f>
        <v>253.22500000000005</v>
      </c>
      <c r="GA24" s="18">
        <f>FZ24*VLOOKUP('Données projet'!$B$17,Paramètres!$A$1:$I$89,3,0)*VLOOKUP('Données projet'!$B$17,Paramètres!$A$1:$I$89,5,0)</f>
        <v>111.92545000000003</v>
      </c>
      <c r="GB24" s="14">
        <f t="shared" si="49"/>
        <v>29.784176441730949</v>
      </c>
      <c r="GC24" s="22">
        <f t="shared" si="25"/>
        <v>246.81093271934807</v>
      </c>
      <c r="GD24" s="62">
        <f t="shared" si="26"/>
        <v>465.66846109522248</v>
      </c>
      <c r="GE24" s="62">
        <f ca="1">AVERAGE(OFFSET($GD$3,0,0,'Données projet'!$E$17+1,1))-AVERAGE(OFFSET($H$3,0,0,'Données projet'!$E$17+1,1))</f>
        <v>325.67421864225201</v>
      </c>
      <c r="GF24" s="62">
        <f t="shared" si="50"/>
        <v>542.01920418736745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50.837326004711272</v>
      </c>
      <c r="GN24" s="23">
        <f>EXP(-LN(2)/2)*GN23+(1-EXP(-LN(2)/2))/(LN(2)/2)*GH24*GK24*VLOOKUP('Données projet'!$B$17,Paramètres!$A$1:$I$89,3,0)*0.475*44/12</f>
        <v>10.154961996766577</v>
      </c>
      <c r="GO24" s="23">
        <f t="shared" si="27"/>
        <v>60.992288001477846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1.2476666666666667</v>
      </c>
      <c r="GU24" s="13">
        <f>IF('Données projet'!$A$270&gt;35,GU23+GT24-HC23,IF(A24&lt;'Données projet'!$A$270,$GR$205^A24,IF(A24='Données projet'!$A$270,'Données projet'!$B$270,GU23+GT24-HC23)))</f>
        <v>12.625653867954494</v>
      </c>
      <c r="GV24" s="18">
        <f>GU24*VLOOKUP('Données projet'!$B$18,Paramètres!$A$1:$I$89,3,0)*VLOOKUP('Données projet'!$B$18,Paramètres!$A$1:$I$89,5,0)</f>
        <v>12.802413022105858</v>
      </c>
      <c r="GW24" s="14">
        <f t="shared" si="51"/>
        <v>4.3848539180827801</v>
      </c>
      <c r="GX24" s="22">
        <f t="shared" si="28"/>
        <v>29.93448992082855</v>
      </c>
      <c r="GY24" s="62">
        <f t="shared" si="29"/>
        <v>248.79201829670293</v>
      </c>
      <c r="GZ24" s="62">
        <f ca="1">AVERAGE(OFFSET($GY$3,0,0,'Données projet'!$E$18+1,1))-AVERAGE(OFFSET($H$3,0,0,'Données projet'!$E$18+1,1))</f>
        <v>220.89224520315713</v>
      </c>
      <c r="HA24" s="62">
        <f t="shared" si="52"/>
        <v>141.82763623159096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1.2492000000000001</v>
      </c>
      <c r="N25" s="14">
        <f>IF('Données projet'!$A$36&gt;35,N24+M25-V24,IF(A25&lt;'Données projet'!$A$36,$K$205^A25,IF(A25='Données projet'!$A$36,'Données projet'!$B$36,N24+M25-V24)))</f>
        <v>20.664425991636012</v>
      </c>
      <c r="O25" s="14">
        <f>N25*VLOOKUP('Données projet'!$B$9,Paramètres!$A$1:$I$89,3,0)*VLOOKUP('Données projet'!$B$9,Paramètres!$A$1:$I$89,5,0)</f>
        <v>19.986632819110351</v>
      </c>
      <c r="P25" s="14">
        <f t="shared" si="33"/>
        <v>6.4995846666322974</v>
      </c>
      <c r="Q25" s="22">
        <f t="shared" si="2"/>
        <v>46.130162121001781</v>
      </c>
      <c r="R25" s="62">
        <f t="shared" si="0"/>
        <v>267.3110760244702</v>
      </c>
      <c r="S25" s="62">
        <f ca="1">AVERAGE(OFFSET($R$3,0,0,'Données projet'!$E$9+1,1))-AVERAGE(OFFSET($H$3,0,0,'Données projet'!$E$9+1,1))</f>
        <v>84.959354125980269</v>
      </c>
      <c r="T25" s="62">
        <f t="shared" si="34"/>
        <v>89.658970210276806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4.298</v>
      </c>
      <c r="AI25" s="14">
        <f>IF('Données projet'!$A$62&gt;35,AI24+AH25-AQ24,IF(A25&lt;'Données projet'!$A$62,$AF$205^A25,IF(A25='Données projet'!$A$62,'Données projet'!$B$62,AI24+AH25-AQ24)))</f>
        <v>33.725999999999999</v>
      </c>
      <c r="AJ25" s="14">
        <f>AI25*VLOOKUP('Données projet'!$B$10,Paramètres!$A$1:$I$89,3,0)*VLOOKUP('Données projet'!$B$10,Paramètres!$A$1:$I$89,5,0)</f>
        <v>32.093661599999997</v>
      </c>
      <c r="AK25" s="14">
        <f t="shared" si="35"/>
        <v>9.8769790137184916</v>
      </c>
      <c r="AL25" s="22">
        <f t="shared" si="4"/>
        <v>73.098865735559698</v>
      </c>
      <c r="AM25" s="62">
        <f t="shared" si="5"/>
        <v>294.27977963902811</v>
      </c>
      <c r="AN25" s="62">
        <f ca="1">AVERAGE(OFFSET($AM$3,0,0,'Données projet'!$E$10+1,1))-AVERAGE(OFFSET($H$3,0,0,'Données projet'!$E$10+1,1))</f>
        <v>592.76231355549089</v>
      </c>
      <c r="AO25" s="62">
        <f t="shared" si="36"/>
        <v>200.66895551079014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6.769865998016197</v>
      </c>
      <c r="AX25" s="23">
        <f t="shared" si="6"/>
        <v>6.769865998016197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1.7753333333333332</v>
      </c>
      <c r="BD25" s="13">
        <f>IF('Données projet'!$A$88&gt;35,BD24+BC25-BL24,IF(A25&lt;'Données projet'!$A$88,$BA$205^A25,IF(A25='Données projet'!$A$88,'Données projet'!$B$88,BD24+BC25-BL24)))</f>
        <v>18.451323314597762</v>
      </c>
      <c r="BE25" s="14">
        <f>BD25*VLOOKUP('Données projet'!$B$11,Paramètres!$A$1:$I$89,3,0)*VLOOKUP('Données projet'!$B$11,Paramètres!$A$1:$I$89,5,0)</f>
        <v>16.694757335048056</v>
      </c>
      <c r="BF25" s="14">
        <f t="shared" si="37"/>
        <v>5.5440080315982225</v>
      </c>
      <c r="BG25" s="22">
        <f t="shared" si="7"/>
        <v>38.73251634690893</v>
      </c>
      <c r="BH25" s="62">
        <f t="shared" si="8"/>
        <v>259.9134302503773</v>
      </c>
      <c r="BI25" s="62">
        <f ca="1">AVERAGE(OFFSET($BH$3,0,0,'Données projet'!$E$11+1,1))-AVERAGE(OFFSET($H$3,0,0,'Données projet'!$E$11+1,1))</f>
        <v>316.71836722354374</v>
      </c>
      <c r="BJ25" s="62">
        <f t="shared" si="38"/>
        <v>164.34067012996618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6.9720000000000004</v>
      </c>
      <c r="BY25" s="13">
        <f>IF('Données projet'!$A$114&gt;35,BY24+BX25-CG24,IF(A25&lt;'Données projet'!$A$114,$BV$205^A25,IF(A25='Données projet'!$A$114,'Données projet'!$B$114,BY24+BX25-CG24)))</f>
        <v>73.933999999999997</v>
      </c>
      <c r="BZ25" s="14">
        <f>BY25*VLOOKUP('Données projet'!$B$12,Paramètres!$A$1:$I$89,3,0)*VLOOKUP('Données projet'!$B$12,Paramètres!$A$1:$I$89,5,0)</f>
        <v>84.196039199999987</v>
      </c>
      <c r="CA25" s="14">
        <f t="shared" si="39"/>
        <v>23.160065168920966</v>
      </c>
      <c r="CB25" s="22">
        <f t="shared" si="10"/>
        <v>186.97854844253732</v>
      </c>
      <c r="CC25" s="62">
        <f t="shared" si="11"/>
        <v>408.15946234600574</v>
      </c>
      <c r="CD25" s="62">
        <f ca="1">AVERAGE(OFFSET($CC$3,0,0,'Données projet'!$E$12+1,1))-AVERAGE(OFFSET($H$3,0,0,'Données projet'!$E$12+1,1))</f>
        <v>454.9779384236806</v>
      </c>
      <c r="CE25" s="62">
        <f t="shared" si="40"/>
        <v>379.32753348721906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0.4772355999366969</v>
      </c>
      <c r="CN25" s="24">
        <f t="shared" si="12"/>
        <v>0.4772355999366969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8.8000000000000007</v>
      </c>
      <c r="CT25" s="13">
        <f>IF('Données projet'!$A$140&gt;35,CT24+CS25-DB24,IF(A25&lt;'Données projet'!$A$140,$CQ$205^A25,IF(A25='Données projet'!$A$140,'Données projet'!$B$140,CT24+CS25-DB24)))</f>
        <v>74.77</v>
      </c>
      <c r="CU25" s="18">
        <f>CT25*VLOOKUP('Données projet'!$B$13,Paramètres!$A$1:$I$89,3,0)*VLOOKUP('Données projet'!$B$13,Paramètres!$A$1:$I$89,5,0)</f>
        <v>58.320599999999999</v>
      </c>
      <c r="CV25" s="14">
        <f t="shared" si="41"/>
        <v>16.742964998893655</v>
      </c>
      <c r="CW25" s="22">
        <f t="shared" si="13"/>
        <v>130.73570903973979</v>
      </c>
      <c r="CX25" s="62">
        <f t="shared" si="14"/>
        <v>351.91662294320815</v>
      </c>
      <c r="CY25" s="62">
        <f ca="1">AVERAGE(OFFSET($CX$3,0,0,'Données projet'!$E$13+1,1))-AVERAGE(OFFSET($H$3,0,0,'Données projet'!$E$13+1,1))</f>
        <v>252.10592533338991</v>
      </c>
      <c r="CZ25" s="62">
        <f t="shared" si="42"/>
        <v>272.71831345325313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4.2081677802166162</v>
      </c>
      <c r="DI25" s="24">
        <f t="shared" si="15"/>
        <v>4.2081677802166162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13.388</v>
      </c>
      <c r="DO25" s="13">
        <f>IF('Données projet'!$A$166&gt;35,DO24+DN25-DW24,IF(A25&lt;'Données projet'!$A$166,$DL$205^A25,IF(A25='Données projet'!$A$166,'Données projet'!$B$166,DO24+DN25-DW24)))</f>
        <v>82.706000000000017</v>
      </c>
      <c r="DP25" s="18">
        <f>DO25*VLOOKUP('Données projet'!$B$14,Paramètres!$A$1:$I$89,3,0)*VLOOKUP('Données projet'!$B$14,Paramètres!$A$1:$I$89,5,0)</f>
        <v>49.458188000000014</v>
      </c>
      <c r="DQ25" s="14">
        <f t="shared" si="43"/>
        <v>14.473745747244163</v>
      </c>
      <c r="DR25" s="22">
        <f t="shared" si="16"/>
        <v>111.34811794311695</v>
      </c>
      <c r="DS25" s="62">
        <f t="shared" si="17"/>
        <v>332.52903184658533</v>
      </c>
      <c r="DT25" s="62">
        <f ca="1">AVERAGE(OFFSET($DS$3,0,0,'Données projet'!$E$14+1,1))-AVERAGE(OFFSET($H$3,0,0,'Données projet'!$E$14+1,1))</f>
        <v>423.0896575168394</v>
      </c>
      <c r="DU25" s="62">
        <f t="shared" si="44"/>
        <v>305.98537395014284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6.6302960518400198</v>
      </c>
      <c r="EC25" s="23">
        <f>EXP(-LN(2)/2)*EC24+(1-EXP(-LN(2)/2))/(LN(2)/2)*DW25*DZ25*VLOOKUP('Données projet'!$B$14,Paramètres!$A$1:$I$89,3,0)*0.475*44/12</f>
        <v>2.224191092229916</v>
      </c>
      <c r="ED25" s="24">
        <f t="shared" si="18"/>
        <v>8.8544871440699353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17.558</v>
      </c>
      <c r="EJ25" s="13">
        <f>IF('Données projet'!$A$192&gt;35,EJ24+EI25-ER24,IF(A25&lt;'Données projet'!$A$192,$EG$205^A25,IF(A25='Données projet'!$A$192,'Données projet'!$B$192,EJ24+EI25-ER24)))</f>
        <v>110.43600000000001</v>
      </c>
      <c r="EK25" s="18">
        <f>EJ25*VLOOKUP('Données projet'!$B$15,Paramètres!$A$1:$I$89,3,0)*VLOOKUP('Données projet'!$B$15,Paramètres!$A$1:$I$89,5,0)</f>
        <v>66.040728000000001</v>
      </c>
      <c r="EL25" s="14">
        <f t="shared" si="45"/>
        <v>18.686923915528325</v>
      </c>
      <c r="EM25" s="22">
        <f t="shared" si="19"/>
        <v>147.56732708621183</v>
      </c>
      <c r="EN25" s="62">
        <f t="shared" si="20"/>
        <v>368.7482409896802</v>
      </c>
      <c r="EO25" s="62">
        <f ca="1">AVERAGE(OFFSET($EN$3,0,0,'Données projet'!$E$15+1,1))-AVERAGE(OFFSET($H$3,0,0,'Données projet'!$E$15+1,1))</f>
        <v>281.21543175875604</v>
      </c>
      <c r="EP25" s="62">
        <f t="shared" si="46"/>
        <v>366.68536296857428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2.3096708620970872</v>
      </c>
      <c r="EX25" s="23">
        <f>EXP(-LN(2)/2)*EX24+(1-EXP(-LN(2)/2))/(LN(2)/2)*ER25*EU25*VLOOKUP('Données projet'!$B$15,Paramètres!$A$1:$I$89,3,0)*0.475*44/12</f>
        <v>3.941683069070514</v>
      </c>
      <c r="EY25" s="24">
        <f t="shared" si="21"/>
        <v>6.2513539311676016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11.022</v>
      </c>
      <c r="FE25" s="13">
        <f>IF('Données projet'!$A$218&gt;35,FE24+FD25-FM24,IF(A25&lt;'Données projet'!$A$218,$FB$205^A25,IF(A25='Données projet'!$A$218,'Données projet'!$B$218,FE24+FD25-FM24)))</f>
        <v>83.894000000000005</v>
      </c>
      <c r="FF25" s="18">
        <f>FE25*VLOOKUP('Données projet'!$B$16,Paramètres!$A$1:$I$89,3,0)*VLOOKUP('Données projet'!$B$16,Paramètres!$A$1:$I$89,5,0)</f>
        <v>46.896746000000007</v>
      </c>
      <c r="FG25" s="14">
        <f t="shared" si="47"/>
        <v>13.809366727196132</v>
      </c>
      <c r="FH25" s="22">
        <f t="shared" si="22"/>
        <v>105.72981299986661</v>
      </c>
      <c r="FI25" s="62">
        <f t="shared" si="23"/>
        <v>326.91072690333499</v>
      </c>
      <c r="FJ25" s="62">
        <f ca="1">AVERAGE(OFFSET($FI$3,0,0,'Données projet'!$E$16+1,1))-AVERAGE(OFFSET($H$3,0,0,'Données projet'!$E$16+1,1))</f>
        <v>280.9225643428145</v>
      </c>
      <c r="FK25" s="62">
        <f t="shared" si="48"/>
        <v>236.89414218053955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9.1993824045773156</v>
      </c>
      <c r="FS25" s="23">
        <f>EXP(-LN(2)/2)*FS24+(1-EXP(-LN(2)/2))/(LN(2)/2)*FM25*FP25*VLOOKUP('Données projet'!$B$16,Paramètres!$A$1:$I$89,3,0)*0.475*44/12</f>
        <v>1.8936902201173456</v>
      </c>
      <c r="FT25" s="24">
        <f t="shared" si="24"/>
        <v>11.093072624694662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28.214999999999996</v>
      </c>
      <c r="FZ25" s="13">
        <f>IF('Données projet'!$A$244&gt;35,FZ24+FY25-GH24,IF(A25&lt;'Données projet'!$A$244,$FW$205^A25,IF(A25='Données projet'!$A$244,'Données projet'!$B$244,FZ24+FY25-GH24)))</f>
        <v>281.44000000000005</v>
      </c>
      <c r="GA25" s="18">
        <f>FZ25*VLOOKUP('Données projet'!$B$17,Paramètres!$A$1:$I$89,3,0)*VLOOKUP('Données projet'!$B$17,Paramètres!$A$1:$I$89,5,0)</f>
        <v>124.39648000000004</v>
      </c>
      <c r="GB25" s="14">
        <f t="shared" si="49"/>
        <v>32.698248833515386</v>
      </c>
      <c r="GC25" s="22">
        <f t="shared" si="25"/>
        <v>273.60665271837269</v>
      </c>
      <c r="GD25" s="62">
        <f t="shared" si="26"/>
        <v>494.78756662184105</v>
      </c>
      <c r="GE25" s="62">
        <f ca="1">AVERAGE(OFFSET($GD$3,0,0,'Données projet'!$E$17+1,1))-AVERAGE(OFFSET($H$3,0,0,'Données projet'!$E$17+1,1))</f>
        <v>325.67421864225201</v>
      </c>
      <c r="GF25" s="62">
        <f t="shared" si="50"/>
        <v>542.01920418736745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49.44717665169366</v>
      </c>
      <c r="GN25" s="23">
        <f>EXP(-LN(2)/2)*GN24+(1-EXP(-LN(2)/2))/(LN(2)/2)*GH25*GK25*VLOOKUP('Données projet'!$B$17,Paramètres!$A$1:$I$89,3,0)*0.475*44/12</f>
        <v>7.1806424906053303</v>
      </c>
      <c r="GO25" s="23">
        <f t="shared" si="27"/>
        <v>56.627819142298989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1.2476666666666667</v>
      </c>
      <c r="GU25" s="13">
        <f>IF('Données projet'!$A$270&gt;35,GU24+GT25-HC24,IF(A25&lt;'Données projet'!$A$270,$GR$205^A25,IF(A25='Données projet'!$A$270,'Données projet'!$B$270,GU24+GT25-HC24)))</f>
        <v>14.246052480211699</v>
      </c>
      <c r="GV25" s="18">
        <f>GU25*VLOOKUP('Données projet'!$B$18,Paramètres!$A$1:$I$89,3,0)*VLOOKUP('Données projet'!$B$18,Paramètres!$A$1:$I$89,5,0)</f>
        <v>14.445497214934662</v>
      </c>
      <c r="GW25" s="14">
        <f t="shared" si="51"/>
        <v>4.8785605248807133</v>
      </c>
      <c r="GX25" s="22">
        <f t="shared" si="28"/>
        <v>33.656067230178444</v>
      </c>
      <c r="GY25" s="62">
        <f t="shared" si="29"/>
        <v>254.83698113364684</v>
      </c>
      <c r="GZ25" s="62">
        <f ca="1">AVERAGE(OFFSET($GY$3,0,0,'Données projet'!$E$18+1,1))-AVERAGE(OFFSET($H$3,0,0,'Données projet'!$E$18+1,1))</f>
        <v>220.89224520315713</v>
      </c>
      <c r="HA25" s="62">
        <f t="shared" si="52"/>
        <v>141.82763623159096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1.2492000000000001</v>
      </c>
      <c r="N26" s="14">
        <f>IF('Données projet'!$A$36&gt;35,N25+M26-V25,IF(A26&lt;'Données projet'!$A$36,$K$205^A26,IF(A26='Données projet'!$A$36,'Données projet'!$B$36,N25+M26-V25)))</f>
        <v>23.714076988942285</v>
      </c>
      <c r="O26" s="14">
        <f>N26*VLOOKUP('Données projet'!$B$9,Paramètres!$A$1:$I$89,3,0)*VLOOKUP('Données projet'!$B$9,Paramètres!$A$1:$I$89,5,0)</f>
        <v>22.936255263704979</v>
      </c>
      <c r="P26" s="14">
        <f t="shared" si="33"/>
        <v>7.3402315088855499</v>
      </c>
      <c r="Q26" s="22">
        <f t="shared" si="2"/>
        <v>52.731547795595169</v>
      </c>
      <c r="R26" s="62">
        <f t="shared" si="0"/>
        <v>276.21674450514166</v>
      </c>
      <c r="S26" s="62">
        <f ca="1">AVERAGE(OFFSET($R$3,0,0,'Données projet'!$E$9+1,1))-AVERAGE(OFFSET($H$3,0,0,'Données projet'!$E$9+1,1))</f>
        <v>84.959354125980269</v>
      </c>
      <c r="T26" s="62">
        <f t="shared" si="34"/>
        <v>89.658970210276806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4.298</v>
      </c>
      <c r="AI26" s="14">
        <f>IF('Données projet'!$A$62&gt;35,AI25+AH26-AQ25,IF(A26&lt;'Données projet'!$A$62,$AF$205^A26,IF(A26='Données projet'!$A$62,'Données projet'!$B$62,AI25+AH26-AQ25)))</f>
        <v>38.024000000000001</v>
      </c>
      <c r="AJ26" s="14">
        <f>AI26*VLOOKUP('Données projet'!$B$10,Paramètres!$A$1:$I$89,3,0)*VLOOKUP('Données projet'!$B$10,Paramètres!$A$1:$I$89,5,0)</f>
        <v>36.1836384</v>
      </c>
      <c r="AK26" s="14">
        <f t="shared" si="35"/>
        <v>10.981292898266956</v>
      </c>
      <c r="AL26" s="22">
        <f t="shared" si="4"/>
        <v>82.145588677814942</v>
      </c>
      <c r="AM26" s="62">
        <f t="shared" si="5"/>
        <v>305.63078538736147</v>
      </c>
      <c r="AN26" s="62">
        <f ca="1">AVERAGE(OFFSET($AM$3,0,0,'Données projet'!$E$10+1,1))-AVERAGE(OFFSET($H$3,0,0,'Données projet'!$E$10+1,1))</f>
        <v>592.76231355549089</v>
      </c>
      <c r="AO26" s="62">
        <f t="shared" si="36"/>
        <v>200.66895551079014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4.7870181549214879</v>
      </c>
      <c r="AX26" s="23">
        <f t="shared" si="6"/>
        <v>4.7870181549214879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1.7753333333333332</v>
      </c>
      <c r="BD26" s="13">
        <f>IF('Données projet'!$A$88&gt;35,BD25+BC26-BL25,IF(A26&lt;'Données projet'!$A$88,$BA$205^A26,IF(A26='Données projet'!$A$88,'Données projet'!$B$88,BD25+BC26-BL25)))</f>
        <v>21.065618959140131</v>
      </c>
      <c r="BE26" s="14">
        <f>BD26*VLOOKUP('Données projet'!$B$11,Paramètres!$A$1:$I$89,3,0)*VLOOKUP('Données projet'!$B$11,Paramètres!$A$1:$I$89,5,0)</f>
        <v>19.060172034229989</v>
      </c>
      <c r="BF26" s="14">
        <f t="shared" si="37"/>
        <v>6.232641106225735</v>
      </c>
      <c r="BG26" s="22">
        <f t="shared" si="7"/>
        <v>44.051649552960384</v>
      </c>
      <c r="BH26" s="62">
        <f t="shared" si="8"/>
        <v>267.53684626250686</v>
      </c>
      <c r="BI26" s="62">
        <f ca="1">AVERAGE(OFFSET($BH$3,0,0,'Données projet'!$E$11+1,1))-AVERAGE(OFFSET($H$3,0,0,'Données projet'!$E$11+1,1))</f>
        <v>316.71836722354374</v>
      </c>
      <c r="BJ26" s="62">
        <f t="shared" si="38"/>
        <v>164.34067012996618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6.9720000000000004</v>
      </c>
      <c r="BY26" s="13">
        <f>IF('Données projet'!$A$114&gt;35,BY25+BX26-CG25,IF(A26&lt;'Données projet'!$A$114,$BV$205^A26,IF(A26='Données projet'!$A$114,'Données projet'!$B$114,BY25+BX26-CG25)))</f>
        <v>80.905999999999992</v>
      </c>
      <c r="BZ26" s="14">
        <f>BY26*VLOOKUP('Données projet'!$B$12,Paramètres!$A$1:$I$89,3,0)*VLOOKUP('Données projet'!$B$12,Paramètres!$A$1:$I$89,5,0)</f>
        <v>92.135752799999992</v>
      </c>
      <c r="CA26" s="14">
        <f t="shared" si="39"/>
        <v>25.079611940948457</v>
      </c>
      <c r="CB26" s="22">
        <f t="shared" si="10"/>
        <v>204.1500935904852</v>
      </c>
      <c r="CC26" s="62">
        <f t="shared" si="11"/>
        <v>427.63529030003167</v>
      </c>
      <c r="CD26" s="62">
        <f ca="1">AVERAGE(OFFSET($CC$3,0,0,'Données projet'!$E$12+1,1))-AVERAGE(OFFSET($H$3,0,0,'Données projet'!$E$12+1,1))</f>
        <v>454.9779384236806</v>
      </c>
      <c r="CE26" s="62">
        <f t="shared" si="40"/>
        <v>379.32753348721906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0.33745652893886868</v>
      </c>
      <c r="CN26" s="24">
        <f t="shared" si="12"/>
        <v>0.33745652893886868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8.8000000000000007</v>
      </c>
      <c r="CT26" s="13">
        <f>IF('Données projet'!$A$140&gt;35,CT25+CS26-DB25,IF(A26&lt;'Données projet'!$A$140,$CQ$205^A26,IF(A26='Données projet'!$A$140,'Données projet'!$B$140,CT25+CS26-DB25)))</f>
        <v>83.57</v>
      </c>
      <c r="CU26" s="18">
        <f>CT26*VLOOKUP('Données projet'!$B$13,Paramètres!$A$1:$I$89,3,0)*VLOOKUP('Données projet'!$B$13,Paramètres!$A$1:$I$89,5,0)</f>
        <v>65.184600000000003</v>
      </c>
      <c r="CV26" s="14">
        <f t="shared" si="41"/>
        <v>18.472709097864691</v>
      </c>
      <c r="CW26" s="22">
        <f t="shared" si="13"/>
        <v>145.70314667878102</v>
      </c>
      <c r="CX26" s="62">
        <f t="shared" si="14"/>
        <v>369.18834338832755</v>
      </c>
      <c r="CY26" s="62">
        <f ca="1">AVERAGE(OFFSET($CX$3,0,0,'Données projet'!$E$13+1,1))-AVERAGE(OFFSET($H$3,0,0,'Données projet'!$E$13+1,1))</f>
        <v>252.10592533338991</v>
      </c>
      <c r="CZ26" s="62">
        <f t="shared" si="42"/>
        <v>272.71831345325313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2.9756239737619103</v>
      </c>
      <c r="DI26" s="24">
        <f t="shared" si="15"/>
        <v>2.9756239737619103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13.388</v>
      </c>
      <c r="DO26" s="13">
        <f>IF('Données projet'!$A$166&gt;35,DO25+DN26-DW25,IF(A26&lt;'Données projet'!$A$166,$DL$205^A26,IF(A26='Données projet'!$A$166,'Données projet'!$B$166,DO25+DN26-DW25)))</f>
        <v>96.094000000000023</v>
      </c>
      <c r="DP26" s="18">
        <f>DO26*VLOOKUP('Données projet'!$B$14,Paramètres!$A$1:$I$89,3,0)*VLOOKUP('Données projet'!$B$14,Paramètres!$A$1:$I$89,5,0)</f>
        <v>57.464212000000025</v>
      </c>
      <c r="DQ26" s="14">
        <f t="shared" si="43"/>
        <v>16.525539885277713</v>
      </c>
      <c r="DR26" s="22">
        <f t="shared" si="16"/>
        <v>128.8654845335254</v>
      </c>
      <c r="DS26" s="62">
        <f t="shared" si="17"/>
        <v>352.3506812430719</v>
      </c>
      <c r="DT26" s="62">
        <f ca="1">AVERAGE(OFFSET($DS$3,0,0,'Données projet'!$E$14+1,1))-AVERAGE(OFFSET($H$3,0,0,'Données projet'!$E$14+1,1))</f>
        <v>423.0896575168394</v>
      </c>
      <c r="DU26" s="62">
        <f t="shared" si="44"/>
        <v>305.98537395014284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6.4489902576303386</v>
      </c>
      <c r="EC26" s="23">
        <f>EXP(-LN(2)/2)*EC25+(1-EXP(-LN(2)/2))/(LN(2)/2)*DW26*DZ26*VLOOKUP('Données projet'!$B$14,Paramètres!$A$1:$I$89,3,0)*0.475*44/12</f>
        <v>1.5727406039704874</v>
      </c>
      <c r="ED26" s="24">
        <f t="shared" si="18"/>
        <v>8.021730861600826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17.558</v>
      </c>
      <c r="EJ26" s="13">
        <f>IF('Données projet'!$A$192&gt;35,EJ25+EI26-ER25,IF(A26&lt;'Données projet'!$A$192,$EG$205^A26,IF(A26='Données projet'!$A$192,'Données projet'!$B$192,EJ25+EI26-ER25)))</f>
        <v>127.994</v>
      </c>
      <c r="EK26" s="18">
        <f>EJ26*VLOOKUP('Données projet'!$B$15,Paramètres!$A$1:$I$89,3,0)*VLOOKUP('Données projet'!$B$15,Paramètres!$A$1:$I$89,5,0)</f>
        <v>76.540412000000003</v>
      </c>
      <c r="EL26" s="14">
        <f t="shared" si="45"/>
        <v>21.289132838817341</v>
      </c>
      <c r="EM26" s="22">
        <f t="shared" si="19"/>
        <v>170.3864572609402</v>
      </c>
      <c r="EN26" s="62">
        <f t="shared" si="20"/>
        <v>393.8716539704867</v>
      </c>
      <c r="EO26" s="62">
        <f ca="1">AVERAGE(OFFSET($EN$3,0,0,'Données projet'!$E$15+1,1))-AVERAGE(OFFSET($H$3,0,0,'Données projet'!$E$15+1,1))</f>
        <v>281.21543175875604</v>
      </c>
      <c r="EP26" s="62">
        <f t="shared" si="46"/>
        <v>366.68536296857428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2.2465127909127305</v>
      </c>
      <c r="EX26" s="23">
        <f>EXP(-LN(2)/2)*EX25+(1-EXP(-LN(2)/2))/(LN(2)/2)*ER26*EU26*VLOOKUP('Données projet'!$B$15,Paramètres!$A$1:$I$89,3,0)*0.475*44/12</f>
        <v>2.7871908274279633</v>
      </c>
      <c r="EY26" s="24">
        <f t="shared" si="21"/>
        <v>5.0337036183406934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11.022</v>
      </c>
      <c r="FE26" s="13">
        <f>IF('Données projet'!$A$218&gt;35,FE25+FD26-FM25,IF(A26&lt;'Données projet'!$A$218,$FB$205^A26,IF(A26='Données projet'!$A$218,'Données projet'!$B$218,FE25+FD26-FM25)))</f>
        <v>94.916000000000011</v>
      </c>
      <c r="FF26" s="18">
        <f>FE26*VLOOKUP('Données projet'!$B$16,Paramètres!$A$1:$I$89,3,0)*VLOOKUP('Données projet'!$B$16,Paramètres!$A$1:$I$89,5,0)</f>
        <v>53.05804400000001</v>
      </c>
      <c r="FG26" s="14">
        <f t="shared" si="47"/>
        <v>15.400763673108109</v>
      </c>
      <c r="FH26" s="22">
        <f t="shared" si="22"/>
        <v>119.2324233639966</v>
      </c>
      <c r="FI26" s="62">
        <f t="shared" si="23"/>
        <v>342.71762007354312</v>
      </c>
      <c r="FJ26" s="62">
        <f ca="1">AVERAGE(OFFSET($FI$3,0,0,'Données projet'!$E$16+1,1))-AVERAGE(OFFSET($H$3,0,0,'Données projet'!$E$16+1,1))</f>
        <v>280.9225643428145</v>
      </c>
      <c r="FK26" s="62">
        <f t="shared" si="48"/>
        <v>236.89414218053955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8.9478248089496546</v>
      </c>
      <c r="FS26" s="23">
        <f>EXP(-LN(2)/2)*FS25+(1-EXP(-LN(2)/2))/(LN(2)/2)*FM26*FP26*VLOOKUP('Données projet'!$B$16,Paramètres!$A$1:$I$89,3,0)*0.475*44/12</f>
        <v>1.3390411961116209</v>
      </c>
      <c r="FT26" s="24">
        <f t="shared" si="24"/>
        <v>10.286866005061276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28.214999999999996</v>
      </c>
      <c r="FZ26" s="13">
        <f>IF('Données projet'!$A$244&gt;35,FZ25+FY26-GH25,IF(A26&lt;'Données projet'!$A$244,$FW$205^A26,IF(A26='Données projet'!$A$244,'Données projet'!$B$244,FZ25+FY26-GH25)))</f>
        <v>309.65500000000003</v>
      </c>
      <c r="GA26" s="18">
        <f>FZ26*VLOOKUP('Données projet'!$B$17,Paramètres!$A$1:$I$89,3,0)*VLOOKUP('Données projet'!$B$17,Paramètres!$A$1:$I$89,5,0)</f>
        <v>136.86751000000004</v>
      </c>
      <c r="GB26" s="14">
        <f t="shared" si="49"/>
        <v>35.578453663490436</v>
      </c>
      <c r="GC26" s="22">
        <f t="shared" si="25"/>
        <v>300.34338671391259</v>
      </c>
      <c r="GD26" s="62">
        <f t="shared" si="26"/>
        <v>523.82858342345912</v>
      </c>
      <c r="GE26" s="62">
        <f ca="1">AVERAGE(OFFSET($GD$3,0,0,'Données projet'!$E$17+1,1))-AVERAGE(OFFSET($H$3,0,0,'Données projet'!$E$17+1,1))</f>
        <v>325.67421864225201</v>
      </c>
      <c r="GF26" s="62">
        <f t="shared" si="50"/>
        <v>542.01920418736745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48.095041005839093</v>
      </c>
      <c r="GN26" s="23">
        <f>EXP(-LN(2)/2)*GN25+(1-EXP(-LN(2)/2))/(LN(2)/2)*GH26*GK26*VLOOKUP('Données projet'!$B$17,Paramètres!$A$1:$I$89,3,0)*0.475*44/12</f>
        <v>5.0774809983832894</v>
      </c>
      <c r="GO26" s="23">
        <f t="shared" si="27"/>
        <v>53.17252200422238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1.2476666666666667</v>
      </c>
      <c r="GU26" s="13">
        <f>IF('Données projet'!$A$270&gt;35,GU25+GT26-HC25,IF(A26&lt;'Données projet'!$A$270,$GR$205^A26,IF(A26='Données projet'!$A$270,'Données projet'!$B$270,GU25+GT26-HC25)))</f>
        <v>16.074415898891274</v>
      </c>
      <c r="GV26" s="18">
        <f>GU26*VLOOKUP('Données projet'!$B$18,Paramètres!$A$1:$I$89,3,0)*VLOOKUP('Données projet'!$B$18,Paramètres!$A$1:$I$89,5,0)</f>
        <v>16.299457721475754</v>
      </c>
      <c r="GW26" s="14">
        <f t="shared" si="51"/>
        <v>5.4278553492451946</v>
      </c>
      <c r="GX26" s="22">
        <f t="shared" si="28"/>
        <v>37.84173693150565</v>
      </c>
      <c r="GY26" s="62">
        <f t="shared" si="29"/>
        <v>261.32693364105216</v>
      </c>
      <c r="GZ26" s="62">
        <f ca="1">AVERAGE(OFFSET($GY$3,0,0,'Données projet'!$E$18+1,1))-AVERAGE(OFFSET($H$3,0,0,'Données projet'!$E$18+1,1))</f>
        <v>220.89224520315713</v>
      </c>
      <c r="HA26" s="62">
        <f t="shared" si="52"/>
        <v>141.82763623159096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1.2492000000000001</v>
      </c>
      <c r="N27" s="14">
        <f>IF('Données projet'!$A$36&gt;35,N26+M27-V26,IF(A27&lt;'Données projet'!$A$36,$K$205^A27,IF(A27='Données projet'!$A$36,'Données projet'!$B$36,N26+M27-V26)))</f>
        <v>27.213794743928421</v>
      </c>
      <c r="O27" s="14">
        <f>N27*VLOOKUP('Données projet'!$B$9,Paramètres!$A$1:$I$89,3,0)*VLOOKUP('Données projet'!$B$9,Paramètres!$A$1:$I$89,5,0)</f>
        <v>26.321182276327566</v>
      </c>
      <c r="P27" s="14">
        <f t="shared" si="33"/>
        <v>8.2896063929502013</v>
      </c>
      <c r="Q27" s="22">
        <f t="shared" si="2"/>
        <v>60.280456932325443</v>
      </c>
      <c r="R27" s="62">
        <f t="shared" si="0"/>
        <v>286.05116511594525</v>
      </c>
      <c r="S27" s="62">
        <f ca="1">AVERAGE(OFFSET($R$3,0,0,'Données projet'!$E$9+1,1))-AVERAGE(OFFSET($H$3,0,0,'Données projet'!$E$9+1,1))</f>
        <v>84.959354125980269</v>
      </c>
      <c r="T27" s="62">
        <f t="shared" si="34"/>
        <v>89.658970210276806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4.298</v>
      </c>
      <c r="AI27" s="14">
        <f>IF('Données projet'!$A$62&gt;35,AI26+AH27-AQ26,IF(A27&lt;'Données projet'!$A$62,$AF$205^A27,IF(A27='Données projet'!$A$62,'Données projet'!$B$62,AI26+AH27-AQ26)))</f>
        <v>42.322000000000003</v>
      </c>
      <c r="AJ27" s="14">
        <f>AI27*VLOOKUP('Données projet'!$B$10,Paramètres!$A$1:$I$89,3,0)*VLOOKUP('Données projet'!$B$10,Paramètres!$A$1:$I$89,5,0)</f>
        <v>40.273615200000002</v>
      </c>
      <c r="AK27" s="14">
        <f t="shared" si="35"/>
        <v>12.071139847191375</v>
      </c>
      <c r="AL27" s="22">
        <f t="shared" si="4"/>
        <v>91.16711504052499</v>
      </c>
      <c r="AM27" s="62">
        <f t="shared" si="5"/>
        <v>316.93782322414478</v>
      </c>
      <c r="AN27" s="62">
        <f ca="1">AVERAGE(OFFSET($AM$3,0,0,'Données projet'!$E$10+1,1))-AVERAGE(OFFSET($H$3,0,0,'Données projet'!$E$10+1,1))</f>
        <v>592.76231355549089</v>
      </c>
      <c r="AO27" s="62">
        <f t="shared" si="36"/>
        <v>200.66895551079014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3.3849329990080994</v>
      </c>
      <c r="AX27" s="23">
        <f t="shared" si="6"/>
        <v>3.3849329990080994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1.7753333333333332</v>
      </c>
      <c r="BD27" s="13">
        <f>IF('Données projet'!$A$88&gt;35,BD26+BC27-BL26,IF(A27&lt;'Données projet'!$A$88,$BA$205^A27,IF(A27='Données projet'!$A$88,'Données projet'!$B$88,BD26+BC27-BL26)))</f>
        <v>24.050323901733545</v>
      </c>
      <c r="BE27" s="14">
        <f>BD27*VLOOKUP('Données projet'!$B$11,Paramètres!$A$1:$I$89,3,0)*VLOOKUP('Données projet'!$B$11,Paramètres!$A$1:$I$89,5,0)</f>
        <v>21.760733066288513</v>
      </c>
      <c r="BF27" s="14">
        <f t="shared" si="37"/>
        <v>7.0068107653545919</v>
      </c>
      <c r="BG27" s="22">
        <f t="shared" si="7"/>
        <v>50.103472173445063</v>
      </c>
      <c r="BH27" s="62">
        <f t="shared" si="8"/>
        <v>275.87418035706486</v>
      </c>
      <c r="BI27" s="62">
        <f ca="1">AVERAGE(OFFSET($BH$3,0,0,'Données projet'!$E$11+1,1))-AVERAGE(OFFSET($H$3,0,0,'Données projet'!$E$11+1,1))</f>
        <v>316.71836722354374</v>
      </c>
      <c r="BJ27" s="62">
        <f t="shared" si="38"/>
        <v>164.34067012996618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6.9720000000000004</v>
      </c>
      <c r="BY27" s="13">
        <f>IF('Données projet'!$A$114&gt;35,BY26+BX27-CG26,IF(A27&lt;'Données projet'!$A$114,$BV$205^A27,IF(A27='Données projet'!$A$114,'Données projet'!$B$114,BY26+BX27-CG26)))</f>
        <v>87.877999999999986</v>
      </c>
      <c r="BZ27" s="14">
        <f>BY27*VLOOKUP('Données projet'!$B$12,Paramètres!$A$1:$I$89,3,0)*VLOOKUP('Données projet'!$B$12,Paramètres!$A$1:$I$89,5,0)</f>
        <v>100.0754664</v>
      </c>
      <c r="CA27" s="14">
        <f t="shared" si="39"/>
        <v>26.979975588060306</v>
      </c>
      <c r="CB27" s="22">
        <f t="shared" si="10"/>
        <v>221.28822812920498</v>
      </c>
      <c r="CC27" s="62">
        <f t="shared" si="11"/>
        <v>447.05893631282481</v>
      </c>
      <c r="CD27" s="62">
        <f ca="1">AVERAGE(OFFSET($CC$3,0,0,'Données projet'!$E$12+1,1))-AVERAGE(OFFSET($H$3,0,0,'Données projet'!$E$12+1,1))</f>
        <v>454.9779384236806</v>
      </c>
      <c r="CE27" s="62">
        <f t="shared" si="40"/>
        <v>379.32753348721906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0.23861779996834848</v>
      </c>
      <c r="CN27" s="24">
        <f t="shared" si="12"/>
        <v>0.23861779996834848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8.8000000000000007</v>
      </c>
      <c r="CT27" s="13">
        <f>IF('Données projet'!$A$140&gt;35,CT26+CS27-DB26,IF(A27&lt;'Données projet'!$A$140,$CQ$205^A27,IF(A27='Données projet'!$A$140,'Données projet'!$B$140,CT26+CS27-DB26)))</f>
        <v>92.36999999999999</v>
      </c>
      <c r="CU27" s="18">
        <f>CT27*VLOOKUP('Données projet'!$B$13,Paramètres!$A$1:$I$89,3,0)*VLOOKUP('Données projet'!$B$13,Paramètres!$A$1:$I$89,5,0)</f>
        <v>72.048599999999993</v>
      </c>
      <c r="CV27" s="14">
        <f t="shared" si="41"/>
        <v>20.181339928527439</v>
      </c>
      <c r="CW27" s="22">
        <f t="shared" si="13"/>
        <v>160.63381204218527</v>
      </c>
      <c r="CX27" s="62">
        <f t="shared" si="14"/>
        <v>386.40452022580507</v>
      </c>
      <c r="CY27" s="62">
        <f ca="1">AVERAGE(OFFSET($CX$3,0,0,'Données projet'!$E$13+1,1))-AVERAGE(OFFSET($H$3,0,0,'Données projet'!$E$13+1,1))</f>
        <v>252.10592533338991</v>
      </c>
      <c r="CZ27" s="62">
        <f t="shared" si="42"/>
        <v>272.71831345325313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2.1040838901083081</v>
      </c>
      <c r="DI27" s="24">
        <f t="shared" si="15"/>
        <v>2.1040838901083081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13.388</v>
      </c>
      <c r="DO27" s="13">
        <f>IF('Données projet'!$A$166&gt;35,DO26+DN27-DW26,IF(A27&lt;'Données projet'!$A$166,$DL$205^A27,IF(A27='Données projet'!$A$166,'Données projet'!$B$166,DO26+DN27-DW26)))</f>
        <v>109.48200000000003</v>
      </c>
      <c r="DP27" s="18">
        <f>DO27*VLOOKUP('Données projet'!$B$14,Paramètres!$A$1:$I$89,3,0)*VLOOKUP('Données projet'!$B$14,Paramètres!$A$1:$I$89,5,0)</f>
        <v>65.470236000000014</v>
      </c>
      <c r="DQ27" s="14">
        <f t="shared" si="43"/>
        <v>18.544215288803898</v>
      </c>
      <c r="DR27" s="22">
        <f t="shared" si="16"/>
        <v>146.32516932800016</v>
      </c>
      <c r="DS27" s="62">
        <f t="shared" si="17"/>
        <v>372.09587751161996</v>
      </c>
      <c r="DT27" s="62">
        <f ca="1">AVERAGE(OFFSET($DS$3,0,0,'Données projet'!$E$14+1,1))-AVERAGE(OFFSET($H$3,0,0,'Données projet'!$E$14+1,1))</f>
        <v>423.0896575168394</v>
      </c>
      <c r="DU27" s="62">
        <f t="shared" si="44"/>
        <v>305.98537395014284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6.272642279897779</v>
      </c>
      <c r="EC27" s="23">
        <f>EXP(-LN(2)/2)*EC26+(1-EXP(-LN(2)/2))/(LN(2)/2)*DW27*DZ27*VLOOKUP('Données projet'!$B$14,Paramètres!$A$1:$I$89,3,0)*0.475*44/12</f>
        <v>1.1120955461149582</v>
      </c>
      <c r="ED27" s="24">
        <f t="shared" si="18"/>
        <v>7.3847378260127368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17.558</v>
      </c>
      <c r="EJ27" s="13">
        <f>IF('Données projet'!$A$192&gt;35,EJ26+EI27-ER26,IF(A27&lt;'Données projet'!$A$192,$EG$205^A27,IF(A27='Données projet'!$A$192,'Données projet'!$B$192,EJ26+EI27-ER26)))</f>
        <v>145.55199999999999</v>
      </c>
      <c r="EK27" s="18">
        <f>EJ27*VLOOKUP('Données projet'!$B$15,Paramètres!$A$1:$I$89,3,0)*VLOOKUP('Données projet'!$B$15,Paramètres!$A$1:$I$89,5,0)</f>
        <v>87.040096000000005</v>
      </c>
      <c r="EL27" s="14">
        <f t="shared" si="45"/>
        <v>23.849984029516843</v>
      </c>
      <c r="EM27" s="22">
        <f t="shared" si="19"/>
        <v>193.1335560514085</v>
      </c>
      <c r="EN27" s="62">
        <f t="shared" si="20"/>
        <v>418.90426423502834</v>
      </c>
      <c r="EO27" s="62">
        <f ca="1">AVERAGE(OFFSET($EN$3,0,0,'Données projet'!$E$15+1,1))-AVERAGE(OFFSET($H$3,0,0,'Données projet'!$E$15+1,1))</f>
        <v>281.21543175875604</v>
      </c>
      <c r="EP27" s="62">
        <f t="shared" si="46"/>
        <v>366.68536296857428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2.1850817805062488</v>
      </c>
      <c r="EX27" s="23">
        <f>EXP(-LN(2)/2)*EX26+(1-EXP(-LN(2)/2))/(LN(2)/2)*ER27*EU27*VLOOKUP('Données projet'!$B$15,Paramètres!$A$1:$I$89,3,0)*0.475*44/12</f>
        <v>1.9708415345352572</v>
      </c>
      <c r="EY27" s="24">
        <f t="shared" si="21"/>
        <v>4.1559233150415062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11.022</v>
      </c>
      <c r="FE27" s="13">
        <f>IF('Données projet'!$A$218&gt;35,FE26+FD27-FM26,IF(A27&lt;'Données projet'!$A$218,$FB$205^A27,IF(A27='Données projet'!$A$218,'Données projet'!$B$218,FE26+FD27-FM26)))</f>
        <v>105.93800000000002</v>
      </c>
      <c r="FF27" s="18">
        <f>FE27*VLOOKUP('Données projet'!$B$16,Paramètres!$A$1:$I$89,3,0)*VLOOKUP('Données projet'!$B$16,Paramètres!$A$1:$I$89,5,0)</f>
        <v>59.219342000000012</v>
      </c>
      <c r="FG27" s="14">
        <f t="shared" si="47"/>
        <v>16.970743988503791</v>
      </c>
      <c r="FH27" s="22">
        <f t="shared" si="22"/>
        <v>132.6977330966441</v>
      </c>
      <c r="FI27" s="62">
        <f t="shared" si="23"/>
        <v>358.4684412802639</v>
      </c>
      <c r="FJ27" s="62">
        <f ca="1">AVERAGE(OFFSET($FI$3,0,0,'Données projet'!$E$16+1,1))-AVERAGE(OFFSET($H$3,0,0,'Données projet'!$E$16+1,1))</f>
        <v>280.9225643428145</v>
      </c>
      <c r="FK27" s="62">
        <f t="shared" si="48"/>
        <v>236.89414218053955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8.7031460690032709</v>
      </c>
      <c r="FS27" s="23">
        <f>EXP(-LN(2)/2)*FS26+(1-EXP(-LN(2)/2))/(LN(2)/2)*FM27*FP27*VLOOKUP('Données projet'!$B$16,Paramètres!$A$1:$I$89,3,0)*0.475*44/12</f>
        <v>0.94684511005867278</v>
      </c>
      <c r="FT27" s="24">
        <f t="shared" si="24"/>
        <v>9.6499911790619439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28.214999999999996</v>
      </c>
      <c r="FZ27" s="13">
        <f>IF('Données projet'!$A$244&gt;35,FZ26+FY27-GH26,IF(A27&lt;'Données projet'!$A$244,$FW$205^A27,IF(A27='Données projet'!$A$244,'Données projet'!$B$244,FZ26+FY27-GH26)))</f>
        <v>337.87</v>
      </c>
      <c r="GA27" s="18">
        <f>FZ27*VLOOKUP('Données projet'!$B$17,Paramètres!$A$1:$I$89,3,0)*VLOOKUP('Données projet'!$B$17,Paramètres!$A$1:$I$89,5,0)</f>
        <v>149.33854000000002</v>
      </c>
      <c r="GB27" s="14">
        <f t="shared" si="49"/>
        <v>38.428227819955175</v>
      </c>
      <c r="GC27" s="22">
        <f t="shared" si="25"/>
        <v>327.02712061975529</v>
      </c>
      <c r="GD27" s="62">
        <f t="shared" si="26"/>
        <v>552.79782880337507</v>
      </c>
      <c r="GE27" s="62">
        <f ca="1">AVERAGE(OFFSET($GD$3,0,0,'Données projet'!$E$17+1,1))-AVERAGE(OFFSET($H$3,0,0,'Données projet'!$E$17+1,1))</f>
        <v>325.67421864225201</v>
      </c>
      <c r="GF27" s="62">
        <f t="shared" si="50"/>
        <v>542.01920418736745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46.779879580326138</v>
      </c>
      <c r="GN27" s="23">
        <f>EXP(-LN(2)/2)*GN26+(1-EXP(-LN(2)/2))/(LN(2)/2)*GH27*GK27*VLOOKUP('Données projet'!$B$17,Paramètres!$A$1:$I$89,3,0)*0.475*44/12</f>
        <v>3.5903212453026656</v>
      </c>
      <c r="GO27" s="23">
        <f t="shared" si="27"/>
        <v>50.370200825628807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1.2476666666666667</v>
      </c>
      <c r="GU27" s="13">
        <f>IF('Données projet'!$A$270&gt;35,GU26+GT27-HC26,IF(A27&lt;'Données projet'!$A$270,$GR$205^A27,IF(A27='Données projet'!$A$270,'Données projet'!$B$270,GU26+GT27-HC26)))</f>
        <v>18.137434692834219</v>
      </c>
      <c r="GV27" s="18">
        <f>GU27*VLOOKUP('Données projet'!$B$18,Paramètres!$A$1:$I$89,3,0)*VLOOKUP('Données projet'!$B$18,Paramètres!$A$1:$I$89,5,0)</f>
        <v>18.391358778533899</v>
      </c>
      <c r="GW27" s="14">
        <f t="shared" si="51"/>
        <v>6.0389972702142636</v>
      </c>
      <c r="GX27" s="22">
        <f t="shared" si="28"/>
        <v>42.549536784903047</v>
      </c>
      <c r="GY27" s="62">
        <f t="shared" si="29"/>
        <v>268.32024496852284</v>
      </c>
      <c r="GZ27" s="62">
        <f ca="1">AVERAGE(OFFSET($GY$3,0,0,'Données projet'!$E$18+1,1))-AVERAGE(OFFSET($H$3,0,0,'Données projet'!$E$18+1,1))</f>
        <v>220.89224520315713</v>
      </c>
      <c r="HA27" s="62">
        <f t="shared" si="52"/>
        <v>141.82763623159096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31.23</v>
      </c>
      <c r="L28" s="13">
        <f>VLOOKUP(A28,'Données projet'!$A$35:$I$55,9,0)</f>
        <v>1.2492000000000001</v>
      </c>
      <c r="M28" s="13">
        <f t="array" ref="M28">INDEX(L:L,MIN(IF(ISNUMBER(L28:L224),ROW(L28:L224),"")))</f>
        <v>1.2492000000000001</v>
      </c>
      <c r="N28" s="14">
        <f>IF('Données projet'!$A$36&gt;35,N27+M28-V27,IF(A28&lt;'Données projet'!$A$36,$K$205^A28,IF(A28='Données projet'!$A$36,'Données projet'!$B$36,N27+M28-V27)))</f>
        <v>31.23</v>
      </c>
      <c r="O28" s="14">
        <f>N28*VLOOKUP('Données projet'!$B$9,Paramètres!$A$1:$I$89,3,0)*VLOOKUP('Données projet'!$B$9,Paramètres!$A$1:$I$89,5,0)</f>
        <v>30.205656000000001</v>
      </c>
      <c r="P28" s="14">
        <f t="shared" si="33"/>
        <v>9.3617720458621072</v>
      </c>
      <c r="Q28" s="22">
        <f t="shared" si="2"/>
        <v>68.913270513209838</v>
      </c>
      <c r="R28" s="62">
        <f t="shared" si="0"/>
        <v>296.95104447954196</v>
      </c>
      <c r="S28" s="62">
        <f ca="1">AVERAGE(OFFSET($R$3,0,0,'Données projet'!$E$9+1,1))-AVERAGE(OFFSET($H$3,0,0,'Données projet'!$E$9+1,1))</f>
        <v>84.959354125980269</v>
      </c>
      <c r="T28" s="62">
        <f t="shared" si="34"/>
        <v>89.658970210276806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20.82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7.5999598424831296</v>
      </c>
      <c r="AC28" s="24">
        <f t="shared" si="3"/>
        <v>7.5999598424831296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4.298</v>
      </c>
      <c r="AI28" s="14">
        <f>IF('Données projet'!$A$62&gt;35,AI27+AH28-AQ27,IF(A28&lt;'Données projet'!$A$62,$AF$205^A28,IF(A28='Données projet'!$A$62,'Données projet'!$B$62,AI27+AH28-AQ27)))</f>
        <v>46.620000000000005</v>
      </c>
      <c r="AJ28" s="14">
        <f>AI28*VLOOKUP('Données projet'!$B$10,Paramètres!$A$1:$I$89,3,0)*VLOOKUP('Données projet'!$B$10,Paramètres!$A$1:$I$89,5,0)</f>
        <v>44.363592000000004</v>
      </c>
      <c r="AK28" s="14">
        <f t="shared" si="35"/>
        <v>13.148156332816013</v>
      </c>
      <c r="AL28" s="22">
        <f t="shared" si="4"/>
        <v>100.1662950129879</v>
      </c>
      <c r="AM28" s="62">
        <f t="shared" si="5"/>
        <v>328.20406897932003</v>
      </c>
      <c r="AN28" s="62">
        <f ca="1">AVERAGE(OFFSET($AM$3,0,0,'Données projet'!$E$10+1,1))-AVERAGE(OFFSET($H$3,0,0,'Données projet'!$E$10+1,1))</f>
        <v>592.76231355549089</v>
      </c>
      <c r="AO28" s="62">
        <f t="shared" si="36"/>
        <v>200.66895551079014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2.3935090774607444</v>
      </c>
      <c r="AX28" s="23">
        <f t="shared" si="6"/>
        <v>2.3935090774607444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1.7753333333333332</v>
      </c>
      <c r="BD28" s="13">
        <f>IF('Données projet'!$A$88&gt;35,BD27+BC28-BL27,IF(A28&lt;'Données projet'!$A$88,$BA$205^A28,IF(A28='Données projet'!$A$88,'Données projet'!$B$88,BD27+BC28-BL27)))</f>
        <v>27.457919983278106</v>
      </c>
      <c r="BE28" s="14">
        <f>BD28*VLOOKUP('Données projet'!$B$11,Paramètres!$A$1:$I$89,3,0)*VLOOKUP('Données projet'!$B$11,Paramètres!$A$1:$I$89,5,0)</f>
        <v>24.843926000870031</v>
      </c>
      <c r="BF28" s="14">
        <f t="shared" si="37"/>
        <v>7.8771416907750398</v>
      </c>
      <c r="BG28" s="22">
        <f t="shared" si="7"/>
        <v>56.989192896281821</v>
      </c>
      <c r="BH28" s="62">
        <f t="shared" si="8"/>
        <v>285.0269668626139</v>
      </c>
      <c r="BI28" s="62">
        <f ca="1">AVERAGE(OFFSET($BH$3,0,0,'Données projet'!$E$11+1,1))-AVERAGE(OFFSET($H$3,0,0,'Données projet'!$E$11+1,1))</f>
        <v>316.71836722354374</v>
      </c>
      <c r="BJ28" s="62">
        <f t="shared" si="38"/>
        <v>164.34067012996618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6.9720000000000004</v>
      </c>
      <c r="BY28" s="13">
        <f>IF('Données projet'!$A$114&gt;35,BY27+BX28-CG27,IF(A28&lt;'Données projet'!$A$114,$BV$205^A28,IF(A28='Données projet'!$A$114,'Données projet'!$B$114,BY27+BX28-CG27)))</f>
        <v>94.84999999999998</v>
      </c>
      <c r="BZ28" s="14">
        <f>BY28*VLOOKUP('Données projet'!$B$12,Paramètres!$A$1:$I$89,3,0)*VLOOKUP('Données projet'!$B$12,Paramètres!$A$1:$I$89,5,0)</f>
        <v>108.01517999999997</v>
      </c>
      <c r="CA28" s="14">
        <f t="shared" si="39"/>
        <v>28.8628510788866</v>
      </c>
      <c r="CB28" s="22">
        <f t="shared" si="10"/>
        <v>238.3959041290608</v>
      </c>
      <c r="CC28" s="62">
        <f t="shared" si="11"/>
        <v>466.43367809539291</v>
      </c>
      <c r="CD28" s="62">
        <f ca="1">AVERAGE(OFFSET($CC$3,0,0,'Données projet'!$E$12+1,1))-AVERAGE(OFFSET($H$3,0,0,'Données projet'!$E$12+1,1))</f>
        <v>454.9779384236806</v>
      </c>
      <c r="CE28" s="62">
        <f t="shared" si="40"/>
        <v>379.32753348721906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0.16872826446943437</v>
      </c>
      <c r="CN28" s="24">
        <f t="shared" si="12"/>
        <v>0.16872826446943437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101.17</v>
      </c>
      <c r="CR28" s="13">
        <f>VLOOKUP(A28,'Données projet'!$A$139:$I$159,9,0)</f>
        <v>8.8000000000000007</v>
      </c>
      <c r="CS28" s="13">
        <f t="array" ref="CS28">INDEX(CR:CR,MIN(IF(ISNUMBER(CR28:CR224),ROW(CR28:CR224),"")))</f>
        <v>8.8000000000000007</v>
      </c>
      <c r="CT28" s="13">
        <f>IF('Données projet'!$A$140&gt;35,CT27+CS28-DB27,IF(A28&lt;'Données projet'!$A$140,$CQ$205^A28,IF(A28='Données projet'!$A$140,'Données projet'!$B$140,CT27+CS28-DB27)))</f>
        <v>101.16999999999999</v>
      </c>
      <c r="CU28" s="18">
        <f>CT28*VLOOKUP('Données projet'!$B$13,Paramètres!$A$1:$I$89,3,0)*VLOOKUP('Données projet'!$B$13,Paramètres!$A$1:$I$89,5,0)</f>
        <v>78.912599999999998</v>
      </c>
      <c r="CV28" s="14">
        <f t="shared" si="41"/>
        <v>21.871097774696338</v>
      </c>
      <c r="CW28" s="22">
        <f t="shared" si="13"/>
        <v>175.5316069575961</v>
      </c>
      <c r="CX28" s="62">
        <f t="shared" si="14"/>
        <v>403.56938092392818</v>
      </c>
      <c r="CY28" s="62">
        <f ca="1">AVERAGE(OFFSET($CX$3,0,0,'Données projet'!$E$13+1,1))-AVERAGE(OFFSET($H$3,0,0,'Données projet'!$E$13+1,1))</f>
        <v>252.10592533338991</v>
      </c>
      <c r="CZ28" s="62">
        <f t="shared" si="42"/>
        <v>272.71831345325313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21.01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0.17200000000000001</v>
      </c>
      <c r="DE28" s="17">
        <f>IF(ISNA(VLOOKUP(A28,'Données projet'!$A$139:$I$159,7,0)),0%,VLOOKUP(A28,'Données projet'!$A$139:$I$159,7,0))</f>
        <v>0.2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3.1037222831872993</v>
      </c>
      <c r="DH28" s="23">
        <f>EXP(-LN(2)/2)*DH27+(1-EXP(-LN(2)/2))/(LN(2)/2)*DB28*DE28*VLOOKUP('Données projet'!$B$13,Paramètres!$A$1:$I$89,3,0)*0.475*44/12</f>
        <v>4.5802780611149911</v>
      </c>
      <c r="DI28" s="24">
        <f t="shared" si="15"/>
        <v>7.6840003443022908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13.388</v>
      </c>
      <c r="DO28" s="13">
        <f>IF('Données projet'!$A$166&gt;35,DO27+DN28-DW27,IF(A28&lt;'Données projet'!$A$166,$DL$205^A28,IF(A28='Données projet'!$A$166,'Données projet'!$B$166,DO27+DN28-DW27)))</f>
        <v>122.87000000000003</v>
      </c>
      <c r="DP28" s="18">
        <f>DO28*VLOOKUP('Données projet'!$B$14,Paramètres!$A$1:$I$89,3,0)*VLOOKUP('Données projet'!$B$14,Paramètres!$A$1:$I$89,5,0)</f>
        <v>73.476260000000025</v>
      </c>
      <c r="DQ28" s="14">
        <f t="shared" si="43"/>
        <v>20.534285284303682</v>
      </c>
      <c r="DR28" s="22">
        <f t="shared" si="16"/>
        <v>163.73503303682895</v>
      </c>
      <c r="DS28" s="62">
        <f t="shared" si="17"/>
        <v>391.77280700316106</v>
      </c>
      <c r="DT28" s="62">
        <f ca="1">AVERAGE(OFFSET($DS$3,0,0,'Données projet'!$E$14+1,1))-AVERAGE(OFFSET($H$3,0,0,'Données projet'!$E$14+1,1))</f>
        <v>423.0896575168394</v>
      </c>
      <c r="DU28" s="62">
        <f t="shared" si="44"/>
        <v>305.98537395014284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6.1011165468900534</v>
      </c>
      <c r="EC28" s="23">
        <f>EXP(-LN(2)/2)*EC27+(1-EXP(-LN(2)/2))/(LN(2)/2)*DW28*DZ28*VLOOKUP('Données projet'!$B$14,Paramètres!$A$1:$I$89,3,0)*0.475*44/12</f>
        <v>0.78637030198524382</v>
      </c>
      <c r="ED28" s="24">
        <f t="shared" si="18"/>
        <v>6.8874868488752972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163.11000000000001</v>
      </c>
      <c r="EH28" s="13">
        <f>VLOOKUP(A28,'Données projet'!$A$191:$I$211,9,0)</f>
        <v>17.558</v>
      </c>
      <c r="EI28" s="13">
        <f t="array" ref="EI28">INDEX(EH:EH,MIN(IF(ISNUMBER(EH28:EH224),ROW(EH28:EH224),"")))</f>
        <v>17.558</v>
      </c>
      <c r="EJ28" s="13">
        <f>IF('Données projet'!$A$192&gt;35,EJ27+EI28-ER27,IF(A28&lt;'Données projet'!$A$192,$EG$205^A28,IF(A28='Données projet'!$A$192,'Données projet'!$B$192,EJ27+EI28-ER27)))</f>
        <v>163.10999999999999</v>
      </c>
      <c r="EK28" s="18">
        <f>EJ28*VLOOKUP('Données projet'!$B$15,Paramètres!$A$1:$I$89,3,0)*VLOOKUP('Données projet'!$B$15,Paramètres!$A$1:$I$89,5,0)</f>
        <v>97.539779999999993</v>
      </c>
      <c r="EL28" s="14">
        <f t="shared" si="45"/>
        <v>26.375037048569968</v>
      </c>
      <c r="EM28" s="22">
        <f t="shared" si="19"/>
        <v>215.8183063595927</v>
      </c>
      <c r="EN28" s="62">
        <f t="shared" si="20"/>
        <v>443.85608032592484</v>
      </c>
      <c r="EO28" s="62">
        <f ca="1">AVERAGE(OFFSET($EN$3,0,0,'Données projet'!$E$15+1,1))-AVERAGE(OFFSET($H$3,0,0,'Données projet'!$E$15+1,1))</f>
        <v>281.21543175875604</v>
      </c>
      <c r="EP28" s="62">
        <f t="shared" si="46"/>
        <v>366.68536296857428</v>
      </c>
      <c r="EQ28" s="16">
        <f>IF(ISNA(VLOOKUP(A28,'Données projet'!$A$191:$I$211,3,0)),0,VLOOKUP(A28,'Données projet'!$A$191:$I$211,3,0))</f>
        <v>4</v>
      </c>
      <c r="ER28" s="16">
        <f>IF(ISNA(VLOOKUP(A28,'Données projet'!$A$191:$I$211,4,0)),0,VLOOKUP(A28,'Données projet'!$A$191:$I$211,4,0))</f>
        <v>36.99</v>
      </c>
      <c r="ES28" s="17">
        <f>IF(ISNA(VLOOKUP(A28,'Données projet'!$A$191:$I$211,5,0)),0%,VLOOKUP(A28,'Données projet'!$A$191:$I$211,5,0)*VLOOKUP('Données projet'!$B$15,Paramètres!$A$1:$I$89,7,0))</f>
        <v>4.5000000000000005E-2</v>
      </c>
      <c r="ET28" s="17">
        <f>IF(ISNA(VLOOKUP(A28,'Données projet'!$A$191:$I$211,6,0)),0%,VLOOKUP(A28,'Données projet'!$A$191:$I$211,6,0)*VLOOKUP('Données projet'!$B$15,Paramètres!$A$1:$I$89,7,0))</f>
        <v>0.13500000000000001</v>
      </c>
      <c r="EU28" s="17">
        <f>IF(ISNA(VLOOKUP(A28,'Données projet'!$A$191:$I$211,7,0)),0%,VLOOKUP(A28,'Données projet'!$A$191:$I$211,7,0))</f>
        <v>0.2</v>
      </c>
      <c r="EV28" s="23">
        <f>EXP(-LN(2)/35)*EV27+(1-EXP(-LN(2)/35))/(LN(2)/35)*ER28*ES28*VLOOKUP('Données projet'!$B$15,Paramètres!$A$1:$I$89,3,0)*0.475*44/12</f>
        <v>1.3204634528525283</v>
      </c>
      <c r="EW28" s="23">
        <f>EXP(-LN(2)/25)*EW27+(1-EXP(-LN(2)/25))/(LN(2)/25)*Calculateur!ER28*Calculateur!ET28*VLOOKUP('Données projet'!$B$15,Paramètres!$A$1:$I$89,3,0)*0.475*44/12</f>
        <v>6.0711234596177306</v>
      </c>
      <c r="EX28" s="23">
        <f>EXP(-LN(2)/2)*EX27+(1-EXP(-LN(2)/2))/(LN(2)/2)*ER28*EU28*VLOOKUP('Données projet'!$B$15,Paramètres!$A$1:$I$89,3,0)*0.475*44/12</f>
        <v>6.4025956269002569</v>
      </c>
      <c r="EY28" s="24">
        <f t="shared" si="21"/>
        <v>13.794182539370516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116.96</v>
      </c>
      <c r="FC28" s="13">
        <f>VLOOKUP(A28,'Données projet'!$A$217:$I$237,9,0)</f>
        <v>11.022</v>
      </c>
      <c r="FD28" s="13">
        <f t="array" ref="FD28">INDEX(FC:FC,MIN(IF(ISNUMBER(FC28:FC224),ROW(FC28:FC224),"")))</f>
        <v>11.022</v>
      </c>
      <c r="FE28" s="13">
        <f>IF('Données projet'!$A$218&gt;35,FE27+FD28-FM27,IF(A28&lt;'Données projet'!$A$218,$FB$205^A28,IF(A28='Données projet'!$A$218,'Données projet'!$B$218,FE27+FD28-FM27)))</f>
        <v>116.96000000000002</v>
      </c>
      <c r="FF28" s="18">
        <f>FE28*VLOOKUP('Données projet'!$B$16,Paramètres!$A$1:$I$89,3,0)*VLOOKUP('Données projet'!$B$16,Paramètres!$A$1:$I$89,5,0)</f>
        <v>65.380640000000014</v>
      </c>
      <c r="FG28" s="14">
        <f t="shared" si="47"/>
        <v>18.521789718891181</v>
      </c>
      <c r="FH28" s="22">
        <f t="shared" si="22"/>
        <v>146.13006509373548</v>
      </c>
      <c r="FI28" s="62">
        <f t="shared" si="23"/>
        <v>374.16783906006759</v>
      </c>
      <c r="FJ28" s="62">
        <f ca="1">AVERAGE(OFFSET($FI$3,0,0,'Données projet'!$E$16+1,1))-AVERAGE(OFFSET($H$3,0,0,'Données projet'!$E$16+1,1))</f>
        <v>280.9225643428145</v>
      </c>
      <c r="FK28" s="62">
        <f t="shared" si="48"/>
        <v>236.89414218053955</v>
      </c>
      <c r="FL28" s="16">
        <f>IF(ISNA(VLOOKUP(A28,'Données projet'!$A$217:$I$237,3,0)),0,VLOOKUP(A28,'Données projet'!$A$217:$I$237,3,0))</f>
        <v>2</v>
      </c>
      <c r="FM28" s="16">
        <f>IF(ISNA(VLOOKUP(A28,'Données projet'!$A$217:$I$237,4,0)),0,VLOOKUP(A28,'Données projet'!$A$217:$I$237,4,0))</f>
        <v>31.35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0.44000000000000006</v>
      </c>
      <c r="FP28" s="17">
        <f>IF(ISNA(VLOOKUP(A28,'Données projet'!$A$217:$I$237,7,0)),0%,VLOOKUP(A28,'Données projet'!$A$217:$I$237,7,0))</f>
        <v>0.2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18.653817095462774</v>
      </c>
      <c r="FS28" s="23">
        <f>EXP(-LN(2)/2)*FS27+(1-EXP(-LN(2)/2))/(LN(2)/2)*FM28*FP28*VLOOKUP('Données projet'!$B$16,Paramètres!$A$1:$I$89,3,0)*0.475*44/12</f>
        <v>4.6379155446252467</v>
      </c>
      <c r="FT28" s="24">
        <f t="shared" si="24"/>
        <v>23.291732640088021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28.214999999999996</v>
      </c>
      <c r="FZ28" s="13">
        <f>IF('Données projet'!$A$244&gt;35,FZ27+FY28-GH27,IF(A28&lt;'Données projet'!$A$244,$FW$205^A28,IF(A28='Données projet'!$A$244,'Données projet'!$B$244,FZ27+FY28-GH27)))</f>
        <v>366.08499999999998</v>
      </c>
      <c r="GA28" s="18">
        <f>FZ28*VLOOKUP('Données projet'!$B$17,Paramètres!$A$1:$I$89,3,0)*VLOOKUP('Données projet'!$B$17,Paramètres!$A$1:$I$89,5,0)</f>
        <v>161.80957000000001</v>
      </c>
      <c r="GB28" s="14">
        <f t="shared" si="49"/>
        <v>41.250401435947801</v>
      </c>
      <c r="GC28" s="22">
        <f t="shared" si="25"/>
        <v>353.6627835842757</v>
      </c>
      <c r="GD28" s="62">
        <f t="shared" si="26"/>
        <v>581.70055755060775</v>
      </c>
      <c r="GE28" s="62">
        <f ca="1">AVERAGE(OFFSET($GD$3,0,0,'Données projet'!$E$17+1,1))-AVERAGE(OFFSET($H$3,0,0,'Données projet'!$E$17+1,1))</f>
        <v>325.67421864225201</v>
      </c>
      <c r="GF28" s="62">
        <f t="shared" si="50"/>
        <v>542.01920418736745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45.50068131315517</v>
      </c>
      <c r="GN28" s="23">
        <f>EXP(-LN(2)/2)*GN27+(1-EXP(-LN(2)/2))/(LN(2)/2)*GH28*GK28*VLOOKUP('Données projet'!$B$17,Paramètres!$A$1:$I$89,3,0)*0.475*44/12</f>
        <v>2.5387404991916451</v>
      </c>
      <c r="GO28" s="23">
        <f t="shared" si="27"/>
        <v>48.039421812346816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1.2476666666666667</v>
      </c>
      <c r="GU28" s="13">
        <f>IF('Données projet'!$A$270&gt;35,GU27+GT28-HC27,IF(A28&lt;'Données projet'!$A$270,$GR$205^A28,IF(A28='Données projet'!$A$270,'Données projet'!$B$270,GU27+GT28-HC27)))</f>
        <v>20.465224945406359</v>
      </c>
      <c r="GV28" s="18">
        <f>GU28*VLOOKUP('Données projet'!$B$18,Paramètres!$A$1:$I$89,3,0)*VLOOKUP('Données projet'!$B$18,Paramètres!$A$1:$I$89,5,0)</f>
        <v>20.75173809464205</v>
      </c>
      <c r="GW28" s="14">
        <f t="shared" si="51"/>
        <v>6.7189498767182219</v>
      </c>
      <c r="GX28" s="22">
        <f t="shared" si="28"/>
        <v>47.844781550119137</v>
      </c>
      <c r="GY28" s="62">
        <f t="shared" si="29"/>
        <v>275.88255551645125</v>
      </c>
      <c r="GZ28" s="62">
        <f ca="1">AVERAGE(OFFSET($GY$3,0,0,'Données projet'!$E$18+1,1))-AVERAGE(OFFSET($H$3,0,0,'Données projet'!$E$18+1,1))</f>
        <v>220.89224520315713</v>
      </c>
      <c r="HA28" s="62">
        <f t="shared" si="52"/>
        <v>141.82763623159096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0.92600000000000016</v>
      </c>
      <c r="N29" s="14">
        <f>IF('Données projet'!$A$36&gt;35,N28+M29-V28,IF(A29&lt;'Données projet'!$A$36,$K$205^A29,IF(A29='Données projet'!$A$36,'Données projet'!$B$36,N28+M29-V28)))</f>
        <v>11.335999999999999</v>
      </c>
      <c r="O29" s="14">
        <f>N29*VLOOKUP('Données projet'!$B$9,Paramètres!$A$1:$I$89,3,0)*VLOOKUP('Données projet'!$B$9,Paramètres!$A$1:$I$89,5,0)</f>
        <v>10.964179199999998</v>
      </c>
      <c r="P29" s="14">
        <f t="shared" si="33"/>
        <v>3.8236221519236011</v>
      </c>
      <c r="Q29" s="22">
        <f t="shared" si="2"/>
        <v>25.755420687933597</v>
      </c>
      <c r="R29" s="62">
        <f t="shared" si="0"/>
        <v>256.04213473712377</v>
      </c>
      <c r="S29" s="62">
        <f ca="1">AVERAGE(OFFSET($R$3,0,0,'Données projet'!$E$9+1,1))-AVERAGE(OFFSET($H$3,0,0,'Données projet'!$E$9+1,1))</f>
        <v>84.959354125980269</v>
      </c>
      <c r="T29" s="62">
        <f t="shared" si="34"/>
        <v>89.658970210276806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5.373983141365267</v>
      </c>
      <c r="AC29" s="24">
        <f t="shared" si="3"/>
        <v>5.373983141365267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4.298</v>
      </c>
      <c r="AI29" s="14">
        <f>IF('Données projet'!$A$62&gt;35,AI28+AH29-AQ28,IF(A29&lt;'Données projet'!$A$62,$AF$205^A29,IF(A29='Données projet'!$A$62,'Données projet'!$B$62,AI28+AH29-AQ28)))</f>
        <v>50.918000000000006</v>
      </c>
      <c r="AJ29" s="14">
        <f>AI29*VLOOKUP('Données projet'!$B$10,Paramètres!$A$1:$I$89,3,0)*VLOOKUP('Données projet'!$B$10,Paramètres!$A$1:$I$89,5,0)</f>
        <v>48.453568800000006</v>
      </c>
      <c r="AK29" s="14">
        <f t="shared" si="35"/>
        <v>14.213659761227362</v>
      </c>
      <c r="AL29" s="22">
        <f t="shared" si="4"/>
        <v>109.14542307747099</v>
      </c>
      <c r="AM29" s="62">
        <f t="shared" si="5"/>
        <v>339.43213712666119</v>
      </c>
      <c r="AN29" s="62">
        <f ca="1">AVERAGE(OFFSET($AM$3,0,0,'Données projet'!$E$10+1,1))-AVERAGE(OFFSET($H$3,0,0,'Données projet'!$E$10+1,1))</f>
        <v>592.76231355549089</v>
      </c>
      <c r="AO29" s="62">
        <f t="shared" si="36"/>
        <v>200.66895551079014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1.6924664995040499</v>
      </c>
      <c r="AX29" s="23">
        <f t="shared" si="6"/>
        <v>1.6924664995040499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1.7753333333333332</v>
      </c>
      <c r="BD29" s="13">
        <f>IF('Données projet'!$A$88&gt;35,BD28+BC29-BL28,IF(A29&lt;'Données projet'!$A$88,$BA$205^A29,IF(A29='Données projet'!$A$88,'Données projet'!$B$88,BD28+BC29-BL28)))</f>
        <v>31.348324990906228</v>
      </c>
      <c r="BE29" s="14">
        <f>BD29*VLOOKUP('Données projet'!$B$11,Paramètres!$A$1:$I$89,3,0)*VLOOKUP('Données projet'!$B$11,Paramètres!$A$1:$I$89,5,0)</f>
        <v>28.363964451771952</v>
      </c>
      <c r="BF29" s="14">
        <f t="shared" si="37"/>
        <v>8.8555782786872719</v>
      </c>
      <c r="BG29" s="22">
        <f t="shared" si="7"/>
        <v>64.824036922216479</v>
      </c>
      <c r="BH29" s="62">
        <f t="shared" si="8"/>
        <v>295.11075097140667</v>
      </c>
      <c r="BI29" s="62">
        <f ca="1">AVERAGE(OFFSET($BH$3,0,0,'Données projet'!$E$11+1,1))-AVERAGE(OFFSET($H$3,0,0,'Données projet'!$E$11+1,1))</f>
        <v>316.71836722354374</v>
      </c>
      <c r="BJ29" s="62">
        <f t="shared" si="38"/>
        <v>164.34067012996618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6.9720000000000004</v>
      </c>
      <c r="BY29" s="13">
        <f>IF('Données projet'!$A$114&gt;35,BY28+BX29-CG28,IF(A29&lt;'Données projet'!$A$114,$BV$205^A29,IF(A29='Données projet'!$A$114,'Données projet'!$B$114,BY28+BX29-CG28)))</f>
        <v>101.82199999999997</v>
      </c>
      <c r="BZ29" s="14">
        <f>BY29*VLOOKUP('Données projet'!$B$12,Paramètres!$A$1:$I$89,3,0)*VLOOKUP('Données projet'!$B$12,Paramètres!$A$1:$I$89,5,0)</f>
        <v>115.95489359999996</v>
      </c>
      <c r="CA29" s="14">
        <f t="shared" si="39"/>
        <v>30.729670071087916</v>
      </c>
      <c r="CB29" s="22">
        <f t="shared" si="10"/>
        <v>255.47561506047808</v>
      </c>
      <c r="CC29" s="62">
        <f t="shared" si="11"/>
        <v>485.76232910966826</v>
      </c>
      <c r="CD29" s="62">
        <f ca="1">AVERAGE(OFFSET($CC$3,0,0,'Données projet'!$E$12+1,1))-AVERAGE(OFFSET($H$3,0,0,'Données projet'!$E$12+1,1))</f>
        <v>454.9779384236806</v>
      </c>
      <c r="CE29" s="62">
        <f t="shared" si="40"/>
        <v>379.32753348721906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0.11930889998417425</v>
      </c>
      <c r="CN29" s="24">
        <f t="shared" si="12"/>
        <v>0.11930889998417425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9.1120000000000001</v>
      </c>
      <c r="CT29" s="13">
        <f>IF('Données projet'!$A$140&gt;35,CT28+CS29-DB28,IF(A29&lt;'Données projet'!$A$140,$CQ$205^A29,IF(A29='Données projet'!$A$140,'Données projet'!$B$140,CT28+CS29-DB28)))</f>
        <v>89.271999999999977</v>
      </c>
      <c r="CU29" s="18">
        <f>CT29*VLOOKUP('Données projet'!$B$13,Paramètres!$A$1:$I$89,3,0)*VLOOKUP('Données projet'!$B$13,Paramètres!$A$1:$I$89,5,0)</f>
        <v>69.632159999999985</v>
      </c>
      <c r="CV29" s="14">
        <f t="shared" si="41"/>
        <v>19.582081943191515</v>
      </c>
      <c r="CW29" s="22">
        <f t="shared" si="13"/>
        <v>155.38147138439186</v>
      </c>
      <c r="CX29" s="62">
        <f t="shared" si="14"/>
        <v>385.66818543358204</v>
      </c>
      <c r="CY29" s="62">
        <f ca="1">AVERAGE(OFFSET($CX$3,0,0,'Données projet'!$E$13+1,1))-AVERAGE(OFFSET($H$3,0,0,'Données projet'!$E$13+1,1))</f>
        <v>252.10592533338991</v>
      </c>
      <c r="CZ29" s="62">
        <f t="shared" si="42"/>
        <v>272.71831345325313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3.0188508341358813</v>
      </c>
      <c r="DH29" s="23">
        <f>EXP(-LN(2)/2)*DH28+(1-EXP(-LN(2)/2))/(LN(2)/2)*DB29*DE29*VLOOKUP('Données projet'!$B$13,Paramètres!$A$1:$I$89,3,0)*0.475*44/12</f>
        <v>3.2387456767343825</v>
      </c>
      <c r="DI29" s="24">
        <f t="shared" si="15"/>
        <v>6.2575965108702638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13.388</v>
      </c>
      <c r="DO29" s="13">
        <f>IF('Données projet'!$A$166&gt;35,DO28+DN29-DW28,IF(A29&lt;'Données projet'!$A$166,$DL$205^A29,IF(A29='Données projet'!$A$166,'Données projet'!$B$166,DO28+DN29-DW28)))</f>
        <v>136.25800000000004</v>
      </c>
      <c r="DP29" s="18">
        <f>DO29*VLOOKUP('Données projet'!$B$14,Paramètres!$A$1:$I$89,3,0)*VLOOKUP('Données projet'!$B$14,Paramètres!$A$1:$I$89,5,0)</f>
        <v>81.482284000000035</v>
      </c>
      <c r="DQ29" s="14">
        <f t="shared" si="43"/>
        <v>22.499222114839622</v>
      </c>
      <c r="DR29" s="22">
        <f t="shared" si="16"/>
        <v>181.1011231500124</v>
      </c>
      <c r="DS29" s="62">
        <f t="shared" si="17"/>
        <v>411.38783719920258</v>
      </c>
      <c r="DT29" s="62">
        <f ca="1">AVERAGE(OFFSET($DS$3,0,0,'Données projet'!$E$14+1,1))-AVERAGE(OFFSET($H$3,0,0,'Données projet'!$E$14+1,1))</f>
        <v>423.0896575168394</v>
      </c>
      <c r="DU29" s="62">
        <f t="shared" si="44"/>
        <v>305.98537395014284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5.9342811940715698</v>
      </c>
      <c r="EC29" s="23">
        <f>EXP(-LN(2)/2)*EC28+(1-EXP(-LN(2)/2))/(LN(2)/2)*DW29*DZ29*VLOOKUP('Données projet'!$B$14,Paramètres!$A$1:$I$89,3,0)*0.475*44/12</f>
        <v>0.5560477730574791</v>
      </c>
      <c r="ED29" s="24">
        <f t="shared" si="18"/>
        <v>6.4903289671290487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22.201999999999998</v>
      </c>
      <c r="EJ29" s="13">
        <f>IF('Données projet'!$A$192&gt;35,EJ28+EI29-ER28,IF(A29&lt;'Données projet'!$A$192,$EG$205^A29,IF(A29='Données projet'!$A$192,'Données projet'!$B$192,EJ28+EI29-ER28)))</f>
        <v>148.32199999999997</v>
      </c>
      <c r="EK29" s="18">
        <f>EJ29*VLOOKUP('Données projet'!$B$15,Paramètres!$A$1:$I$89,3,0)*VLOOKUP('Données projet'!$B$15,Paramètres!$A$1:$I$89,5,0)</f>
        <v>88.696555999999987</v>
      </c>
      <c r="EL29" s="14">
        <f t="shared" si="45"/>
        <v>24.250599277361761</v>
      </c>
      <c r="EM29" s="22">
        <f t="shared" si="19"/>
        <v>196.71629544140504</v>
      </c>
      <c r="EN29" s="62">
        <f t="shared" si="20"/>
        <v>427.00300949059522</v>
      </c>
      <c r="EO29" s="62">
        <f ca="1">AVERAGE(OFFSET($EN$3,0,0,'Données projet'!$E$15+1,1))-AVERAGE(OFFSET($H$3,0,0,'Données projet'!$E$15+1,1))</f>
        <v>281.21543175875604</v>
      </c>
      <c r="EP29" s="62">
        <f t="shared" si="46"/>
        <v>366.68536296857428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1.2945699699452695</v>
      </c>
      <c r="EW29" s="23">
        <f>EXP(-LN(2)/25)*EW28+(1-EXP(-LN(2)/25))/(LN(2)/25)*Calculateur!ER29*Calculateur!ET29*VLOOKUP('Données projet'!$B$15,Paramètres!$A$1:$I$89,3,0)*0.475*44/12</f>
        <v>5.9051082693479771</v>
      </c>
      <c r="EX29" s="23">
        <f>EXP(-LN(2)/2)*EX28+(1-EXP(-LN(2)/2))/(LN(2)/2)*ER29*EU29*VLOOKUP('Données projet'!$B$15,Paramètres!$A$1:$I$89,3,0)*0.475*44/12</f>
        <v>4.5273187849765062</v>
      </c>
      <c r="EY29" s="24">
        <f t="shared" si="21"/>
        <v>11.726997024269753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12.034000000000002</v>
      </c>
      <c r="FE29" s="13">
        <f>IF('Données projet'!$A$218&gt;35,FE28+FD29-FM28,IF(A29&lt;'Données projet'!$A$218,$FB$205^A29,IF(A29='Données projet'!$A$218,'Données projet'!$B$218,FE28+FD29-FM28)))</f>
        <v>97.644000000000034</v>
      </c>
      <c r="FF29" s="18">
        <f>FE29*VLOOKUP('Données projet'!$B$16,Paramètres!$A$1:$I$89,3,0)*VLOOKUP('Données projet'!$B$16,Paramètres!$A$1:$I$89,5,0)</f>
        <v>54.582996000000016</v>
      </c>
      <c r="FG29" s="14">
        <f t="shared" si="47"/>
        <v>15.791229921323849</v>
      </c>
      <c r="FH29" s="22">
        <f t="shared" si="22"/>
        <v>122.56844347963907</v>
      </c>
      <c r="FI29" s="62">
        <f t="shared" si="23"/>
        <v>352.85515752882924</v>
      </c>
      <c r="FJ29" s="62">
        <f ca="1">AVERAGE(OFFSET($FI$3,0,0,'Données projet'!$E$16+1,1))-AVERAGE(OFFSET($H$3,0,0,'Données projet'!$E$16+1,1))</f>
        <v>280.9225643428145</v>
      </c>
      <c r="FK29" s="62">
        <f t="shared" si="48"/>
        <v>236.89414218053955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18.143727486025735</v>
      </c>
      <c r="FS29" s="23">
        <f>EXP(-LN(2)/2)*FS28+(1-EXP(-LN(2)/2))/(LN(2)/2)*FM29*FP29*VLOOKUP('Données projet'!$B$16,Paramètres!$A$1:$I$89,3,0)*0.475*44/12</f>
        <v>3.2795015321750118</v>
      </c>
      <c r="FT29" s="24">
        <f t="shared" si="24"/>
        <v>21.423229018200747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28.214999999999996</v>
      </c>
      <c r="FZ29" s="13">
        <f>IF('Données projet'!$A$244&gt;35,FZ28+FY29-GH28,IF(A29&lt;'Données projet'!$A$244,$FW$205^A29,IF(A29='Données projet'!$A$244,'Données projet'!$B$244,FZ28+FY29-GH28)))</f>
        <v>394.29999999999995</v>
      </c>
      <c r="GA29" s="18">
        <f>FZ29*VLOOKUP('Données projet'!$B$17,Paramètres!$A$1:$I$89,3,0)*VLOOKUP('Données projet'!$B$17,Paramètres!$A$1:$I$89,5,0)</f>
        <v>174.28059999999999</v>
      </c>
      <c r="GB29" s="14">
        <f t="shared" si="49"/>
        <v>44.047343611272893</v>
      </c>
      <c r="GC29" s="22">
        <f t="shared" si="25"/>
        <v>380.25450178963359</v>
      </c>
      <c r="GD29" s="62">
        <f t="shared" si="26"/>
        <v>610.54121583882375</v>
      </c>
      <c r="GE29" s="62">
        <f ca="1">AVERAGE(OFFSET($GD$3,0,0,'Données projet'!$E$17+1,1))-AVERAGE(OFFSET($H$3,0,0,'Données projet'!$E$17+1,1))</f>
        <v>325.67421864225201</v>
      </c>
      <c r="GF29" s="62">
        <f t="shared" si="50"/>
        <v>542.01920418736745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44.256462789870106</v>
      </c>
      <c r="GN29" s="23">
        <f>EXP(-LN(2)/2)*GN28+(1-EXP(-LN(2)/2))/(LN(2)/2)*GH29*GK29*VLOOKUP('Données projet'!$B$17,Paramètres!$A$1:$I$89,3,0)*0.475*44/12</f>
        <v>1.7951606226513332</v>
      </c>
      <c r="GO29" s="23">
        <f t="shared" si="27"/>
        <v>46.051623412521437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1.2476666666666667</v>
      </c>
      <c r="GU29" s="13">
        <f>IF('Données projet'!$A$270&gt;35,GU28+GT29-HC28,IF(A29&lt;'Données projet'!$A$270,$GR$205^A29,IF(A29='Données projet'!$A$270,'Données projet'!$B$270,GU28+GT29-HC28)))</f>
        <v>23.091767891054257</v>
      </c>
      <c r="GV29" s="18">
        <f>GU29*VLOOKUP('Données projet'!$B$18,Paramètres!$A$1:$I$89,3,0)*VLOOKUP('Données projet'!$B$18,Paramètres!$A$1:$I$89,5,0)</f>
        <v>23.415052641529019</v>
      </c>
      <c r="GW29" s="14">
        <f t="shared" si="51"/>
        <v>7.4754608134224334</v>
      </c>
      <c r="GX29" s="22">
        <f t="shared" si="28"/>
        <v>53.800977600707107</v>
      </c>
      <c r="GY29" s="62">
        <f t="shared" si="29"/>
        <v>284.08769164989729</v>
      </c>
      <c r="GZ29" s="62">
        <f ca="1">AVERAGE(OFFSET($GY$3,0,0,'Données projet'!$E$18+1,1))-AVERAGE(OFFSET($H$3,0,0,'Données projet'!$E$18+1,1))</f>
        <v>220.89224520315713</v>
      </c>
      <c r="HA29" s="62">
        <f t="shared" si="52"/>
        <v>141.82763623159096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0.92600000000000016</v>
      </c>
      <c r="N30" s="14">
        <f>IF('Données projet'!$A$36&gt;35,N29+M30-V29,IF(A30&lt;'Données projet'!$A$36,$K$205^A30,IF(A30='Données projet'!$A$36,'Données projet'!$B$36,N29+M30-V29)))</f>
        <v>12.261999999999999</v>
      </c>
      <c r="O30" s="14">
        <f>N30*VLOOKUP('Données projet'!$B$9,Paramètres!$A$1:$I$89,3,0)*VLOOKUP('Données projet'!$B$9,Paramètres!$A$1:$I$89,5,0)</f>
        <v>11.859806399999998</v>
      </c>
      <c r="P30" s="14">
        <f t="shared" si="33"/>
        <v>4.0983310077371815</v>
      </c>
      <c r="Q30" s="22">
        <f t="shared" si="2"/>
        <v>27.793755985142255</v>
      </c>
      <c r="R30" s="62">
        <f t="shared" si="0"/>
        <v>260.31159885770575</v>
      </c>
      <c r="S30" s="62">
        <f ca="1">AVERAGE(OFFSET($R$3,0,0,'Données projet'!$E$9+1,1))-AVERAGE(OFFSET($H$3,0,0,'Données projet'!$E$9+1,1))</f>
        <v>84.959354125980269</v>
      </c>
      <c r="T30" s="62">
        <f t="shared" si="34"/>
        <v>89.658970210276806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3.7999799212415653</v>
      </c>
      <c r="AC30" s="24">
        <f t="shared" si="3"/>
        <v>3.7999799212415653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4.298</v>
      </c>
      <c r="AI30" s="14">
        <f>IF('Données projet'!$A$62&gt;35,AI29+AH30-AQ29,IF(A30&lt;'Données projet'!$A$62,$AF$205^A30,IF(A30='Données projet'!$A$62,'Données projet'!$B$62,AI29+AH30-AQ29)))</f>
        <v>55.216000000000008</v>
      </c>
      <c r="AJ30" s="14">
        <f>AI30*VLOOKUP('Données projet'!$B$10,Paramètres!$A$1:$I$89,3,0)*VLOOKUP('Données projet'!$B$10,Paramètres!$A$1:$I$89,5,0)</f>
        <v>52.543545600000009</v>
      </c>
      <c r="AK30" s="14">
        <f t="shared" si="35"/>
        <v>15.268732441543241</v>
      </c>
      <c r="AL30" s="22">
        <f t="shared" si="4"/>
        <v>118.10638425568783</v>
      </c>
      <c r="AM30" s="62">
        <f t="shared" si="5"/>
        <v>350.62422712825133</v>
      </c>
      <c r="AN30" s="62">
        <f ca="1">AVERAGE(OFFSET($AM$3,0,0,'Données projet'!$E$10+1,1))-AVERAGE(OFFSET($H$3,0,0,'Données projet'!$E$10+1,1))</f>
        <v>592.76231355549089</v>
      </c>
      <c r="AO30" s="62">
        <f t="shared" si="36"/>
        <v>200.66895551079014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1.1967545387303724</v>
      </c>
      <c r="AX30" s="23">
        <f t="shared" si="6"/>
        <v>1.1967545387303724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1.7753333333333332</v>
      </c>
      <c r="BD30" s="13">
        <f>IF('Données projet'!$A$88&gt;35,BD29+BC30-BL29,IF(A30&lt;'Données projet'!$A$88,$BA$205^A30,IF(A30='Données projet'!$A$88,'Données projet'!$B$88,BD29+BC30-BL29)))</f>
        <v>35.789946228044649</v>
      </c>
      <c r="BE30" s="14">
        <f>BD30*VLOOKUP('Données projet'!$B$11,Paramètres!$A$1:$I$89,3,0)*VLOOKUP('Données projet'!$B$11,Paramètres!$A$1:$I$89,5,0)</f>
        <v>32.382743347134792</v>
      </c>
      <c r="BF30" s="14">
        <f t="shared" si="37"/>
        <v>9.9555485642460084</v>
      </c>
      <c r="BG30" s="22">
        <f t="shared" si="7"/>
        <v>73.739191745654892</v>
      </c>
      <c r="BH30" s="62">
        <f t="shared" si="8"/>
        <v>306.25703461821843</v>
      </c>
      <c r="BI30" s="62">
        <f ca="1">AVERAGE(OFFSET($BH$3,0,0,'Données projet'!$E$11+1,1))-AVERAGE(OFFSET($H$3,0,0,'Données projet'!$E$11+1,1))</f>
        <v>316.71836722354374</v>
      </c>
      <c r="BJ30" s="62">
        <f t="shared" si="38"/>
        <v>164.34067012996618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6.9720000000000004</v>
      </c>
      <c r="BY30" s="13">
        <f>IF('Données projet'!$A$114&gt;35,BY29+BX30-CG29,IF(A30&lt;'Données projet'!$A$114,$BV$205^A30,IF(A30='Données projet'!$A$114,'Données projet'!$B$114,BY29+BX30-CG29)))</f>
        <v>108.79399999999997</v>
      </c>
      <c r="BZ30" s="14">
        <f>BY30*VLOOKUP('Données projet'!$B$12,Paramètres!$A$1:$I$89,3,0)*VLOOKUP('Données projet'!$B$12,Paramètres!$A$1:$I$89,5,0)</f>
        <v>123.89460719999997</v>
      </c>
      <c r="CA30" s="14">
        <f t="shared" si="39"/>
        <v>32.581657066238691</v>
      </c>
      <c r="CB30" s="22">
        <f t="shared" si="10"/>
        <v>272.52949359703234</v>
      </c>
      <c r="CC30" s="62">
        <f t="shared" si="11"/>
        <v>505.04733646959585</v>
      </c>
      <c r="CD30" s="62">
        <f ca="1">AVERAGE(OFFSET($CC$3,0,0,'Données projet'!$E$12+1,1))-AVERAGE(OFFSET($H$3,0,0,'Données projet'!$E$12+1,1))</f>
        <v>454.9779384236806</v>
      </c>
      <c r="CE30" s="62">
        <f t="shared" si="40"/>
        <v>379.32753348721906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8.4364132234717198E-2</v>
      </c>
      <c r="CN30" s="24">
        <f t="shared" si="12"/>
        <v>8.4364132234717198E-2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9.1120000000000001</v>
      </c>
      <c r="CT30" s="13">
        <f>IF('Données projet'!$A$140&gt;35,CT29+CS30-DB29,IF(A30&lt;'Données projet'!$A$140,$CQ$205^A30,IF(A30='Données projet'!$A$140,'Données projet'!$B$140,CT29+CS30-DB29)))</f>
        <v>98.383999999999972</v>
      </c>
      <c r="CU30" s="18">
        <f>CT30*VLOOKUP('Données projet'!$B$13,Paramètres!$A$1:$I$89,3,0)*VLOOKUP('Données projet'!$B$13,Paramètres!$A$1:$I$89,5,0)</f>
        <v>76.739519999999985</v>
      </c>
      <c r="CV30" s="14">
        <f t="shared" si="41"/>
        <v>21.338059536122735</v>
      </c>
      <c r="CW30" s="22">
        <f t="shared" si="13"/>
        <v>170.81845102541374</v>
      </c>
      <c r="CX30" s="62">
        <f t="shared" si="14"/>
        <v>403.33629389797727</v>
      </c>
      <c r="CY30" s="62">
        <f ca="1">AVERAGE(OFFSET($CX$3,0,0,'Données projet'!$E$13+1,1))-AVERAGE(OFFSET($H$3,0,0,'Données projet'!$E$13+1,1))</f>
        <v>252.10592533338991</v>
      </c>
      <c r="CZ30" s="62">
        <f t="shared" si="42"/>
        <v>272.71831345325313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2.9363001993219697</v>
      </c>
      <c r="DH30" s="23">
        <f>EXP(-LN(2)/2)*DH29+(1-EXP(-LN(2)/2))/(LN(2)/2)*DB30*DE30*VLOOKUP('Données projet'!$B$13,Paramètres!$A$1:$I$89,3,0)*0.475*44/12</f>
        <v>2.290139030557496</v>
      </c>
      <c r="DI30" s="24">
        <f t="shared" si="15"/>
        <v>5.2264392298794657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13.388</v>
      </c>
      <c r="DO30" s="13">
        <f>IF('Données projet'!$A$166&gt;35,DO29+DN30-DW29,IF(A30&lt;'Données projet'!$A$166,$DL$205^A30,IF(A30='Données projet'!$A$166,'Données projet'!$B$166,DO29+DN30-DW29)))</f>
        <v>149.64600000000004</v>
      </c>
      <c r="DP30" s="18">
        <f>DO30*VLOOKUP('Données projet'!$B$14,Paramètres!$A$1:$I$89,3,0)*VLOOKUP('Données projet'!$B$14,Paramètres!$A$1:$I$89,5,0)</f>
        <v>89.488308000000032</v>
      </c>
      <c r="DQ30" s="14">
        <f t="shared" si="43"/>
        <v>24.441776283452551</v>
      </c>
      <c r="DR30" s="22">
        <f t="shared" si="16"/>
        <v>198.42823012701322</v>
      </c>
      <c r="DS30" s="62">
        <f t="shared" si="17"/>
        <v>430.9460729995767</v>
      </c>
      <c r="DT30" s="62">
        <f ca="1">AVERAGE(OFFSET($DS$3,0,0,'Données projet'!$E$14+1,1))-AVERAGE(OFFSET($H$3,0,0,'Données projet'!$E$14+1,1))</f>
        <v>423.0896575168394</v>
      </c>
      <c r="DU30" s="62">
        <f t="shared" si="44"/>
        <v>305.98537395014284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5.7720079627493979</v>
      </c>
      <c r="EC30" s="23">
        <f>EXP(-LN(2)/2)*EC29+(1-EXP(-LN(2)/2))/(LN(2)/2)*DW30*DZ30*VLOOKUP('Données projet'!$B$14,Paramètres!$A$1:$I$89,3,0)*0.475*44/12</f>
        <v>0.39318515099262191</v>
      </c>
      <c r="ED30" s="24">
        <f t="shared" si="18"/>
        <v>6.1651931137420197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22.201999999999998</v>
      </c>
      <c r="EJ30" s="13">
        <f>IF('Données projet'!$A$192&gt;35,EJ29+EI30-ER29,IF(A30&lt;'Données projet'!$A$192,$EG$205^A30,IF(A30='Données projet'!$A$192,'Données projet'!$B$192,EJ29+EI30-ER29)))</f>
        <v>170.52399999999997</v>
      </c>
      <c r="EK30" s="18">
        <f>EJ30*VLOOKUP('Données projet'!$B$15,Paramètres!$A$1:$I$89,3,0)*VLOOKUP('Données projet'!$B$15,Paramètres!$A$1:$I$89,5,0)</f>
        <v>101.97335199999999</v>
      </c>
      <c r="EL30" s="14">
        <f t="shared" si="45"/>
        <v>27.431585441587977</v>
      </c>
      <c r="EM30" s="22">
        <f t="shared" si="19"/>
        <v>225.38026604409905</v>
      </c>
      <c r="EN30" s="62">
        <f t="shared" si="20"/>
        <v>457.89810891666252</v>
      </c>
      <c r="EO30" s="62">
        <f ca="1">AVERAGE(OFFSET($EN$3,0,0,'Données projet'!$E$15+1,1))-AVERAGE(OFFSET($H$3,0,0,'Données projet'!$E$15+1,1))</f>
        <v>281.21543175875604</v>
      </c>
      <c r="EP30" s="62">
        <f t="shared" si="46"/>
        <v>366.68536296857428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1.2691842424443569</v>
      </c>
      <c r="EW30" s="23">
        <f>EXP(-LN(2)/25)*EW29+(1-EXP(-LN(2)/25))/(LN(2)/25)*Calculateur!ER30*Calculateur!ET30*VLOOKUP('Données projet'!$B$15,Paramètres!$A$1:$I$89,3,0)*0.475*44/12</f>
        <v>5.7436327731865093</v>
      </c>
      <c r="EX30" s="23">
        <f>EXP(-LN(2)/2)*EX29+(1-EXP(-LN(2)/2))/(LN(2)/2)*ER30*EU30*VLOOKUP('Données projet'!$B$15,Paramètres!$A$1:$I$89,3,0)*0.475*44/12</f>
        <v>3.2012978134501289</v>
      </c>
      <c r="EY30" s="24">
        <f t="shared" si="21"/>
        <v>10.214114829080994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12.034000000000002</v>
      </c>
      <c r="FE30" s="13">
        <f>IF('Données projet'!$A$218&gt;35,FE29+FD30-FM29,IF(A30&lt;'Données projet'!$A$218,$FB$205^A30,IF(A30='Données projet'!$A$218,'Données projet'!$B$218,FE29+FD30-FM29)))</f>
        <v>109.67800000000004</v>
      </c>
      <c r="FF30" s="18">
        <f>FE30*VLOOKUP('Données projet'!$B$16,Paramètres!$A$1:$I$89,3,0)*VLOOKUP('Données projet'!$B$16,Paramètres!$A$1:$I$89,5,0)</f>
        <v>61.310002000000026</v>
      </c>
      <c r="FG30" s="14">
        <f t="shared" si="47"/>
        <v>17.499061131260937</v>
      </c>
      <c r="FH30" s="22">
        <f t="shared" si="22"/>
        <v>137.25911828694618</v>
      </c>
      <c r="FI30" s="62">
        <f t="shared" si="23"/>
        <v>369.77696115950971</v>
      </c>
      <c r="FJ30" s="62">
        <f ca="1">AVERAGE(OFFSET($FI$3,0,0,'Données projet'!$E$16+1,1))-AVERAGE(OFFSET($H$3,0,0,'Données projet'!$E$16+1,1))</f>
        <v>280.9225643428145</v>
      </c>
      <c r="FK30" s="62">
        <f t="shared" si="48"/>
        <v>236.89414218053955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17.6475863037832</v>
      </c>
      <c r="FS30" s="23">
        <f>EXP(-LN(2)/2)*FS29+(1-EXP(-LN(2)/2))/(LN(2)/2)*FM30*FP30*VLOOKUP('Données projet'!$B$16,Paramètres!$A$1:$I$89,3,0)*0.475*44/12</f>
        <v>2.3189577723126238</v>
      </c>
      <c r="FT30" s="24">
        <f t="shared" si="24"/>
        <v>19.966544076095822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28.214999999999996</v>
      </c>
      <c r="FZ30" s="13">
        <f>IF('Données projet'!$A$244&gt;35,FZ29+FY30-GH29,IF(A30&lt;'Données projet'!$A$244,$FW$205^A30,IF(A30='Données projet'!$A$244,'Données projet'!$B$244,FZ29+FY30-GH29)))</f>
        <v>422.51499999999993</v>
      </c>
      <c r="GA30" s="18">
        <f>FZ30*VLOOKUP('Données projet'!$B$17,Paramètres!$A$1:$I$89,3,0)*VLOOKUP('Données projet'!$B$17,Paramètres!$A$1:$I$89,5,0)</f>
        <v>186.75162999999998</v>
      </c>
      <c r="GB30" s="14">
        <f t="shared" si="49"/>
        <v>46.821065180218952</v>
      </c>
      <c r="GC30" s="22">
        <f t="shared" si="25"/>
        <v>406.80577743888131</v>
      </c>
      <c r="GD30" s="62">
        <f t="shared" si="26"/>
        <v>639.32362031144476</v>
      </c>
      <c r="GE30" s="62">
        <f ca="1">AVERAGE(OFFSET($GD$3,0,0,'Données projet'!$E$17+1,1))-AVERAGE(OFFSET($H$3,0,0,'Données projet'!$E$17+1,1))</f>
        <v>325.67421864225201</v>
      </c>
      <c r="GF30" s="62">
        <f t="shared" si="50"/>
        <v>542.01920418736745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43.046267487534877</v>
      </c>
      <c r="GN30" s="23">
        <f>EXP(-LN(2)/2)*GN29+(1-EXP(-LN(2)/2))/(LN(2)/2)*GH30*GK30*VLOOKUP('Données projet'!$B$17,Paramètres!$A$1:$I$89,3,0)*0.475*44/12</f>
        <v>1.2693702495958228</v>
      </c>
      <c r="GO30" s="23">
        <f t="shared" si="27"/>
        <v>44.3156377371307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1.2476666666666667</v>
      </c>
      <c r="GU30" s="13">
        <f>IF('Données projet'!$A$270&gt;35,GU29+GT30-HC29,IF(A30&lt;'Données projet'!$A$270,$GR$205^A30,IF(A30='Données projet'!$A$270,'Données projet'!$B$270,GU29+GT30-HC29)))</f>
        <v>26.055405975589508</v>
      </c>
      <c r="GV30" s="18">
        <f>GU30*VLOOKUP('Données projet'!$B$18,Paramètres!$A$1:$I$89,3,0)*VLOOKUP('Données projet'!$B$18,Paramètres!$A$1:$I$89,5,0)</f>
        <v>26.420181659247763</v>
      </c>
      <c r="GW30" s="14">
        <f t="shared" si="51"/>
        <v>8.3171500604063784</v>
      </c>
      <c r="GX30" s="22">
        <f t="shared" si="28"/>
        <v>60.500852745064293</v>
      </c>
      <c r="GY30" s="62">
        <f t="shared" si="29"/>
        <v>293.01869561762783</v>
      </c>
      <c r="GZ30" s="62">
        <f ca="1">AVERAGE(OFFSET($GY$3,0,0,'Données projet'!$E$18+1,1))-AVERAGE(OFFSET($H$3,0,0,'Données projet'!$E$18+1,1))</f>
        <v>220.89224520315713</v>
      </c>
      <c r="HA30" s="62">
        <f t="shared" si="52"/>
        <v>141.82763623159096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0.92600000000000016</v>
      </c>
      <c r="N31" s="14">
        <f>IF('Données projet'!$A$36&gt;35,N30+M31-V30,IF(A31&lt;'Données projet'!$A$36,$K$205^A31,IF(A31='Données projet'!$A$36,'Données projet'!$B$36,N30+M31-V30)))</f>
        <v>13.187999999999999</v>
      </c>
      <c r="O31" s="14">
        <f>N31*VLOOKUP('Données projet'!$B$9,Paramètres!$A$1:$I$89,3,0)*VLOOKUP('Données projet'!$B$9,Paramètres!$A$1:$I$89,5,0)</f>
        <v>12.755433599999998</v>
      </c>
      <c r="P31" s="14">
        <f t="shared" si="33"/>
        <v>4.3706332650016702</v>
      </c>
      <c r="Q31" s="22">
        <f t="shared" si="2"/>
        <v>29.827899789877904</v>
      </c>
      <c r="R31" s="62">
        <f t="shared" si="0"/>
        <v>264.55936921186196</v>
      </c>
      <c r="S31" s="62">
        <f ca="1">AVERAGE(OFFSET($R$3,0,0,'Données projet'!$E$9+1,1))-AVERAGE(OFFSET($H$3,0,0,'Données projet'!$E$9+1,1))</f>
        <v>84.959354125980269</v>
      </c>
      <c r="T31" s="62">
        <f t="shared" si="34"/>
        <v>89.658970210276806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2.6869915706826339</v>
      </c>
      <c r="AC31" s="24">
        <f t="shared" si="3"/>
        <v>2.6869915706826339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4.298</v>
      </c>
      <c r="AI31" s="14">
        <f>IF('Données projet'!$A$62&gt;35,AI30+AH31-AQ30,IF(A31&lt;'Données projet'!$A$62,$AF$205^A31,IF(A31='Données projet'!$A$62,'Données projet'!$B$62,AI30+AH31-AQ30)))</f>
        <v>59.51400000000001</v>
      </c>
      <c r="AJ31" s="14">
        <f>AI31*VLOOKUP('Données projet'!$B$10,Paramètres!$A$1:$I$89,3,0)*VLOOKUP('Données projet'!$B$10,Paramètres!$A$1:$I$89,5,0)</f>
        <v>56.633522400000011</v>
      </c>
      <c r="AK31" s="14">
        <f t="shared" si="35"/>
        <v>16.314278613359491</v>
      </c>
      <c r="AL31" s="22">
        <f t="shared" si="4"/>
        <v>127.05075343160114</v>
      </c>
      <c r="AM31" s="62">
        <f t="shared" si="5"/>
        <v>361.78222285358521</v>
      </c>
      <c r="AN31" s="62">
        <f ca="1">AVERAGE(OFFSET($AM$3,0,0,'Données projet'!$E$10+1,1))-AVERAGE(OFFSET($H$3,0,0,'Données projet'!$E$10+1,1))</f>
        <v>592.76231355549089</v>
      </c>
      <c r="AO31" s="62">
        <f t="shared" si="36"/>
        <v>200.66895551079014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0.84623324975202507</v>
      </c>
      <c r="AX31" s="23">
        <f t="shared" si="6"/>
        <v>0.84623324975202507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1.7753333333333332</v>
      </c>
      <c r="BD31" s="13">
        <f>IF('Données projet'!$A$88&gt;35,BD30+BC31-BL30,IF(A31&lt;'Données projet'!$A$88,$BA$205^A31,IF(A31='Données projet'!$A$88,'Données projet'!$B$88,BD30+BC31-BL30)))</f>
        <v>40.860883360686955</v>
      </c>
      <c r="BE31" s="14">
        <f>BD31*VLOOKUP('Données projet'!$B$11,Paramètres!$A$1:$I$89,3,0)*VLOOKUP('Données projet'!$B$11,Paramètres!$A$1:$I$89,5,0)</f>
        <v>36.970927264749555</v>
      </c>
      <c r="BF31" s="14">
        <f t="shared" si="37"/>
        <v>11.192148507522763</v>
      </c>
      <c r="BG31" s="22">
        <f t="shared" si="7"/>
        <v>83.884023636707624</v>
      </c>
      <c r="BH31" s="62">
        <f t="shared" si="8"/>
        <v>318.6154930586917</v>
      </c>
      <c r="BI31" s="62">
        <f ca="1">AVERAGE(OFFSET($BH$3,0,0,'Données projet'!$E$11+1,1))-AVERAGE(OFFSET($H$3,0,0,'Données projet'!$E$11+1,1))</f>
        <v>316.71836722354374</v>
      </c>
      <c r="BJ31" s="62">
        <f t="shared" si="38"/>
        <v>164.34067012996618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6.9720000000000004</v>
      </c>
      <c r="BY31" s="13">
        <f>IF('Données projet'!$A$114&gt;35,BY30+BX31-CG30,IF(A31&lt;'Données projet'!$A$114,$BV$205^A31,IF(A31='Données projet'!$A$114,'Données projet'!$B$114,BY30+BX31-CG30)))</f>
        <v>115.76599999999996</v>
      </c>
      <c r="BZ31" s="14">
        <f>BY31*VLOOKUP('Données projet'!$B$12,Paramètres!$A$1:$I$89,3,0)*VLOOKUP('Données projet'!$B$12,Paramètres!$A$1:$I$89,5,0)</f>
        <v>131.83432079999997</v>
      </c>
      <c r="CA31" s="14">
        <f t="shared" si="39"/>
        <v>34.419870749700451</v>
      </c>
      <c r="CB31" s="22">
        <f t="shared" si="10"/>
        <v>289.55938361572817</v>
      </c>
      <c r="CC31" s="62">
        <f t="shared" si="11"/>
        <v>524.29085303771228</v>
      </c>
      <c r="CD31" s="62">
        <f ca="1">AVERAGE(OFFSET($CC$3,0,0,'Données projet'!$E$12+1,1))-AVERAGE(OFFSET($H$3,0,0,'Données projet'!$E$12+1,1))</f>
        <v>454.9779384236806</v>
      </c>
      <c r="CE31" s="62">
        <f t="shared" si="40"/>
        <v>379.32753348721906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5.965444999208714E-2</v>
      </c>
      <c r="CN31" s="24">
        <f t="shared" si="12"/>
        <v>5.965444999208714E-2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9.1120000000000001</v>
      </c>
      <c r="CT31" s="13">
        <f>IF('Données projet'!$A$140&gt;35,CT30+CS31-DB30,IF(A31&lt;'Données projet'!$A$140,$CQ$205^A31,IF(A31='Données projet'!$A$140,'Données projet'!$B$140,CT30+CS31-DB30)))</f>
        <v>107.49599999999997</v>
      </c>
      <c r="CU31" s="18">
        <f>CT31*VLOOKUP('Données projet'!$B$13,Paramètres!$A$1:$I$89,3,0)*VLOOKUP('Données projet'!$B$13,Paramètres!$A$1:$I$89,5,0)</f>
        <v>83.84687999999997</v>
      </c>
      <c r="CV31" s="14">
        <f t="shared" si="41"/>
        <v>23.07517990942759</v>
      </c>
      <c r="CW31" s="22">
        <f t="shared" si="13"/>
        <v>186.22258767558631</v>
      </c>
      <c r="CX31" s="62">
        <f t="shared" si="14"/>
        <v>420.9540570975704</v>
      </c>
      <c r="CY31" s="62">
        <f ca="1">AVERAGE(OFFSET($CX$3,0,0,'Données projet'!$E$13+1,1))-AVERAGE(OFFSET($H$3,0,0,'Données projet'!$E$13+1,1))</f>
        <v>252.10592533338991</v>
      </c>
      <c r="CZ31" s="62">
        <f t="shared" si="42"/>
        <v>272.71831345325313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2.856006915958194</v>
      </c>
      <c r="DH31" s="23">
        <f>EXP(-LN(2)/2)*DH30+(1-EXP(-LN(2)/2))/(LN(2)/2)*DB31*DE31*VLOOKUP('Données projet'!$B$13,Paramètres!$A$1:$I$89,3,0)*0.475*44/12</f>
        <v>1.6193728383671915</v>
      </c>
      <c r="DI31" s="24">
        <f t="shared" si="15"/>
        <v>4.4753797543253855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13.388</v>
      </c>
      <c r="DO31" s="13">
        <f>IF('Données projet'!$A$166&gt;35,DO30+DN31-DW30,IF(A31&lt;'Données projet'!$A$166,$DL$205^A31,IF(A31='Données projet'!$A$166,'Données projet'!$B$166,DO30+DN31-DW30)))</f>
        <v>163.03400000000005</v>
      </c>
      <c r="DP31" s="18">
        <f>DO31*VLOOKUP('Données projet'!$B$14,Paramètres!$A$1:$I$89,3,0)*VLOOKUP('Données projet'!$B$14,Paramètres!$A$1:$I$89,5,0)</f>
        <v>97.494332000000028</v>
      </c>
      <c r="DQ31" s="14">
        <f t="shared" si="43"/>
        <v>26.364177955155032</v>
      </c>
      <c r="DR31" s="22">
        <f t="shared" si="16"/>
        <v>215.72023817189506</v>
      </c>
      <c r="DS31" s="62">
        <f t="shared" si="17"/>
        <v>450.45170759387918</v>
      </c>
      <c r="DT31" s="62">
        <f ca="1">AVERAGE(OFFSET($DS$3,0,0,'Données projet'!$E$14+1,1))-AVERAGE(OFFSET($H$3,0,0,'Données projet'!$E$14+1,1))</f>
        <v>423.0896575168394</v>
      </c>
      <c r="DU31" s="62">
        <f t="shared" si="44"/>
        <v>305.98537395014284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5.6141721014713086</v>
      </c>
      <c r="EC31" s="23">
        <f>EXP(-LN(2)/2)*EC30+(1-EXP(-LN(2)/2))/(LN(2)/2)*DW31*DZ31*VLOOKUP('Données projet'!$B$14,Paramètres!$A$1:$I$89,3,0)*0.475*44/12</f>
        <v>0.27802388652873955</v>
      </c>
      <c r="ED31" s="24">
        <f t="shared" si="18"/>
        <v>5.8921959880000481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22.201999999999998</v>
      </c>
      <c r="EJ31" s="13">
        <f>IF('Données projet'!$A$192&gt;35,EJ30+EI31-ER30,IF(A31&lt;'Données projet'!$A$192,$EG$205^A31,IF(A31='Données projet'!$A$192,'Données projet'!$B$192,EJ30+EI31-ER30)))</f>
        <v>192.72599999999997</v>
      </c>
      <c r="EK31" s="18">
        <f>EJ31*VLOOKUP('Données projet'!$B$15,Paramètres!$A$1:$I$89,3,0)*VLOOKUP('Données projet'!$B$15,Paramètres!$A$1:$I$89,5,0)</f>
        <v>115.25014799999998</v>
      </c>
      <c r="EL31" s="14">
        <f t="shared" si="45"/>
        <v>30.564583845471571</v>
      </c>
      <c r="EM31" s="22">
        <f t="shared" si="19"/>
        <v>253.96065796419626</v>
      </c>
      <c r="EN31" s="62">
        <f t="shared" si="20"/>
        <v>488.69212738618035</v>
      </c>
      <c r="EO31" s="62">
        <f ca="1">AVERAGE(OFFSET($EN$3,0,0,'Données projet'!$E$15+1,1))-AVERAGE(OFFSET($H$3,0,0,'Données projet'!$E$15+1,1))</f>
        <v>281.21543175875604</v>
      </c>
      <c r="EP31" s="62">
        <f t="shared" si="46"/>
        <v>366.68536296857428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1.2442963135759724</v>
      </c>
      <c r="EW31" s="23">
        <f>EXP(-LN(2)/25)*EW30+(1-EXP(-LN(2)/25))/(LN(2)/25)*Calculateur!ER31*Calculateur!ET31*VLOOKUP('Données projet'!$B$15,Paramètres!$A$1:$I$89,3,0)*0.475*44/12</f>
        <v>5.5865728329592041</v>
      </c>
      <c r="EX31" s="23">
        <f>EXP(-LN(2)/2)*EX30+(1-EXP(-LN(2)/2))/(LN(2)/2)*ER31*EU31*VLOOKUP('Données projet'!$B$15,Paramètres!$A$1:$I$89,3,0)*0.475*44/12</f>
        <v>2.2636593924882535</v>
      </c>
      <c r="EY31" s="24">
        <f t="shared" si="21"/>
        <v>9.0945285390234307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12.034000000000002</v>
      </c>
      <c r="FE31" s="13">
        <f>IF('Données projet'!$A$218&gt;35,FE30+FD31-FM30,IF(A31&lt;'Données projet'!$A$218,$FB$205^A31,IF(A31='Données projet'!$A$218,'Données projet'!$B$218,FE30+FD31-FM30)))</f>
        <v>121.71200000000005</v>
      </c>
      <c r="FF31" s="18">
        <f>FE31*VLOOKUP('Données projet'!$B$16,Paramètres!$A$1:$I$89,3,0)*VLOOKUP('Données projet'!$B$16,Paramètres!$A$1:$I$89,5,0)</f>
        <v>68.037008000000029</v>
      </c>
      <c r="FG31" s="14">
        <f t="shared" si="47"/>
        <v>19.185173434917946</v>
      </c>
      <c r="FH31" s="22">
        <f t="shared" si="22"/>
        <v>151.9119659991488</v>
      </c>
      <c r="FI31" s="62">
        <f t="shared" si="23"/>
        <v>386.64343542113289</v>
      </c>
      <c r="FJ31" s="62">
        <f ca="1">AVERAGE(OFFSET($FI$3,0,0,'Données projet'!$E$16+1,1))-AVERAGE(OFFSET($H$3,0,0,'Données projet'!$E$16+1,1))</f>
        <v>280.9225643428145</v>
      </c>
      <c r="FK31" s="62">
        <f t="shared" si="48"/>
        <v>236.89414218053955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17.16501212826002</v>
      </c>
      <c r="FS31" s="23">
        <f>EXP(-LN(2)/2)*FS30+(1-EXP(-LN(2)/2))/(LN(2)/2)*FM31*FP31*VLOOKUP('Données projet'!$B$16,Paramètres!$A$1:$I$89,3,0)*0.475*44/12</f>
        <v>1.6397507660875064</v>
      </c>
      <c r="FT31" s="24">
        <f t="shared" si="24"/>
        <v>18.804762894347526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28.214999999999996</v>
      </c>
      <c r="FZ31" s="13">
        <f>IF('Données projet'!$A$244&gt;35,FZ30+FY31-GH30,IF(A31&lt;'Données projet'!$A$244,$FW$205^A31,IF(A31='Données projet'!$A$244,'Données projet'!$B$244,FZ30+FY31-GH30)))</f>
        <v>450.7299999999999</v>
      </c>
      <c r="GA31" s="18">
        <f>FZ31*VLOOKUP('Données projet'!$B$17,Paramètres!$A$1:$I$89,3,0)*VLOOKUP('Données projet'!$B$17,Paramètres!$A$1:$I$89,5,0)</f>
        <v>199.22265999999996</v>
      </c>
      <c r="GB31" s="14">
        <f t="shared" si="49"/>
        <v>49.573293221042036</v>
      </c>
      <c r="GC31" s="22">
        <f t="shared" si="25"/>
        <v>433.31961852664813</v>
      </c>
      <c r="GD31" s="62">
        <f t="shared" si="26"/>
        <v>668.05108794863224</v>
      </c>
      <c r="GE31" s="62">
        <f ca="1">AVERAGE(OFFSET($GD$3,0,0,'Données projet'!$E$17+1,1))-AVERAGE(OFFSET($H$3,0,0,'Données projet'!$E$17+1,1))</f>
        <v>325.67421864225201</v>
      </c>
      <c r="GF31" s="62">
        <f t="shared" si="50"/>
        <v>542.01920418736745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41.869165039383411</v>
      </c>
      <c r="GN31" s="23">
        <f>EXP(-LN(2)/2)*GN30+(1-EXP(-LN(2)/2))/(LN(2)/2)*GH31*GK31*VLOOKUP('Données projet'!$B$17,Paramètres!$A$1:$I$89,3,0)*0.475*44/12</f>
        <v>0.89758031132566674</v>
      </c>
      <c r="GO31" s="23">
        <f t="shared" si="27"/>
        <v>42.76674535070908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1.2476666666666667</v>
      </c>
      <c r="GU31" s="13">
        <f>IF('Données projet'!$A$270&gt;35,GU30+GT31-HC30,IF(A31&lt;'Données projet'!$A$270,$GR$205^A31,IF(A31='Données projet'!$A$270,'Données projet'!$B$270,GU30+GT31-HC30)))</f>
        <v>29.39940258172199</v>
      </c>
      <c r="GV31" s="18">
        <f>GU31*VLOOKUP('Données projet'!$B$18,Paramètres!$A$1:$I$89,3,0)*VLOOKUP('Données projet'!$B$18,Paramètres!$A$1:$I$89,5,0)</f>
        <v>29.810994217866099</v>
      </c>
      <c r="GW31" s="14">
        <f t="shared" si="51"/>
        <v>9.2536081525719336</v>
      </c>
      <c r="GX31" s="22">
        <f t="shared" si="28"/>
        <v>68.037515795179573</v>
      </c>
      <c r="GY31" s="62">
        <f t="shared" si="29"/>
        <v>302.76898521716367</v>
      </c>
      <c r="GZ31" s="62">
        <f ca="1">AVERAGE(OFFSET($GY$3,0,0,'Données projet'!$E$18+1,1))-AVERAGE(OFFSET($H$3,0,0,'Données projet'!$E$18+1,1))</f>
        <v>220.89224520315713</v>
      </c>
      <c r="HA31" s="62">
        <f t="shared" si="52"/>
        <v>141.82763623159096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0.92600000000000016</v>
      </c>
      <c r="N32" s="14">
        <f>IF('Données projet'!$A$36&gt;35,N31+M32-V31,IF(A32&lt;'Données projet'!$A$36,$K$205^A32,IF(A32='Données projet'!$A$36,'Données projet'!$B$36,N31+M32-V31)))</f>
        <v>14.113999999999999</v>
      </c>
      <c r="O32" s="14">
        <f>N32*VLOOKUP('Données projet'!$B$9,Paramètres!$A$1:$I$89,3,0)*VLOOKUP('Données projet'!$B$9,Paramètres!$A$1:$I$89,5,0)</f>
        <v>13.6510608</v>
      </c>
      <c r="P32" s="14">
        <f t="shared" si="33"/>
        <v>4.6407171244896599</v>
      </c>
      <c r="Q32" s="22">
        <f t="shared" si="2"/>
        <v>31.858179885152822</v>
      </c>
      <c r="R32" s="62">
        <f t="shared" si="0"/>
        <v>268.78607720792866</v>
      </c>
      <c r="S32" s="62">
        <f ca="1">AVERAGE(OFFSET($R$3,0,0,'Données projet'!$E$9+1,1))-AVERAGE(OFFSET($H$3,0,0,'Données projet'!$E$9+1,1))</f>
        <v>84.959354125980269</v>
      </c>
      <c r="T32" s="62">
        <f t="shared" si="34"/>
        <v>89.658970210276806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1.8999899606207831</v>
      </c>
      <c r="AC32" s="24">
        <f t="shared" si="3"/>
        <v>1.8999899606207831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4.298</v>
      </c>
      <c r="AI32" s="14">
        <f>IF('Données projet'!$A$62&gt;35,AI31+AH32-AQ31,IF(A32&lt;'Données projet'!$A$62,$AF$205^A32,IF(A32='Données projet'!$A$62,'Données projet'!$B$62,AI31+AH32-AQ31)))</f>
        <v>63.812000000000012</v>
      </c>
      <c r="AJ32" s="14">
        <f>AI32*VLOOKUP('Données projet'!$B$10,Paramètres!$A$1:$I$89,3,0)*VLOOKUP('Données projet'!$B$10,Paramètres!$A$1:$I$89,5,0)</f>
        <v>60.723499200000013</v>
      </c>
      <c r="AK32" s="14">
        <f t="shared" si="35"/>
        <v>17.351064507931785</v>
      </c>
      <c r="AL32" s="22">
        <f t="shared" si="4"/>
        <v>135.97986512464789</v>
      </c>
      <c r="AM32" s="62">
        <f t="shared" si="5"/>
        <v>372.90776244742369</v>
      </c>
      <c r="AN32" s="62">
        <f ca="1">AVERAGE(OFFSET($AM$3,0,0,'Données projet'!$E$10+1,1))-AVERAGE(OFFSET($H$3,0,0,'Données projet'!$E$10+1,1))</f>
        <v>592.76231355549089</v>
      </c>
      <c r="AO32" s="62">
        <f t="shared" si="36"/>
        <v>200.66895551079014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0.5983772693651862</v>
      </c>
      <c r="AX32" s="23">
        <f t="shared" si="6"/>
        <v>0.5983772693651862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1.7753333333333332</v>
      </c>
      <c r="BD32" s="13">
        <f>IF('Données projet'!$A$88&gt;35,BD31+BC32-BL31,IF(A32&lt;'Données projet'!$A$88,$BA$205^A32,IF(A32='Données projet'!$A$88,'Données projet'!$B$88,BD31+BC32-BL31)))</f>
        <v>46.650301690237598</v>
      </c>
      <c r="BE32" s="14">
        <f>BD32*VLOOKUP('Données projet'!$B$11,Paramètres!$A$1:$I$89,3,0)*VLOOKUP('Données projet'!$B$11,Paramètres!$A$1:$I$89,5,0)</f>
        <v>42.209192969326978</v>
      </c>
      <c r="BF32" s="14">
        <f t="shared" si="37"/>
        <v>12.582349170020951</v>
      </c>
      <c r="BG32" s="22">
        <f t="shared" si="7"/>
        <v>95.428602559364307</v>
      </c>
      <c r="BH32" s="62">
        <f t="shared" si="8"/>
        <v>332.35649988214016</v>
      </c>
      <c r="BI32" s="62">
        <f ca="1">AVERAGE(OFFSET($BH$3,0,0,'Données projet'!$E$11+1,1))-AVERAGE(OFFSET($H$3,0,0,'Données projet'!$E$11+1,1))</f>
        <v>316.71836722354374</v>
      </c>
      <c r="BJ32" s="62">
        <f t="shared" si="38"/>
        <v>164.34067012996618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6.9720000000000004</v>
      </c>
      <c r="BY32" s="13">
        <f>IF('Données projet'!$A$114&gt;35,BY31+BX32-CG31,IF(A32&lt;'Données projet'!$A$114,$BV$205^A32,IF(A32='Données projet'!$A$114,'Données projet'!$B$114,BY31+BX32-CG31)))</f>
        <v>122.73799999999996</v>
      </c>
      <c r="BZ32" s="14">
        <f>BY32*VLOOKUP('Données projet'!$B$12,Paramètres!$A$1:$I$89,3,0)*VLOOKUP('Données projet'!$B$12,Paramètres!$A$1:$I$89,5,0)</f>
        <v>139.77403439999995</v>
      </c>
      <c r="CA32" s="14">
        <f t="shared" si="39"/>
        <v>36.245235083531306</v>
      </c>
      <c r="CB32" s="22">
        <f t="shared" si="10"/>
        <v>306.56689435048355</v>
      </c>
      <c r="CC32" s="62">
        <f t="shared" si="11"/>
        <v>543.49479167325944</v>
      </c>
      <c r="CD32" s="62">
        <f ca="1">AVERAGE(OFFSET($CC$3,0,0,'Données projet'!$E$12+1,1))-AVERAGE(OFFSET($H$3,0,0,'Données projet'!$E$12+1,1))</f>
        <v>454.9779384236806</v>
      </c>
      <c r="CE32" s="62">
        <f t="shared" si="40"/>
        <v>379.32753348721906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4.2182066117358606E-2</v>
      </c>
      <c r="CN32" s="24">
        <f t="shared" si="12"/>
        <v>4.2182066117358606E-2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9.1120000000000001</v>
      </c>
      <c r="CT32" s="13">
        <f>IF('Données projet'!$A$140&gt;35,CT31+CS32-DB31,IF(A32&lt;'Données projet'!$A$140,$CQ$205^A32,IF(A32='Données projet'!$A$140,'Données projet'!$B$140,CT31+CS32-DB31)))</f>
        <v>116.60799999999996</v>
      </c>
      <c r="CU32" s="18">
        <f>CT32*VLOOKUP('Données projet'!$B$13,Paramètres!$A$1:$I$89,3,0)*VLOOKUP('Données projet'!$B$13,Paramètres!$A$1:$I$89,5,0)</f>
        <v>90.95423999999997</v>
      </c>
      <c r="CV32" s="14">
        <f t="shared" si="41"/>
        <v>24.795223247558194</v>
      </c>
      <c r="CW32" s="22">
        <f t="shared" si="13"/>
        <v>201.59698182283049</v>
      </c>
      <c r="CX32" s="62">
        <f t="shared" si="14"/>
        <v>438.52487914560629</v>
      </c>
      <c r="CY32" s="62">
        <f ca="1">AVERAGE(OFFSET($CX$3,0,0,'Données projet'!$E$13+1,1))-AVERAGE(OFFSET($H$3,0,0,'Données projet'!$E$13+1,1))</f>
        <v>252.10592533338991</v>
      </c>
      <c r="CZ32" s="62">
        <f t="shared" si="42"/>
        <v>272.71831345325313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2.7779092566504411</v>
      </c>
      <c r="DH32" s="23">
        <f>EXP(-LN(2)/2)*DH31+(1-EXP(-LN(2)/2))/(LN(2)/2)*DB32*DE32*VLOOKUP('Données projet'!$B$13,Paramètres!$A$1:$I$89,3,0)*0.475*44/12</f>
        <v>1.1450695152787482</v>
      </c>
      <c r="DI32" s="24">
        <f t="shared" si="15"/>
        <v>3.9229787719291895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13.388</v>
      </c>
      <c r="DO32" s="13">
        <f>IF('Données projet'!$A$166&gt;35,DO31+DN32-DW31,IF(A32&lt;'Données projet'!$A$166,$DL$205^A32,IF(A32='Données projet'!$A$166,'Données projet'!$B$166,DO31+DN32-DW31)))</f>
        <v>176.42200000000005</v>
      </c>
      <c r="DP32" s="18">
        <f>DO32*VLOOKUP('Données projet'!$B$14,Paramètres!$A$1:$I$89,3,0)*VLOOKUP('Données projet'!$B$14,Paramètres!$A$1:$I$89,5,0)</f>
        <v>105.50035600000005</v>
      </c>
      <c r="DQ32" s="14">
        <f t="shared" si="43"/>
        <v>28.268270152618943</v>
      </c>
      <c r="DR32" s="22">
        <f t="shared" si="16"/>
        <v>232.98035721581141</v>
      </c>
      <c r="DS32" s="62">
        <f t="shared" si="17"/>
        <v>469.90825453858724</v>
      </c>
      <c r="DT32" s="62">
        <f ca="1">AVERAGE(OFFSET($DS$3,0,0,'Données projet'!$E$14+1,1))-AVERAGE(OFFSET($H$3,0,0,'Données projet'!$E$14+1,1))</f>
        <v>423.0896575168394</v>
      </c>
      <c r="DU32" s="62">
        <f t="shared" si="44"/>
        <v>305.98537395014284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5.4606522701200966</v>
      </c>
      <c r="EC32" s="23">
        <f>EXP(-LN(2)/2)*EC31+(1-EXP(-LN(2)/2))/(LN(2)/2)*DW32*DZ32*VLOOKUP('Données projet'!$B$14,Paramètres!$A$1:$I$89,3,0)*0.475*44/12</f>
        <v>0.19659257549631096</v>
      </c>
      <c r="ED32" s="24">
        <f t="shared" si="18"/>
        <v>5.6572448456164075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22.201999999999998</v>
      </c>
      <c r="EJ32" s="13">
        <f>IF('Données projet'!$A$192&gt;35,EJ31+EI32-ER31,IF(A32&lt;'Données projet'!$A$192,$EG$205^A32,IF(A32='Données projet'!$A$192,'Données projet'!$B$192,EJ31+EI32-ER31)))</f>
        <v>214.92799999999997</v>
      </c>
      <c r="EK32" s="18">
        <f>EJ32*VLOOKUP('Données projet'!$B$15,Paramètres!$A$1:$I$89,3,0)*VLOOKUP('Données projet'!$B$15,Paramètres!$A$1:$I$89,5,0)</f>
        <v>128.52694399999999</v>
      </c>
      <c r="EL32" s="14">
        <f t="shared" si="45"/>
        <v>33.655753916105667</v>
      </c>
      <c r="EM32" s="22">
        <f t="shared" si="19"/>
        <v>282.46819887055068</v>
      </c>
      <c r="EN32" s="62">
        <f t="shared" si="20"/>
        <v>519.39609619332646</v>
      </c>
      <c r="EO32" s="62">
        <f ca="1">AVERAGE(OFFSET($EN$3,0,0,'Données projet'!$E$15+1,1))-AVERAGE(OFFSET($H$3,0,0,'Données projet'!$E$15+1,1))</f>
        <v>281.21543175875604</v>
      </c>
      <c r="EP32" s="62">
        <f t="shared" si="46"/>
        <v>366.68536296857428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1.2198964218125592</v>
      </c>
      <c r="EW32" s="23">
        <f>EXP(-LN(2)/25)*EW31+(1-EXP(-LN(2)/25))/(LN(2)/25)*Calculateur!ER32*Calculateur!ET32*VLOOKUP('Données projet'!$B$15,Paramètres!$A$1:$I$89,3,0)*0.475*44/12</f>
        <v>5.4338077050568376</v>
      </c>
      <c r="EX32" s="23">
        <f>EXP(-LN(2)/2)*EX31+(1-EXP(-LN(2)/2))/(LN(2)/2)*ER32*EU32*VLOOKUP('Données projet'!$B$15,Paramètres!$A$1:$I$89,3,0)*0.475*44/12</f>
        <v>1.6006489067250647</v>
      </c>
      <c r="EY32" s="24">
        <f t="shared" si="21"/>
        <v>8.2543530335944624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12.034000000000002</v>
      </c>
      <c r="FE32" s="13">
        <f>IF('Données projet'!$A$218&gt;35,FE31+FD32-FM31,IF(A32&lt;'Données projet'!$A$218,$FB$205^A32,IF(A32='Données projet'!$A$218,'Données projet'!$B$218,FE31+FD32-FM31)))</f>
        <v>133.74600000000004</v>
      </c>
      <c r="FF32" s="18">
        <f>FE32*VLOOKUP('Données projet'!$B$16,Paramètres!$A$1:$I$89,3,0)*VLOOKUP('Données projet'!$B$16,Paramètres!$A$1:$I$89,5,0)</f>
        <v>74.764014000000032</v>
      </c>
      <c r="FG32" s="14">
        <f t="shared" si="47"/>
        <v>20.851958657227478</v>
      </c>
      <c r="FH32" s="22">
        <f t="shared" si="22"/>
        <v>166.53115237800458</v>
      </c>
      <c r="FI32" s="62">
        <f t="shared" si="23"/>
        <v>403.45904970078038</v>
      </c>
      <c r="FJ32" s="62">
        <f ca="1">AVERAGE(OFFSET($FI$3,0,0,'Données projet'!$E$16+1,1))-AVERAGE(OFFSET($H$3,0,0,'Données projet'!$E$16+1,1))</f>
        <v>280.9225643428145</v>
      </c>
      <c r="FK32" s="62">
        <f t="shared" si="48"/>
        <v>236.89414218053955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16.695633968943994</v>
      </c>
      <c r="FS32" s="23">
        <f>EXP(-LN(2)/2)*FS31+(1-EXP(-LN(2)/2))/(LN(2)/2)*FM32*FP32*VLOOKUP('Données projet'!$B$16,Paramètres!$A$1:$I$89,3,0)*0.475*44/12</f>
        <v>1.1594788861563121</v>
      </c>
      <c r="FT32" s="24">
        <f t="shared" si="24"/>
        <v>17.855112855100305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28.214999999999996</v>
      </c>
      <c r="FZ32" s="13">
        <f>IF('Données projet'!$A$244&gt;35,FZ31+FY32-GH31,IF(A32&lt;'Données projet'!$A$244,$FW$205^A32,IF(A32='Données projet'!$A$244,'Données projet'!$B$244,FZ31+FY32-GH31)))</f>
        <v>478.94499999999988</v>
      </c>
      <c r="GA32" s="18">
        <f>FZ32*VLOOKUP('Données projet'!$B$17,Paramètres!$A$1:$I$89,3,0)*VLOOKUP('Données projet'!$B$17,Paramètres!$A$1:$I$89,5,0)</f>
        <v>211.69368999999995</v>
      </c>
      <c r="GB32" s="14">
        <f t="shared" si="49"/>
        <v>52.305526365859549</v>
      </c>
      <c r="GC32" s="22">
        <f t="shared" si="25"/>
        <v>459.7986351705386</v>
      </c>
      <c r="GD32" s="62">
        <f t="shared" si="26"/>
        <v>696.72653249331438</v>
      </c>
      <c r="GE32" s="62">
        <f ca="1">AVERAGE(OFFSET($GD$3,0,0,'Données projet'!$E$17+1,1))-AVERAGE(OFFSET($H$3,0,0,'Données projet'!$E$17+1,1))</f>
        <v>325.67421864225201</v>
      </c>
      <c r="GF32" s="62">
        <f t="shared" si="50"/>
        <v>542.01920418736745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40.724250519577772</v>
      </c>
      <c r="GN32" s="23">
        <f>EXP(-LN(2)/2)*GN31+(1-EXP(-LN(2)/2))/(LN(2)/2)*GH32*GK32*VLOOKUP('Données projet'!$B$17,Paramètres!$A$1:$I$89,3,0)*0.475*44/12</f>
        <v>0.6346851247979115</v>
      </c>
      <c r="GO32" s="23">
        <f t="shared" si="27"/>
        <v>41.358935644375684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1.2476666666666667</v>
      </c>
      <c r="GU32" s="13">
        <f>IF('Données projet'!$A$270&gt;35,GU31+GT32-HC31,IF(A32&lt;'Données projet'!$A$270,$GR$205^A32,IF(A32='Données projet'!$A$270,'Données projet'!$B$270,GU31+GT32-HC31)))</f>
        <v>33.172573590751973</v>
      </c>
      <c r="GV32" s="18">
        <f>GU32*VLOOKUP('Données projet'!$B$18,Paramètres!$A$1:$I$89,3,0)*VLOOKUP('Données projet'!$B$18,Paramètres!$A$1:$I$89,5,0)</f>
        <v>33.636989621022501</v>
      </c>
      <c r="GW32" s="14">
        <f t="shared" si="51"/>
        <v>10.295505457931089</v>
      </c>
      <c r="GX32" s="22">
        <f t="shared" si="28"/>
        <v>76.515762262510847</v>
      </c>
      <c r="GY32" s="62">
        <f t="shared" si="29"/>
        <v>313.4436595852867</v>
      </c>
      <c r="GZ32" s="62">
        <f ca="1">AVERAGE(OFFSET($GY$3,0,0,'Données projet'!$E$18+1,1))-AVERAGE(OFFSET($H$3,0,0,'Données projet'!$E$18+1,1))</f>
        <v>220.89224520315713</v>
      </c>
      <c r="HA32" s="62">
        <f t="shared" si="52"/>
        <v>141.82763623159096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0.92600000000000016</v>
      </c>
      <c r="N33" s="14">
        <f>IF('Données projet'!$A$36&gt;35,N32+M33-V32,IF(A33&lt;'Données projet'!$A$36,$K$205^A33,IF(A33='Données projet'!$A$36,'Données projet'!$B$36,N32+M33-V32)))</f>
        <v>15.04</v>
      </c>
      <c r="O33" s="14">
        <f>N33*VLOOKUP('Données projet'!$B$9,Paramètres!$A$1:$I$89,3,0)*VLOOKUP('Données projet'!$B$9,Paramètres!$A$1:$I$89,5,0)</f>
        <v>14.546688</v>
      </c>
      <c r="P33" s="14">
        <f t="shared" si="33"/>
        <v>4.9087446950630653</v>
      </c>
      <c r="Q33" s="22">
        <f t="shared" si="2"/>
        <v>33.884878610568173</v>
      </c>
      <c r="R33" s="62">
        <f t="shared" si="0"/>
        <v>272.99230354361015</v>
      </c>
      <c r="S33" s="62">
        <f ca="1">AVERAGE(OFFSET($R$3,0,0,'Données projet'!$E$9+1,1))-AVERAGE(OFFSET($H$3,0,0,'Données projet'!$E$9+1,1))</f>
        <v>84.959354125980269</v>
      </c>
      <c r="T33" s="62">
        <f t="shared" si="34"/>
        <v>89.658970210276806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1.3434957853413172</v>
      </c>
      <c r="AC33" s="24">
        <f t="shared" si="3"/>
        <v>1.3434957853413172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68.11</v>
      </c>
      <c r="AG33" s="13">
        <f>VLOOKUP(A33,'Données projet'!$A$61:$I$81,9,0)</f>
        <v>4.298</v>
      </c>
      <c r="AH33" s="13">
        <f t="array" ref="AH33">INDEX(AG:AG,MIN(IF(ISNUMBER(AG33:AG229),ROW(AG33:AG229),"")))</f>
        <v>4.298</v>
      </c>
      <c r="AI33" s="14">
        <f>IF('Données projet'!$A$62&gt;35,AI32+AH33-AQ32,IF(A33&lt;'Données projet'!$A$62,$AF$205^A33,IF(A33='Données projet'!$A$62,'Données projet'!$B$62,AI32+AH33-AQ32)))</f>
        <v>68.110000000000014</v>
      </c>
      <c r="AJ33" s="14">
        <f>AI33*VLOOKUP('Données projet'!$B$10,Paramètres!$A$1:$I$89,3,0)*VLOOKUP('Données projet'!$B$10,Paramètres!$A$1:$I$89,5,0)</f>
        <v>64.813476000000009</v>
      </c>
      <c r="AK33" s="14">
        <f t="shared" si="35"/>
        <v>18.379747298228615</v>
      </c>
      <c r="AL33" s="22">
        <f t="shared" si="4"/>
        <v>144.8948639110815</v>
      </c>
      <c r="AM33" s="62">
        <f t="shared" si="5"/>
        <v>384.00228884412348</v>
      </c>
      <c r="AN33" s="62">
        <f ca="1">AVERAGE(OFFSET($AM$3,0,0,'Données projet'!$E$10+1,1))-AVERAGE(OFFSET($H$3,0,0,'Données projet'!$E$10+1,1))</f>
        <v>592.76231355549089</v>
      </c>
      <c r="AO33" s="62">
        <f t="shared" si="36"/>
        <v>200.66895551079014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25.54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0.17200000000000001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4.602963440141667</v>
      </c>
      <c r="AW33" s="23">
        <f>EXP(-LN(2)/2)*AW32+(1-EXP(-LN(2)/2))/(LN(2)/2)*AQ33*AT33*VLOOKUP('Données projet'!$B$10,Paramètres!$A$1:$I$89,3,0)*0.475*44/12</f>
        <v>5.009386587457807</v>
      </c>
      <c r="AX33" s="23">
        <f t="shared" si="6"/>
        <v>9.612350027599474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53.26</v>
      </c>
      <c r="BB33" s="13">
        <f>VLOOKUP(A33,'Données projet'!$A$87:$I$107,9,0)</f>
        <v>1.7753333333333332</v>
      </c>
      <c r="BC33" s="13">
        <f t="array" ref="BC33">INDEX(BB:BB,MIN(IF(ISNUMBER(BB33:BB229),ROW(BB33:BB229),"")))</f>
        <v>1.7753333333333332</v>
      </c>
      <c r="BD33" s="13">
        <f>IF('Données projet'!$A$88&gt;35,BD32+BC33-BL32,IF(A33&lt;'Données projet'!$A$88,$BA$205^A33,IF(A33='Données projet'!$A$88,'Données projet'!$B$88,BD32+BC33-BL32)))</f>
        <v>53.26</v>
      </c>
      <c r="BE33" s="14">
        <f>BD33*VLOOKUP('Données projet'!$B$11,Paramètres!$A$1:$I$89,3,0)*VLOOKUP('Données projet'!$B$11,Paramètres!$A$1:$I$89,5,0)</f>
        <v>48.189647999999991</v>
      </c>
      <c r="BF33" s="14">
        <f t="shared" si="37"/>
        <v>14.14522962502828</v>
      </c>
      <c r="BG33" s="22">
        <f t="shared" si="7"/>
        <v>108.56657853025757</v>
      </c>
      <c r="BH33" s="62">
        <f t="shared" si="8"/>
        <v>347.67400346329953</v>
      </c>
      <c r="BI33" s="62">
        <f ca="1">AVERAGE(OFFSET($BH$3,0,0,'Données projet'!$E$11+1,1))-AVERAGE(OFFSET($H$3,0,0,'Données projet'!$E$11+1,1))</f>
        <v>316.71836722354374</v>
      </c>
      <c r="BJ33" s="62">
        <f t="shared" si="38"/>
        <v>164.34067012996618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8.7200000000000006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0.3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2.2332874465082426</v>
      </c>
      <c r="BS33" s="24">
        <f t="shared" si="9"/>
        <v>2.2332874465082426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129.71</v>
      </c>
      <c r="BW33" s="13">
        <f>VLOOKUP(A33,'Données projet'!$A$113:$I$133,9,0)</f>
        <v>6.9720000000000004</v>
      </c>
      <c r="BX33" s="13">
        <f t="array" ref="BX33">INDEX(BW:BW,MIN(IF(ISNUMBER(BW33:BW229),ROW(BW33:BW229),"")))</f>
        <v>6.9720000000000004</v>
      </c>
      <c r="BY33" s="13">
        <f>IF('Données projet'!$A$114&gt;35,BY32+BX33-CG32,IF(A33&lt;'Données projet'!$A$114,$BV$205^A33,IF(A33='Données projet'!$A$114,'Données projet'!$B$114,BY32+BX33-CG32)))</f>
        <v>129.70999999999995</v>
      </c>
      <c r="BZ33" s="14">
        <f>BY33*VLOOKUP('Données projet'!$B$12,Paramètres!$A$1:$I$89,3,0)*VLOOKUP('Données projet'!$B$12,Paramètres!$A$1:$I$89,5,0)</f>
        <v>147.71374799999992</v>
      </c>
      <c r="CA33" s="14">
        <f t="shared" si="39"/>
        <v>38.058563131585032</v>
      </c>
      <c r="CB33" s="22">
        <f t="shared" si="10"/>
        <v>323.55344188751047</v>
      </c>
      <c r="CC33" s="62">
        <f t="shared" si="11"/>
        <v>562.66086682055243</v>
      </c>
      <c r="CD33" s="62">
        <f ca="1">AVERAGE(OFFSET($CC$3,0,0,'Données projet'!$E$12+1,1))-AVERAGE(OFFSET($H$3,0,0,'Données projet'!$E$12+1,1))</f>
        <v>454.9779384236806</v>
      </c>
      <c r="CE33" s="62">
        <f t="shared" si="40"/>
        <v>379.32753348721906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43.24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4.3000000000000003E-2</v>
      </c>
      <c r="CJ33" s="17">
        <f>IF(ISNA(VLOOKUP(A33,'Données projet'!$A$113:$I$133,7,0)),0%,VLOOKUP(A33,'Données projet'!$A$113:$I$133,7,0))</f>
        <v>0.3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2.331499633823507</v>
      </c>
      <c r="CM33" s="23">
        <f>EXP(-LN(2)/2)*CM32+(1-EXP(-LN(2)/2))/(LN(2)/2)*CG33*CJ33*VLOOKUP('Données projet'!$B$12,Paramètres!$A$1:$I$89,3,0)*0.475*44/12</f>
        <v>13.968091402970183</v>
      </c>
      <c r="CN33" s="24">
        <f t="shared" si="12"/>
        <v>16.299591036793689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125.72</v>
      </c>
      <c r="CR33" s="13">
        <f>VLOOKUP(A33,'Données projet'!$A$139:$I$159,9,0)</f>
        <v>9.1120000000000001</v>
      </c>
      <c r="CS33" s="13">
        <f t="array" ref="CS33">INDEX(CR:CR,MIN(IF(ISNUMBER(CR33:CR229),ROW(CR33:CR229),"")))</f>
        <v>9.1120000000000001</v>
      </c>
      <c r="CT33" s="13">
        <f>IF('Données projet'!$A$140&gt;35,CT32+CS33-DB32,IF(A33&lt;'Données projet'!$A$140,$CQ$205^A33,IF(A33='Données projet'!$A$140,'Données projet'!$B$140,CT32+CS33-DB32)))</f>
        <v>125.71999999999996</v>
      </c>
      <c r="CU33" s="18">
        <f>CT33*VLOOKUP('Données projet'!$B$13,Paramètres!$A$1:$I$89,3,0)*VLOOKUP('Données projet'!$B$13,Paramètres!$A$1:$I$89,5,0)</f>
        <v>98.06159999999997</v>
      </c>
      <c r="CV33" s="14">
        <f t="shared" si="41"/>
        <v>26.499675705384416</v>
      </c>
      <c r="CW33" s="22">
        <f t="shared" si="13"/>
        <v>216.94422185354446</v>
      </c>
      <c r="CX33" s="62">
        <f t="shared" si="14"/>
        <v>456.05164678658645</v>
      </c>
      <c r="CY33" s="62">
        <f ca="1">AVERAGE(OFFSET($CX$3,0,0,'Données projet'!$E$13+1,1))-AVERAGE(OFFSET($H$3,0,0,'Données projet'!$E$13+1,1))</f>
        <v>252.10592533338991</v>
      </c>
      <c r="CZ33" s="62">
        <f t="shared" si="42"/>
        <v>272.71831345325313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24.41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0.17200000000000001</v>
      </c>
      <c r="DE33" s="17">
        <f>IF(ISNA(VLOOKUP(A33,'Données projet'!$A$139:$I$159,7,0)),0%,VLOOKUP(A33,'Données projet'!$A$139:$I$159,7,0))</f>
        <v>0.2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6.3079377070553821</v>
      </c>
      <c r="DH33" s="23">
        <f>EXP(-LN(2)/2)*DH32+(1-EXP(-LN(2)/2))/(LN(2)/2)*DB33*DE33*VLOOKUP('Données projet'!$B$13,Paramètres!$A$1:$I$89,3,0)*0.475*44/12</f>
        <v>4.4025991689243309</v>
      </c>
      <c r="DI33" s="24">
        <f t="shared" si="15"/>
        <v>10.710536875979713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13.388</v>
      </c>
      <c r="DO33" s="13">
        <f>IF('Données projet'!$A$166&gt;35,DO32+DN33-DW32,IF(A33&lt;'Données projet'!$A$166,$DL$205^A33,IF(A33='Données projet'!$A$166,'Données projet'!$B$166,DO32+DN33-DW32)))</f>
        <v>189.81000000000006</v>
      </c>
      <c r="DP33" s="18">
        <f>DO33*VLOOKUP('Données projet'!$B$14,Paramètres!$A$1:$I$89,3,0)*VLOOKUP('Données projet'!$B$14,Paramètres!$A$1:$I$89,5,0)</f>
        <v>113.50638000000005</v>
      </c>
      <c r="DQ33" s="14">
        <f t="shared" si="43"/>
        <v>30.155600296899937</v>
      </c>
      <c r="DR33" s="22">
        <f t="shared" si="16"/>
        <v>250.21128235043417</v>
      </c>
      <c r="DS33" s="62">
        <f t="shared" si="17"/>
        <v>489.31870728347616</v>
      </c>
      <c r="DT33" s="62">
        <f ca="1">AVERAGE(OFFSET($DS$3,0,0,'Données projet'!$E$14+1,1))-AVERAGE(OFFSET($H$3,0,0,'Données projet'!$E$14+1,1))</f>
        <v>423.0896575168394</v>
      </c>
      <c r="DU33" s="62">
        <f t="shared" si="44"/>
        <v>305.98537395014284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5.3113304466304401</v>
      </c>
      <c r="EC33" s="23">
        <f>EXP(-LN(2)/2)*EC32+(1-EXP(-LN(2)/2))/(LN(2)/2)*DW33*DZ33*VLOOKUP('Données projet'!$B$14,Paramètres!$A$1:$I$89,3,0)*0.475*44/12</f>
        <v>0.13901194326436977</v>
      </c>
      <c r="ED33" s="24">
        <f t="shared" si="18"/>
        <v>5.4503423898948098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237.13</v>
      </c>
      <c r="EH33" s="13">
        <f>VLOOKUP(A33,'Données projet'!$A$191:$I$211,9,0)</f>
        <v>22.201999999999998</v>
      </c>
      <c r="EI33" s="13">
        <f t="array" ref="EI33">INDEX(EH:EH,MIN(IF(ISNUMBER(EH33:EH229),ROW(EH33:EH229),"")))</f>
        <v>22.201999999999998</v>
      </c>
      <c r="EJ33" s="13">
        <f>IF('Données projet'!$A$192&gt;35,EJ32+EI33-ER32,IF(A33&lt;'Données projet'!$A$192,$EG$205^A33,IF(A33='Données projet'!$A$192,'Données projet'!$B$192,EJ32+EI33-ER32)))</f>
        <v>237.12999999999997</v>
      </c>
      <c r="EK33" s="18">
        <f>EJ33*VLOOKUP('Données projet'!$B$15,Paramètres!$A$1:$I$89,3,0)*VLOOKUP('Données projet'!$B$15,Paramètres!$A$1:$I$89,5,0)</f>
        <v>141.80374</v>
      </c>
      <c r="EL33" s="14">
        <f t="shared" si="45"/>
        <v>36.709908632841532</v>
      </c>
      <c r="EM33" s="22">
        <f t="shared" si="19"/>
        <v>310.91127136886564</v>
      </c>
      <c r="EN33" s="62">
        <f t="shared" si="20"/>
        <v>550.01869630190765</v>
      </c>
      <c r="EO33" s="62">
        <f ca="1">AVERAGE(OFFSET($EN$3,0,0,'Données projet'!$E$15+1,1))-AVERAGE(OFFSET($H$3,0,0,'Données projet'!$E$15+1,1))</f>
        <v>281.21543175875604</v>
      </c>
      <c r="EP33" s="62">
        <f t="shared" si="46"/>
        <v>366.68536296857428</v>
      </c>
      <c r="EQ33" s="16">
        <f>IF(ISNA(VLOOKUP(A33,'Données projet'!$A$191:$I$211,3,0)),0,VLOOKUP(A33,'Données projet'!$A$191:$I$211,3,0))</f>
        <v>5</v>
      </c>
      <c r="ER33" s="16">
        <f>IF(ISNA(VLOOKUP(A33,'Données projet'!$A$191:$I$211,4,0)),0,VLOOKUP(A33,'Données projet'!$A$191:$I$211,4,0))</f>
        <v>59.81</v>
      </c>
      <c r="ES33" s="17">
        <f>IF(ISNA(VLOOKUP(A33,'Données projet'!$A$191:$I$211,5,0)),0%,VLOOKUP(A33,'Données projet'!$A$191:$I$211,5,0)*VLOOKUP('Données projet'!$B$15,Paramètres!$A$1:$I$89,7,0))</f>
        <v>0.22500000000000001</v>
      </c>
      <c r="ET33" s="17">
        <f>IF(ISNA(VLOOKUP(A33,'Données projet'!$A$191:$I$211,6,0)),0%,VLOOKUP(A33,'Données projet'!$A$191:$I$211,6,0)*VLOOKUP('Données projet'!$B$15,Paramètres!$A$1:$I$89,7,0))</f>
        <v>9.0000000000000011E-2</v>
      </c>
      <c r="EU33" s="17">
        <f>IF(ISNA(VLOOKUP(A33,'Données projet'!$A$191:$I$211,7,0)),0%,VLOOKUP(A33,'Données projet'!$A$191:$I$211,7,0))</f>
        <v>0.1</v>
      </c>
      <c r="EV33" s="23">
        <f>EXP(-LN(2)/35)*EV32+(1-EXP(-LN(2)/35))/(LN(2)/35)*ER33*ES33*VLOOKUP('Données projet'!$B$15,Paramètres!$A$1:$I$89,3,0)*0.475*44/12</f>
        <v>11.871416888786488</v>
      </c>
      <c r="EW33" s="23">
        <f>EXP(-LN(2)/25)*EW32+(1-EXP(-LN(2)/25))/(LN(2)/25)*Calculateur!ER33*Calculateur!ET33*VLOOKUP('Données projet'!$B$15,Paramètres!$A$1:$I$89,3,0)*0.475*44/12</f>
        <v>9.5385833913514411</v>
      </c>
      <c r="EX33" s="23">
        <f>EXP(-LN(2)/2)*EX32+(1-EXP(-LN(2)/2))/(LN(2)/2)*ER33*EU33*VLOOKUP('Données projet'!$B$15,Paramètres!$A$1:$I$89,3,0)*0.475*44/12</f>
        <v>5.1814147564045916</v>
      </c>
      <c r="EY33" s="24">
        <f t="shared" si="21"/>
        <v>26.591415036542521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145.78</v>
      </c>
      <c r="FC33" s="13">
        <f>VLOOKUP(A33,'Données projet'!$A$217:$I$237,9,0)</f>
        <v>12.034000000000002</v>
      </c>
      <c r="FD33" s="13">
        <f t="array" ref="FD33">INDEX(FC:FC,MIN(IF(ISNUMBER(FC33:FC229),ROW(FC33:FC229),"")))</f>
        <v>12.034000000000002</v>
      </c>
      <c r="FE33" s="13">
        <f>IF('Données projet'!$A$218&gt;35,FE32+FD33-FM32,IF(A33&lt;'Données projet'!$A$218,$FB$205^A33,IF(A33='Données projet'!$A$218,'Données projet'!$B$218,FE32+FD33-FM32)))</f>
        <v>145.78000000000003</v>
      </c>
      <c r="FF33" s="18">
        <f>FE33*VLOOKUP('Données projet'!$B$16,Paramètres!$A$1:$I$89,3,0)*VLOOKUP('Données projet'!$B$16,Paramètres!$A$1:$I$89,5,0)</f>
        <v>81.49102000000002</v>
      </c>
      <c r="FG33" s="14">
        <f t="shared" si="47"/>
        <v>22.501353539233044</v>
      </c>
      <c r="FH33" s="22">
        <f t="shared" si="22"/>
        <v>181.12005058083091</v>
      </c>
      <c r="FI33" s="62">
        <f t="shared" si="23"/>
        <v>420.22747551387289</v>
      </c>
      <c r="FJ33" s="62">
        <f ca="1">AVERAGE(OFFSET($FI$3,0,0,'Données projet'!$E$16+1,1))-AVERAGE(OFFSET($H$3,0,0,'Données projet'!$E$16+1,1))</f>
        <v>280.9225643428145</v>
      </c>
      <c r="FK33" s="62">
        <f t="shared" si="48"/>
        <v>236.89414218053955</v>
      </c>
      <c r="FL33" s="16">
        <f>IF(ISNA(VLOOKUP(A33,'Données projet'!$A$217:$I$237,3,0)),0,VLOOKUP(A33,'Données projet'!$A$217:$I$237,3,0))</f>
        <v>3</v>
      </c>
      <c r="FM33" s="16">
        <f>IF(ISNA(VLOOKUP(A33,'Données projet'!$A$217:$I$237,4,0)),0,VLOOKUP(A33,'Données projet'!$A$217:$I$237,4,0))</f>
        <v>38.479999999999997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0.44000000000000006</v>
      </c>
      <c r="FP33" s="17">
        <f>IF(ISNA(VLOOKUP(A33,'Données projet'!$A$217:$I$237,7,0)),0%,VLOOKUP(A33,'Données projet'!$A$217:$I$237,7,0))</f>
        <v>0.2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28.744979300187651</v>
      </c>
      <c r="FS33" s="23">
        <f>EXP(-LN(2)/2)*FS32+(1-EXP(-LN(2)/2))/(LN(2)/2)*FM33*FP33*VLOOKUP('Données projet'!$B$16,Paramètres!$A$1:$I$89,3,0)*0.475*44/12</f>
        <v>5.6908111898696507</v>
      </c>
      <c r="FT33" s="24">
        <f t="shared" si="24"/>
        <v>34.4357904900573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507.16</v>
      </c>
      <c r="FX33" s="13">
        <f>VLOOKUP(A33,'Données projet'!$A$243:$I$263,9,0)</f>
        <v>28.214999999999996</v>
      </c>
      <c r="FY33" s="13">
        <f t="array" ref="FY33">INDEX(FX:FX,MIN(IF(ISNUMBER(FX33:FX229),ROW(FX33:FX229),"")))</f>
        <v>28.214999999999996</v>
      </c>
      <c r="FZ33" s="13">
        <f>IF('Données projet'!$A$244&gt;35,FZ32+FY33-GH32,IF(A33&lt;'Données projet'!$A$244,$FW$205^A33,IF(A33='Données projet'!$A$244,'Données projet'!$B$244,FZ32+FY33-GH32)))</f>
        <v>507.15999999999985</v>
      </c>
      <c r="GA33" s="18">
        <f>FZ33*VLOOKUP('Données projet'!$B$17,Paramètres!$A$1:$I$89,3,0)*VLOOKUP('Données projet'!$B$17,Paramètres!$A$1:$I$89,5,0)</f>
        <v>224.16471999999996</v>
      </c>
      <c r="GB33" s="14">
        <f t="shared" si="49"/>
        <v>55.019076701048171</v>
      </c>
      <c r="GC33" s="22">
        <f t="shared" si="25"/>
        <v>486.24511258765887</v>
      </c>
      <c r="GD33" s="62">
        <f t="shared" si="26"/>
        <v>725.35253752070082</v>
      </c>
      <c r="GE33" s="62">
        <f ca="1">AVERAGE(OFFSET($GD$3,0,0,'Données projet'!$E$17+1,1))-AVERAGE(OFFSET($H$3,0,0,'Données projet'!$E$17+1,1))</f>
        <v>325.67421864225201</v>
      </c>
      <c r="GF33" s="62">
        <f t="shared" si="50"/>
        <v>542.01920418736745</v>
      </c>
      <c r="GG33" s="16">
        <f>IF(ISNA(VLOOKUP(A33,'Données projet'!$A$243:$I$263,3,0)),0,VLOOKUP(A33,'Données projet'!$A$243:$I$263,3,0))</f>
        <v>3</v>
      </c>
      <c r="GH33" s="16">
        <f>IF(ISNA(VLOOKUP(A33,'Données projet'!$A$243:$I$263,4,0)),0,VLOOKUP(A33,'Données projet'!$A$243:$I$263,4,0))</f>
        <v>152.65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0.44000000000000006</v>
      </c>
      <c r="GK33" s="17">
        <f>IF(ISNA(VLOOKUP(A33,'Données projet'!$A$243:$I$263,7,0)),0%,VLOOKUP(A33,'Données projet'!$A$243:$I$263,7,0))</f>
        <v>0.2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78.837793441839551</v>
      </c>
      <c r="GN33" s="23">
        <f>EXP(-LN(2)/2)*GN32+(1-EXP(-LN(2)/2))/(LN(2)/2)*GH33*GK33*VLOOKUP('Données projet'!$B$17,Paramètres!$A$1:$I$89,3,0)*0.475*44/12</f>
        <v>15.727427158882321</v>
      </c>
      <c r="GO33" s="23">
        <f t="shared" si="27"/>
        <v>94.565220600721872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37.43</v>
      </c>
      <c r="GS33" s="13">
        <f>VLOOKUP(A33,'Données projet'!$A$269:$I$289,9,0)</f>
        <v>1.2476666666666667</v>
      </c>
      <c r="GT33" s="13">
        <f t="array" ref="GT33">INDEX(GS:GS,MIN(IF(ISNUMBER(GS33:GS229),ROW(GS33:GS229),"")))</f>
        <v>1.2476666666666667</v>
      </c>
      <c r="GU33" s="13">
        <f>IF('Données projet'!$A$270&gt;35,GU32+GT33-HC32,IF(A33&lt;'Données projet'!$A$270,$GR$205^A33,IF(A33='Données projet'!$A$270,'Données projet'!$B$270,GU32+GT33-HC32)))</f>
        <v>37.43</v>
      </c>
      <c r="GV33" s="18">
        <f>GU33*VLOOKUP('Données projet'!$B$18,Paramètres!$A$1:$I$89,3,0)*VLOOKUP('Données projet'!$B$18,Paramètres!$A$1:$I$89,5,0)</f>
        <v>37.95402</v>
      </c>
      <c r="GW33" s="14">
        <f t="shared" si="51"/>
        <v>11.45471375993244</v>
      </c>
      <c r="GX33" s="22">
        <f t="shared" si="28"/>
        <v>86.053544631882332</v>
      </c>
      <c r="GY33" s="62">
        <f t="shared" si="29"/>
        <v>325.1609695649243</v>
      </c>
      <c r="GZ33" s="62">
        <f ca="1">AVERAGE(OFFSET($GY$3,0,0,'Données projet'!$E$18+1,1))-AVERAGE(OFFSET($H$3,0,0,'Données projet'!$E$18+1,1))</f>
        <v>220.89224520315713</v>
      </c>
      <c r="HA33" s="62">
        <f t="shared" si="52"/>
        <v>141.82763623159096</v>
      </c>
      <c r="HB33" s="16">
        <f>IF(ISNA(VLOOKUP(A33,'Données projet'!$A$269:$I$289,3,0)),0,VLOOKUP(A33,'Données projet'!$A$269:$I$289,3,0))</f>
        <v>1</v>
      </c>
      <c r="HC33" s="16">
        <f>IF(ISNA(VLOOKUP(A33,'Données projet'!$A$269:$I$289,4,0)),0,VLOOKUP(A33,'Données projet'!$A$269:$I$289,4,0))</f>
        <v>6.12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0.92600000000000016</v>
      </c>
      <c r="N34" s="14">
        <f>IF('Données projet'!$A$36&gt;35,N33+M34-V33,IF(A34&lt;'Données projet'!$A$36,$K$205^A34,IF(A34='Données projet'!$A$36,'Données projet'!$B$36,N33+M34-V33)))</f>
        <v>15.965999999999999</v>
      </c>
      <c r="O34" s="14">
        <f>N34*VLOOKUP('Données projet'!$B$9,Paramètres!$A$1:$I$89,3,0)*VLOOKUP('Données projet'!$B$9,Paramètres!$A$1:$I$89,5,0)</f>
        <v>15.442315200000001</v>
      </c>
      <c r="P34" s="14">
        <f t="shared" si="33"/>
        <v>5.1748569957108774</v>
      </c>
      <c r="Q34" s="22">
        <f t="shared" si="2"/>
        <v>35.908241574196445</v>
      </c>
      <c r="R34" s="62">
        <f t="shared" si="0"/>
        <v>275.95636478701402</v>
      </c>
      <c r="S34" s="62">
        <f ca="1">AVERAGE(OFFSET($R$3,0,0,'Données projet'!$E$9+1,1))-AVERAGE(OFFSET($H$3,0,0,'Données projet'!$E$9+1,1))</f>
        <v>84.959354125980269</v>
      </c>
      <c r="T34" s="62">
        <f t="shared" si="34"/>
        <v>89.658970210276806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0.94999498031039165</v>
      </c>
      <c r="AC34" s="24">
        <f t="shared" si="3"/>
        <v>0.94999498031039165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6.5376666666666665</v>
      </c>
      <c r="AI34" s="14">
        <f>IF('Données projet'!$A$62&gt;35,AI33+AH34-AQ33,IF(A34&lt;'Données projet'!$A$62,$AF$205^A34,IF(A34='Données projet'!$A$62,'Données projet'!$B$62,AI33+AH34-AQ33)))</f>
        <v>49.107666666666681</v>
      </c>
      <c r="AJ34" s="14">
        <f>AI34*VLOOKUP('Données projet'!$B$10,Paramètres!$A$1:$I$89,3,0)*VLOOKUP('Données projet'!$B$10,Paramètres!$A$1:$I$89,5,0)</f>
        <v>46.730855600000019</v>
      </c>
      <c r="AK34" s="14">
        <f t="shared" si="35"/>
        <v>13.766195187920804</v>
      </c>
      <c r="AL34" s="22">
        <f t="shared" si="4"/>
        <v>105.36569678896211</v>
      </c>
      <c r="AM34" s="62">
        <f t="shared" si="5"/>
        <v>345.41382000177964</v>
      </c>
      <c r="AN34" s="62">
        <f ca="1">AVERAGE(OFFSET($AM$3,0,0,'Données projet'!$E$10+1,1))-AVERAGE(OFFSET($H$3,0,0,'Données projet'!$E$10+1,1))</f>
        <v>592.76231355549089</v>
      </c>
      <c r="AO34" s="62">
        <f t="shared" si="36"/>
        <v>200.66895551079014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4.4770951628116658</v>
      </c>
      <c r="AW34" s="23">
        <f>EXP(-LN(2)/2)*AW33+(1-EXP(-LN(2)/2))/(LN(2)/2)*AQ34*AT34*VLOOKUP('Données projet'!$B$10,Paramètres!$A$1:$I$89,3,0)*0.475*44/12</f>
        <v>3.5421712255763538</v>
      </c>
      <c r="AX34" s="23">
        <f t="shared" si="6"/>
        <v>8.0192663883880186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4.5359999999999996</v>
      </c>
      <c r="BD34" s="13">
        <f>IF('Données projet'!$A$88&gt;35,BD33+BC34-BL33,IF(A34&lt;'Données projet'!$A$88,$BA$205^A34,IF(A34='Données projet'!$A$88,'Données projet'!$B$88,BD33+BC34-BL33)))</f>
        <v>49.076000000000001</v>
      </c>
      <c r="BE34" s="14">
        <f>BD34*VLOOKUP('Données projet'!$B$11,Paramètres!$A$1:$I$89,3,0)*VLOOKUP('Données projet'!$B$11,Paramètres!$A$1:$I$89,5,0)</f>
        <v>44.403964799999997</v>
      </c>
      <c r="BF34" s="14">
        <f t="shared" si="37"/>
        <v>13.158728395736739</v>
      </c>
      <c r="BG34" s="22">
        <f t="shared" si="7"/>
        <v>100.25502398257481</v>
      </c>
      <c r="BH34" s="62">
        <f t="shared" si="8"/>
        <v>340.3031471953924</v>
      </c>
      <c r="BI34" s="62">
        <f ca="1">AVERAGE(OFFSET($BH$3,0,0,'Données projet'!$E$11+1,1))-AVERAGE(OFFSET($H$3,0,0,'Données projet'!$E$11+1,1))</f>
        <v>316.71836722354374</v>
      </c>
      <c r="BJ34" s="62">
        <f t="shared" si="38"/>
        <v>164.34067012996618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1.5791726977647675</v>
      </c>
      <c r="BS34" s="24">
        <f t="shared" si="9"/>
        <v>1.5791726977647675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6.6720000000000006</v>
      </c>
      <c r="BY34" s="13">
        <f>IF('Données projet'!$A$114&gt;35,BY33+BX34-CG33,IF(A34&lt;'Données projet'!$A$114,$BV$205^A34,IF(A34='Données projet'!$A$114,'Données projet'!$B$114,BY33+BX34-CG33)))</f>
        <v>93.141999999999939</v>
      </c>
      <c r="BZ34" s="14">
        <f>BY34*VLOOKUP('Données projet'!$B$12,Paramètres!$A$1:$I$89,3,0)*VLOOKUP('Données projet'!$B$12,Paramètres!$A$1:$I$89,5,0)</f>
        <v>106.07010959999992</v>
      </c>
      <c r="CA34" s="14">
        <f t="shared" si="39"/>
        <v>28.403120429614155</v>
      </c>
      <c r="CB34" s="22">
        <f t="shared" si="10"/>
        <v>234.20754230157786</v>
      </c>
      <c r="CC34" s="62">
        <f t="shared" si="11"/>
        <v>474.25566551439545</v>
      </c>
      <c r="CD34" s="62">
        <f ca="1">AVERAGE(OFFSET($CC$3,0,0,'Données projet'!$E$12+1,1))-AVERAGE(OFFSET($H$3,0,0,'Données projet'!$E$12+1,1))</f>
        <v>454.9779384236806</v>
      </c>
      <c r="CE34" s="62">
        <f t="shared" si="40"/>
        <v>379.32753348721906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2.2677446537283661</v>
      </c>
      <c r="CM34" s="23">
        <f>EXP(-LN(2)/2)*CM33+(1-EXP(-LN(2)/2))/(LN(2)/2)*CG34*CJ34*VLOOKUP('Données projet'!$B$12,Paramètres!$A$1:$I$89,3,0)*0.475*44/12</f>
        <v>9.8769321512737331</v>
      </c>
      <c r="CN34" s="24">
        <f t="shared" si="12"/>
        <v>12.144676805002099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9.4040000000000017</v>
      </c>
      <c r="CT34" s="13">
        <f>IF('Données projet'!$A$140&gt;35,CT33+CS34-DB33,IF(A34&lt;'Données projet'!$A$140,$CQ$205^A34,IF(A34='Données projet'!$A$140,'Données projet'!$B$140,CT33+CS34-DB33)))</f>
        <v>110.71399999999997</v>
      </c>
      <c r="CU34" s="18">
        <f>CT34*VLOOKUP('Données projet'!$B$13,Paramètres!$A$1:$I$89,3,0)*VLOOKUP('Données projet'!$B$13,Paramètres!$A$1:$I$89,5,0)</f>
        <v>86.356919999999974</v>
      </c>
      <c r="CV34" s="14">
        <f t="shared" si="41"/>
        <v>23.684500046154565</v>
      </c>
      <c r="CW34" s="22">
        <f t="shared" si="13"/>
        <v>191.65547324705247</v>
      </c>
      <c r="CX34" s="62">
        <f t="shared" si="14"/>
        <v>431.70359645987003</v>
      </c>
      <c r="CY34" s="62">
        <f ca="1">AVERAGE(OFFSET($CX$3,0,0,'Données projet'!$E$13+1,1))-AVERAGE(OFFSET($H$3,0,0,'Données projet'!$E$13+1,1))</f>
        <v>252.10592533338991</v>
      </c>
      <c r="CZ34" s="62">
        <f t="shared" si="42"/>
        <v>272.71831345325313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6.1354468187359261</v>
      </c>
      <c r="DH34" s="23">
        <f>EXP(-LN(2)/2)*DH33+(1-EXP(-LN(2)/2))/(LN(2)/2)*DB34*DE34*VLOOKUP('Données projet'!$B$13,Paramètres!$A$1:$I$89,3,0)*0.475*44/12</f>
        <v>3.1131077271926531</v>
      </c>
      <c r="DI34" s="24">
        <f t="shared" si="15"/>
        <v>9.2485545459285792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13.388</v>
      </c>
      <c r="DO34" s="13">
        <f>IF('Données projet'!$A$166&gt;35,DO33+DN34-DW33,IF(A34&lt;'Données projet'!$A$166,$DL$205^A34,IF(A34='Données projet'!$A$166,'Données projet'!$B$166,DO33+DN34-DW33)))</f>
        <v>203.19800000000006</v>
      </c>
      <c r="DP34" s="18">
        <f>DO34*VLOOKUP('Données projet'!$B$14,Paramètres!$A$1:$I$89,3,0)*VLOOKUP('Données projet'!$B$14,Paramètres!$A$1:$I$89,5,0)</f>
        <v>121.51240400000005</v>
      </c>
      <c r="DQ34" s="14">
        <f t="shared" si="43"/>
        <v>32.027485153234991</v>
      </c>
      <c r="DR34" s="22">
        <f t="shared" si="16"/>
        <v>267.41530694188435</v>
      </c>
      <c r="DS34" s="62">
        <f t="shared" si="17"/>
        <v>507.46343015470188</v>
      </c>
      <c r="DT34" s="62">
        <f ca="1">AVERAGE(OFFSET($DS$3,0,0,'Données projet'!$E$14+1,1))-AVERAGE(OFFSET($H$3,0,0,'Données projet'!$E$14+1,1))</f>
        <v>423.0896575168394</v>
      </c>
      <c r="DU34" s="62">
        <f t="shared" si="44"/>
        <v>305.98537395014284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5.1660918362566015</v>
      </c>
      <c r="EC34" s="23">
        <f>EXP(-LN(2)/2)*EC33+(1-EXP(-LN(2)/2))/(LN(2)/2)*DW34*DZ34*VLOOKUP('Données projet'!$B$14,Paramètres!$A$1:$I$89,3,0)*0.475*44/12</f>
        <v>9.8296287748155478E-2</v>
      </c>
      <c r="ED34" s="24">
        <f t="shared" si="18"/>
        <v>5.264388124004757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18.077999999999996</v>
      </c>
      <c r="EJ34" s="13">
        <f>IF('Données projet'!$A$192&gt;35,EJ33+EI34-ER33,IF(A34&lt;'Données projet'!$A$192,$EG$205^A34,IF(A34='Données projet'!$A$192,'Données projet'!$B$192,EJ33+EI34-ER33)))</f>
        <v>195.39799999999997</v>
      </c>
      <c r="EK34" s="18">
        <f>EJ34*VLOOKUP('Données projet'!$B$15,Paramètres!$A$1:$I$89,3,0)*VLOOKUP('Données projet'!$B$15,Paramètres!$A$1:$I$89,5,0)</f>
        <v>116.84800399999999</v>
      </c>
      <c r="EL34" s="14">
        <f t="shared" si="45"/>
        <v>30.93871300930406</v>
      </c>
      <c r="EM34" s="22">
        <f t="shared" si="19"/>
        <v>257.39519879120456</v>
      </c>
      <c r="EN34" s="62">
        <f t="shared" si="20"/>
        <v>497.44332200402209</v>
      </c>
      <c r="EO34" s="62">
        <f ca="1">AVERAGE(OFFSET($EN$3,0,0,'Données projet'!$E$15+1,1))-AVERAGE(OFFSET($H$3,0,0,'Données projet'!$E$15+1,1))</f>
        <v>281.21543175875604</v>
      </c>
      <c r="EP34" s="62">
        <f t="shared" si="46"/>
        <v>366.68536296857428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11.638625644446712</v>
      </c>
      <c r="EW34" s="23">
        <f>EXP(-LN(2)/25)*EW33+(1-EXP(-LN(2)/25))/(LN(2)/25)*Calculateur!ER34*Calculateur!ET34*VLOOKUP('Données projet'!$B$15,Paramètres!$A$1:$I$89,3,0)*0.475*44/12</f>
        <v>9.2777503269026358</v>
      </c>
      <c r="EX34" s="23">
        <f>EXP(-LN(2)/2)*EX33+(1-EXP(-LN(2)/2))/(LN(2)/2)*ER34*EU34*VLOOKUP('Données projet'!$B$15,Paramètres!$A$1:$I$89,3,0)*0.475*44/12</f>
        <v>3.6638135103937302</v>
      </c>
      <c r="EY34" s="24">
        <f t="shared" si="21"/>
        <v>24.580189481743076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12.379999999999995</v>
      </c>
      <c r="FE34" s="13">
        <f>IF('Données projet'!$A$218&gt;35,FE33+FD34-FM33,IF(A34&lt;'Données projet'!$A$218,$FB$205^A34,IF(A34='Données projet'!$A$218,'Données projet'!$B$218,FE33+FD34-FM33)))</f>
        <v>119.68000000000004</v>
      </c>
      <c r="FF34" s="18">
        <f>FE34*VLOOKUP('Données projet'!$B$16,Paramètres!$A$1:$I$89,3,0)*VLOOKUP('Données projet'!$B$16,Paramètres!$A$1:$I$89,5,0)</f>
        <v>66.90112000000002</v>
      </c>
      <c r="FG34" s="14">
        <f t="shared" si="47"/>
        <v>18.901880225372889</v>
      </c>
      <c r="FH34" s="22">
        <f t="shared" si="22"/>
        <v>149.44022539252447</v>
      </c>
      <c r="FI34" s="62">
        <f t="shared" si="23"/>
        <v>389.48834860534203</v>
      </c>
      <c r="FJ34" s="62">
        <f ca="1">AVERAGE(OFFSET($FI$3,0,0,'Données projet'!$E$16+1,1))-AVERAGE(OFFSET($H$3,0,0,'Données projet'!$E$16+1,1))</f>
        <v>280.9225643428145</v>
      </c>
      <c r="FK34" s="62">
        <f t="shared" si="48"/>
        <v>236.89414218053955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27.958946329591257</v>
      </c>
      <c r="FS34" s="23">
        <f>EXP(-LN(2)/2)*FS33+(1-EXP(-LN(2)/2))/(LN(2)/2)*FM34*FP34*VLOOKUP('Données projet'!$B$16,Paramètres!$A$1:$I$89,3,0)*0.475*44/12</f>
        <v>4.0240111828091152</v>
      </c>
      <c r="FT34" s="24">
        <f t="shared" si="24"/>
        <v>31.982957512400372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22.637999999999998</v>
      </c>
      <c r="FZ34" s="13">
        <f>IF('Données projet'!$A$244&gt;35,FZ33+FY34-GH33,IF(A34&lt;'Données projet'!$A$244,$FW$205^A34,IF(A34='Données projet'!$A$244,'Données projet'!$B$244,FZ33+FY34-GH33)))</f>
        <v>377.14799999999991</v>
      </c>
      <c r="GA34" s="18">
        <f>FZ34*VLOOKUP('Données projet'!$B$17,Paramètres!$A$1:$I$89,3,0)*VLOOKUP('Données projet'!$B$17,Paramètres!$A$1:$I$89,5,0)</f>
        <v>166.69941599999999</v>
      </c>
      <c r="GB34" s="14">
        <f t="shared" si="49"/>
        <v>42.349961173973171</v>
      </c>
      <c r="GC34" s="22">
        <f t="shared" si="25"/>
        <v>364.0943319113365</v>
      </c>
      <c r="GD34" s="62">
        <f t="shared" si="26"/>
        <v>604.14245512415403</v>
      </c>
      <c r="GE34" s="62">
        <f ca="1">AVERAGE(OFFSET($GD$3,0,0,'Données projet'!$E$17+1,1))-AVERAGE(OFFSET($H$3,0,0,'Données projet'!$E$17+1,1))</f>
        <v>325.67421864225201</v>
      </c>
      <c r="GF34" s="62">
        <f t="shared" si="50"/>
        <v>542.01920418736745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76.681969834273076</v>
      </c>
      <c r="GN34" s="23">
        <f>EXP(-LN(2)/2)*GN33+(1-EXP(-LN(2)/2))/(LN(2)/2)*GH34*GK34*VLOOKUP('Données projet'!$B$17,Paramètres!$A$1:$I$89,3,0)*0.475*44/12</f>
        <v>11.120970394663168</v>
      </c>
      <c r="GO34" s="23">
        <f t="shared" si="27"/>
        <v>87.802940228936251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3.0119999999999996</v>
      </c>
      <c r="GU34" s="13">
        <f>IF('Données projet'!$A$270&gt;35,GU33+GT34-HC33,IF(A34&lt;'Données projet'!$A$270,$GR$205^A34,IF(A34='Données projet'!$A$270,'Données projet'!$B$270,GU33+GT34-HC33)))</f>
        <v>34.322000000000003</v>
      </c>
      <c r="GV34" s="18">
        <f>GU34*VLOOKUP('Données projet'!$B$18,Paramètres!$A$1:$I$89,3,0)*VLOOKUP('Données projet'!$B$18,Paramètres!$A$1:$I$89,5,0)</f>
        <v>34.80250800000001</v>
      </c>
      <c r="GW34" s="14">
        <f t="shared" si="51"/>
        <v>10.610091757551086</v>
      </c>
      <c r="GX34" s="22">
        <f t="shared" si="28"/>
        <v>79.093611244401487</v>
      </c>
      <c r="GY34" s="62">
        <f t="shared" si="29"/>
        <v>319.14173445721906</v>
      </c>
      <c r="GZ34" s="62">
        <f ca="1">AVERAGE(OFFSET($GY$3,0,0,'Données projet'!$E$18+1,1))-AVERAGE(OFFSET($H$3,0,0,'Données projet'!$E$18+1,1))</f>
        <v>220.89224520315713</v>
      </c>
      <c r="HA34" s="62">
        <f t="shared" si="52"/>
        <v>141.82763623159096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0.92600000000000016</v>
      </c>
      <c r="N35" s="14">
        <f>IF('Données projet'!$A$36&gt;35,N34+M35-V34,IF(A35&lt;'Données projet'!$A$36,$K$205^A35,IF(A35='Données projet'!$A$36,'Données projet'!$B$36,N34+M35-V34)))</f>
        <v>16.891999999999999</v>
      </c>
      <c r="O35" s="14">
        <f>N35*VLOOKUP('Données projet'!$B$9,Paramètres!$A$1:$I$89,3,0)*VLOOKUP('Données projet'!$B$9,Paramètres!$A$1:$I$89,5,0)</f>
        <v>16.337942399999999</v>
      </c>
      <c r="P35" s="14">
        <f t="shared" si="33"/>
        <v>5.4391777637245884</v>
      </c>
      <c r="Q35" s="22">
        <f t="shared" ref="Q35:Q66" si="53">(O35+P35)*0.475*44/12</f>
        <v>37.928484285153658</v>
      </c>
      <c r="R35" s="62">
        <f t="shared" si="0"/>
        <v>278.90098676567897</v>
      </c>
      <c r="S35" s="62">
        <f ca="1">AVERAGE(OFFSET($R$3,0,0,'Données projet'!$E$9+1,1))-AVERAGE(OFFSET($H$3,0,0,'Données projet'!$E$9+1,1))</f>
        <v>84.959354125980269</v>
      </c>
      <c r="T35" s="62">
        <f t="shared" si="34"/>
        <v>89.658970210276806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0.67174789267065871</v>
      </c>
      <c r="AC35" s="24">
        <f t="shared" si="3"/>
        <v>0.67174789267065871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6.5376666666666665</v>
      </c>
      <c r="AI35" s="14">
        <f>IF('Données projet'!$A$62&gt;35,AI34+AH35-AQ34,IF(A35&lt;'Données projet'!$A$62,$AF$205^A35,IF(A35='Données projet'!$A$62,'Données projet'!$B$62,AI34+AH35-AQ34)))</f>
        <v>55.645333333333348</v>
      </c>
      <c r="AJ35" s="14">
        <f>AI35*VLOOKUP('Données projet'!$B$10,Paramètres!$A$1:$I$89,3,0)*VLOOKUP('Données projet'!$B$10,Paramètres!$A$1:$I$89,5,0)</f>
        <v>52.952099200000021</v>
      </c>
      <c r="AK35" s="14">
        <f t="shared" si="35"/>
        <v>15.373588214706642</v>
      </c>
      <c r="AL35" s="22">
        <f t="shared" si="4"/>
        <v>119.00057224728077</v>
      </c>
      <c r="AM35" s="62">
        <f t="shared" si="5"/>
        <v>359.97307472780608</v>
      </c>
      <c r="AN35" s="62">
        <f ca="1">AVERAGE(OFFSET($AM$3,0,0,'Données projet'!$E$10+1,1))-AVERAGE(OFFSET($H$3,0,0,'Données projet'!$E$10+1,1))</f>
        <v>592.76231355549089</v>
      </c>
      <c r="AO35" s="62">
        <f t="shared" si="36"/>
        <v>200.66895551079014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4.3546687601443788</v>
      </c>
      <c r="AW35" s="23">
        <f>EXP(-LN(2)/2)*AW34+(1-EXP(-LN(2)/2))/(LN(2)/2)*AQ35*AT35*VLOOKUP('Données projet'!$B$10,Paramètres!$A$1:$I$89,3,0)*0.475*44/12</f>
        <v>2.5046932937289039</v>
      </c>
      <c r="AX35" s="23">
        <f t="shared" si="6"/>
        <v>6.8593620538732827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4.5359999999999996</v>
      </c>
      <c r="BD35" s="13">
        <f>IF('Données projet'!$A$88&gt;35,BD34+BC35-BL34,IF(A35&lt;'Données projet'!$A$88,$BA$205^A35,IF(A35='Données projet'!$A$88,'Données projet'!$B$88,BD34+BC35-BL34)))</f>
        <v>53.612000000000002</v>
      </c>
      <c r="BE35" s="14">
        <f>BD35*VLOOKUP('Données projet'!$B$11,Paramètres!$A$1:$I$89,3,0)*VLOOKUP('Données projet'!$B$11,Paramètres!$A$1:$I$89,5,0)</f>
        <v>48.508137600000005</v>
      </c>
      <c r="BF35" s="14">
        <f t="shared" si="37"/>
        <v>14.227803095339166</v>
      </c>
      <c r="BG35" s="22">
        <f t="shared" si="7"/>
        <v>109.26509671104903</v>
      </c>
      <c r="BH35" s="62">
        <f t="shared" si="8"/>
        <v>350.23759919157436</v>
      </c>
      <c r="BI35" s="62">
        <f ca="1">AVERAGE(OFFSET($BH$3,0,0,'Données projet'!$E$11+1,1))-AVERAGE(OFFSET($H$3,0,0,'Données projet'!$E$11+1,1))</f>
        <v>316.71836722354374</v>
      </c>
      <c r="BJ35" s="62">
        <f t="shared" si="38"/>
        <v>164.34067012996618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1.1166437232541215</v>
      </c>
      <c r="BS35" s="24">
        <f t="shared" si="9"/>
        <v>1.1166437232541215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6.6720000000000006</v>
      </c>
      <c r="BY35" s="13">
        <f>IF('Données projet'!$A$114&gt;35,BY34+BX35-CG34,IF(A35&lt;'Données projet'!$A$114,$BV$205^A35,IF(A35='Données projet'!$A$114,'Données projet'!$B$114,BY34+BX35-CG34)))</f>
        <v>99.813999999999936</v>
      </c>
      <c r="BZ35" s="14">
        <f>BY35*VLOOKUP('Données projet'!$B$12,Paramètres!$A$1:$I$89,3,0)*VLOOKUP('Données projet'!$B$12,Paramètres!$A$1:$I$89,5,0)</f>
        <v>113.66818319999992</v>
      </c>
      <c r="CA35" s="14">
        <f t="shared" si="39"/>
        <v>30.193580257118832</v>
      </c>
      <c r="CB35" s="22">
        <f t="shared" si="10"/>
        <v>250.55923802114845</v>
      </c>
      <c r="CC35" s="62">
        <f t="shared" si="11"/>
        <v>491.53174050167377</v>
      </c>
      <c r="CD35" s="62">
        <f ca="1">AVERAGE(OFFSET($CC$3,0,0,'Données projet'!$E$12+1,1))-AVERAGE(OFFSET($H$3,0,0,'Données projet'!$E$12+1,1))</f>
        <v>454.9779384236806</v>
      </c>
      <c r="CE35" s="62">
        <f t="shared" si="40"/>
        <v>379.32753348721906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2.2057330569166558</v>
      </c>
      <c r="CM35" s="23">
        <f>EXP(-LN(2)/2)*CM34+(1-EXP(-LN(2)/2))/(LN(2)/2)*CG35*CJ35*VLOOKUP('Données projet'!$B$12,Paramètres!$A$1:$I$89,3,0)*0.475*44/12</f>
        <v>6.9840457014850923</v>
      </c>
      <c r="CN35" s="24">
        <f t="shared" si="12"/>
        <v>9.1897787584017472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9.4040000000000017</v>
      </c>
      <c r="CT35" s="13">
        <f>IF('Données projet'!$A$140&gt;35,CT34+CS35-DB34,IF(A35&lt;'Données projet'!$A$140,$CQ$205^A35,IF(A35='Données projet'!$A$140,'Données projet'!$B$140,CT34+CS35-DB34)))</f>
        <v>120.11799999999997</v>
      </c>
      <c r="CU35" s="18">
        <f>CT35*VLOOKUP('Données projet'!$B$13,Paramètres!$A$1:$I$89,3,0)*VLOOKUP('Données projet'!$B$13,Paramètres!$A$1:$I$89,5,0)</f>
        <v>93.692039999999977</v>
      </c>
      <c r="CV35" s="14">
        <f t="shared" si="41"/>
        <v>25.453561983530758</v>
      </c>
      <c r="CW35" s="22">
        <f t="shared" si="13"/>
        <v>207.51192345464938</v>
      </c>
      <c r="CX35" s="62">
        <f t="shared" si="14"/>
        <v>448.48442593517473</v>
      </c>
      <c r="CY35" s="62">
        <f ca="1">AVERAGE(OFFSET($CX$3,0,0,'Données projet'!$E$13+1,1))-AVERAGE(OFFSET($H$3,0,0,'Données projet'!$E$13+1,1))</f>
        <v>252.10592533338991</v>
      </c>
      <c r="CZ35" s="62">
        <f t="shared" si="42"/>
        <v>272.71831345325313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5.9676727028284668</v>
      </c>
      <c r="DH35" s="23">
        <f>EXP(-LN(2)/2)*DH34+(1-EXP(-LN(2)/2))/(LN(2)/2)*DB35*DE35*VLOOKUP('Données projet'!$B$13,Paramètres!$A$1:$I$89,3,0)*0.475*44/12</f>
        <v>2.2012995844621659</v>
      </c>
      <c r="DI35" s="24">
        <f t="shared" si="15"/>
        <v>8.1689722872906323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13.388</v>
      </c>
      <c r="DO35" s="13">
        <f>IF('Données projet'!$A$166&gt;35,DO34+DN35-DW34,IF(A35&lt;'Données projet'!$A$166,$DL$205^A35,IF(A35='Données projet'!$A$166,'Données projet'!$B$166,DO34+DN35-DW34)))</f>
        <v>216.58600000000007</v>
      </c>
      <c r="DP35" s="18">
        <f>DO35*VLOOKUP('Données projet'!$B$14,Paramètres!$A$1:$I$89,3,0)*VLOOKUP('Données projet'!$B$14,Paramètres!$A$1:$I$89,5,0)</f>
        <v>129.51842800000006</v>
      </c>
      <c r="DQ35" s="14">
        <f t="shared" si="43"/>
        <v>33.885058158397179</v>
      </c>
      <c r="DR35" s="22">
        <f t="shared" si="16"/>
        <v>284.59440505920855</v>
      </c>
      <c r="DS35" s="62">
        <f t="shared" si="17"/>
        <v>525.56690753973385</v>
      </c>
      <c r="DT35" s="62">
        <f ca="1">AVERAGE(OFFSET($DS$3,0,0,'Données projet'!$E$14+1,1))-AVERAGE(OFFSET($H$3,0,0,'Données projet'!$E$14+1,1))</f>
        <v>423.0896575168394</v>
      </c>
      <c r="DU35" s="62">
        <f t="shared" si="44"/>
        <v>305.98537395014284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5.0248247833212023</v>
      </c>
      <c r="EC35" s="23">
        <f>EXP(-LN(2)/2)*EC34+(1-EXP(-LN(2)/2))/(LN(2)/2)*DW35*DZ35*VLOOKUP('Données projet'!$B$14,Paramètres!$A$1:$I$89,3,0)*0.475*44/12</f>
        <v>6.9505971632184887E-2</v>
      </c>
      <c r="ED35" s="24">
        <f t="shared" si="18"/>
        <v>5.0943307549533872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18.077999999999996</v>
      </c>
      <c r="EJ35" s="13">
        <f>IF('Données projet'!$A$192&gt;35,EJ34+EI35-ER34,IF(A35&lt;'Données projet'!$A$192,$EG$205^A35,IF(A35='Données projet'!$A$192,'Données projet'!$B$192,EJ34+EI35-ER34)))</f>
        <v>213.47599999999997</v>
      </c>
      <c r="EK35" s="18">
        <f>EJ35*VLOOKUP('Données projet'!$B$15,Paramètres!$A$1:$I$89,3,0)*VLOOKUP('Données projet'!$B$15,Paramètres!$A$1:$I$89,5,0)</f>
        <v>127.65864799999999</v>
      </c>
      <c r="EL35" s="14">
        <f t="shared" si="45"/>
        <v>33.454770693850527</v>
      </c>
      <c r="EM35" s="22">
        <f t="shared" si="19"/>
        <v>280.60587089178966</v>
      </c>
      <c r="EN35" s="62">
        <f t="shared" si="20"/>
        <v>521.57837337231501</v>
      </c>
      <c r="EO35" s="62">
        <f ca="1">AVERAGE(OFFSET($EN$3,0,0,'Données projet'!$E$15+1,1))-AVERAGE(OFFSET($H$3,0,0,'Données projet'!$E$15+1,1))</f>
        <v>281.21543175875604</v>
      </c>
      <c r="EP35" s="62">
        <f t="shared" si="46"/>
        <v>366.68536296857428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11.4103992944198</v>
      </c>
      <c r="EW35" s="23">
        <f>EXP(-LN(2)/25)*EW34+(1-EXP(-LN(2)/25))/(LN(2)/25)*Calculateur!ER35*Calculateur!ET35*VLOOKUP('Données projet'!$B$15,Paramètres!$A$1:$I$89,3,0)*0.475*44/12</f>
        <v>9.0240497563177975</v>
      </c>
      <c r="EX35" s="23">
        <f>EXP(-LN(2)/2)*EX34+(1-EXP(-LN(2)/2))/(LN(2)/2)*ER35*EU35*VLOOKUP('Données projet'!$B$15,Paramètres!$A$1:$I$89,3,0)*0.475*44/12</f>
        <v>2.5907073782022962</v>
      </c>
      <c r="EY35" s="24">
        <f t="shared" si="21"/>
        <v>23.025156428939894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12.379999999999995</v>
      </c>
      <c r="FE35" s="13">
        <f>IF('Données projet'!$A$218&gt;35,FE34+FD35-FM34,IF(A35&lt;'Données projet'!$A$218,$FB$205^A35,IF(A35='Données projet'!$A$218,'Données projet'!$B$218,FE34+FD35-FM34)))</f>
        <v>132.06000000000003</v>
      </c>
      <c r="FF35" s="18">
        <f>FE35*VLOOKUP('Données projet'!$B$16,Paramètres!$A$1:$I$89,3,0)*VLOOKUP('Données projet'!$B$16,Paramètres!$A$1:$I$89,5,0)</f>
        <v>73.821540000000013</v>
      </c>
      <c r="FG35" s="14">
        <f t="shared" si="47"/>
        <v>20.619524823555569</v>
      </c>
      <c r="FH35" s="22">
        <f t="shared" si="22"/>
        <v>164.48485456769262</v>
      </c>
      <c r="FI35" s="62">
        <f t="shared" si="23"/>
        <v>405.45735704821794</v>
      </c>
      <c r="FJ35" s="62">
        <f ca="1">AVERAGE(OFFSET($FI$3,0,0,'Données projet'!$E$16+1,1))-AVERAGE(OFFSET($H$3,0,0,'Données projet'!$E$16+1,1))</f>
        <v>280.9225643428145</v>
      </c>
      <c r="FK35" s="62">
        <f t="shared" si="48"/>
        <v>236.89414218053955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27.194407471911497</v>
      </c>
      <c r="FS35" s="23">
        <f>EXP(-LN(2)/2)*FS34+(1-EXP(-LN(2)/2))/(LN(2)/2)*FM35*FP35*VLOOKUP('Données projet'!$B$16,Paramètres!$A$1:$I$89,3,0)*0.475*44/12</f>
        <v>2.8454055949348254</v>
      </c>
      <c r="FT35" s="24">
        <f t="shared" si="24"/>
        <v>30.039813066846321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22.637999999999998</v>
      </c>
      <c r="FZ35" s="13">
        <f>IF('Données projet'!$A$244&gt;35,FZ34+FY35-GH34,IF(A35&lt;'Données projet'!$A$244,$FW$205^A35,IF(A35='Données projet'!$A$244,'Données projet'!$B$244,FZ34+FY35-GH34)))</f>
        <v>399.78599999999989</v>
      </c>
      <c r="GA35" s="18">
        <f>FZ35*VLOOKUP('Données projet'!$B$17,Paramètres!$A$1:$I$89,3,0)*VLOOKUP('Données projet'!$B$17,Paramètres!$A$1:$I$89,5,0)</f>
        <v>176.705412</v>
      </c>
      <c r="GB35" s="14">
        <f t="shared" si="49"/>
        <v>44.588414852835214</v>
      </c>
      <c r="GC35" s="22">
        <f t="shared" si="25"/>
        <v>385.42008176868791</v>
      </c>
      <c r="GD35" s="62">
        <f t="shared" si="26"/>
        <v>626.3925842492132</v>
      </c>
      <c r="GE35" s="62">
        <f ca="1">AVERAGE(OFFSET($GD$3,0,0,'Données projet'!$E$17+1,1))-AVERAGE(OFFSET($H$3,0,0,'Données projet'!$E$17+1,1))</f>
        <v>325.67421864225201</v>
      </c>
      <c r="GF35" s="62">
        <f t="shared" si="50"/>
        <v>542.01920418736745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74.585097336625338</v>
      </c>
      <c r="GN35" s="23">
        <f>EXP(-LN(2)/2)*GN34+(1-EXP(-LN(2)/2))/(LN(2)/2)*GH35*GK35*VLOOKUP('Données projet'!$B$17,Paramètres!$A$1:$I$89,3,0)*0.475*44/12</f>
        <v>7.8637135794411623</v>
      </c>
      <c r="GO35" s="23">
        <f t="shared" si="27"/>
        <v>82.448810916066506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3.0119999999999996</v>
      </c>
      <c r="GU35" s="13">
        <f>IF('Données projet'!$A$270&gt;35,GU34+GT35-HC34,IF(A35&lt;'Données projet'!$A$270,$GR$205^A35,IF(A35='Données projet'!$A$270,'Données projet'!$B$270,GU34+GT35-HC34)))</f>
        <v>37.334000000000003</v>
      </c>
      <c r="GV35" s="18">
        <f>GU35*VLOOKUP('Données projet'!$B$18,Paramètres!$A$1:$I$89,3,0)*VLOOKUP('Données projet'!$B$18,Paramètres!$A$1:$I$89,5,0)</f>
        <v>37.856676000000007</v>
      </c>
      <c r="GW35" s="14">
        <f t="shared" si="51"/>
        <v>11.42875067830291</v>
      </c>
      <c r="GX35" s="22">
        <f t="shared" si="28"/>
        <v>85.838784798044244</v>
      </c>
      <c r="GY35" s="62">
        <f t="shared" si="29"/>
        <v>326.81128727856958</v>
      </c>
      <c r="GZ35" s="62">
        <f ca="1">AVERAGE(OFFSET($GY$3,0,0,'Données projet'!$E$18+1,1))-AVERAGE(OFFSET($H$3,0,0,'Données projet'!$E$18+1,1))</f>
        <v>220.89224520315713</v>
      </c>
      <c r="HA35" s="62">
        <f t="shared" si="52"/>
        <v>141.82763623159096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0.92600000000000016</v>
      </c>
      <c r="N36" s="14">
        <f>IF('Données projet'!$A$36&gt;35,N35+M36-V35,IF(A36&lt;'Données projet'!$A$36,$K$205^A36,IF(A36='Données projet'!$A$36,'Données projet'!$B$36,N35+M36-V35)))</f>
        <v>17.817999999999998</v>
      </c>
      <c r="O36" s="14">
        <f>N36*VLOOKUP('Données projet'!$B$9,Paramètres!$A$1:$I$89,3,0)*VLOOKUP('Données projet'!$B$9,Paramètres!$A$1:$I$89,5,0)</f>
        <v>17.233569599999999</v>
      </c>
      <c r="P36" s="14">
        <f t="shared" si="33"/>
        <v>5.7018164039260322</v>
      </c>
      <c r="Q36" s="22">
        <f t="shared" si="53"/>
        <v>39.945797290171164</v>
      </c>
      <c r="R36" s="62">
        <f t="shared" si="0"/>
        <v>281.82664312471189</v>
      </c>
      <c r="S36" s="62">
        <f ca="1">AVERAGE(OFFSET($R$3,0,0,'Données projet'!$E$9+1,1))-AVERAGE(OFFSET($H$3,0,0,'Données projet'!$E$9+1,1))</f>
        <v>84.959354125980269</v>
      </c>
      <c r="T36" s="62">
        <f t="shared" si="34"/>
        <v>89.658970210276806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0.47499749015519593</v>
      </c>
      <c r="AC36" s="24">
        <f t="shared" si="3"/>
        <v>0.47499749015519593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6.5376666666666665</v>
      </c>
      <c r="AI36" s="14">
        <f>IF('Données projet'!$A$62&gt;35,AI35+AH36-AQ35,IF(A36&lt;'Données projet'!$A$62,$AF$205^A36,IF(A36='Données projet'!$A$62,'Données projet'!$B$62,AI35+AH36-AQ35)))</f>
        <v>62.183000000000014</v>
      </c>
      <c r="AJ36" s="14">
        <f>AI36*VLOOKUP('Données projet'!$B$10,Paramètres!$A$1:$I$89,3,0)*VLOOKUP('Données projet'!$B$10,Paramètres!$A$1:$I$89,5,0)</f>
        <v>59.173342800000007</v>
      </c>
      <c r="AK36" s="14">
        <f t="shared" si="35"/>
        <v>16.959095678269271</v>
      </c>
      <c r="AL36" s="22">
        <f t="shared" si="4"/>
        <v>132.59733034965231</v>
      </c>
      <c r="AM36" s="62">
        <f t="shared" si="5"/>
        <v>374.47817618419305</v>
      </c>
      <c r="AN36" s="62">
        <f ca="1">AVERAGE(OFFSET($AM$3,0,0,'Données projet'!$E$10+1,1))-AVERAGE(OFFSET($H$3,0,0,'Données projet'!$E$10+1,1))</f>
        <v>592.76231355549089</v>
      </c>
      <c r="AO36" s="62">
        <f t="shared" si="36"/>
        <v>200.66895551079014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4.2355901138961531</v>
      </c>
      <c r="AW36" s="23">
        <f>EXP(-LN(2)/2)*AW35+(1-EXP(-LN(2)/2))/(LN(2)/2)*AQ36*AT36*VLOOKUP('Données projet'!$B$10,Paramètres!$A$1:$I$89,3,0)*0.475*44/12</f>
        <v>1.7710856127881771</v>
      </c>
      <c r="AX36" s="23">
        <f t="shared" si="6"/>
        <v>6.00667572668433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4.5359999999999996</v>
      </c>
      <c r="BD36" s="13">
        <f>IF('Données projet'!$A$88&gt;35,BD35+BC36-BL35,IF(A36&lt;'Données projet'!$A$88,$BA$205^A36,IF(A36='Données projet'!$A$88,'Données projet'!$B$88,BD35+BC36-BL35)))</f>
        <v>58.148000000000003</v>
      </c>
      <c r="BE36" s="14">
        <f>BD36*VLOOKUP('Données projet'!$B$11,Paramètres!$A$1:$I$89,3,0)*VLOOKUP('Données projet'!$B$11,Paramètres!$A$1:$I$89,5,0)</f>
        <v>52.612310399999998</v>
      </c>
      <c r="BF36" s="14">
        <f t="shared" si="37"/>
        <v>15.286387633210575</v>
      </c>
      <c r="BG36" s="22">
        <f t="shared" si="7"/>
        <v>118.25689907450841</v>
      </c>
      <c r="BH36" s="62">
        <f t="shared" si="8"/>
        <v>360.13774490904916</v>
      </c>
      <c r="BI36" s="62">
        <f ca="1">AVERAGE(OFFSET($BH$3,0,0,'Données projet'!$E$11+1,1))-AVERAGE(OFFSET($H$3,0,0,'Données projet'!$E$11+1,1))</f>
        <v>316.71836722354374</v>
      </c>
      <c r="BJ36" s="62">
        <f t="shared" si="38"/>
        <v>164.34067012996618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0.78958634888238388</v>
      </c>
      <c r="BS36" s="24">
        <f t="shared" si="9"/>
        <v>0.78958634888238388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6.6720000000000006</v>
      </c>
      <c r="BY36" s="13">
        <f>IF('Données projet'!$A$114&gt;35,BY35+BX36-CG35,IF(A36&lt;'Données projet'!$A$114,$BV$205^A36,IF(A36='Données projet'!$A$114,'Données projet'!$B$114,BY35+BX36-CG35)))</f>
        <v>106.48599999999993</v>
      </c>
      <c r="BZ36" s="14">
        <f>BY36*VLOOKUP('Données projet'!$B$12,Paramètres!$A$1:$I$89,3,0)*VLOOKUP('Données projet'!$B$12,Paramètres!$A$1:$I$89,5,0)</f>
        <v>121.26625679999992</v>
      </c>
      <c r="CA36" s="14">
        <f t="shared" si="39"/>
        <v>31.970152232127891</v>
      </c>
      <c r="CB36" s="22">
        <f t="shared" si="10"/>
        <v>266.88674573095597</v>
      </c>
      <c r="CC36" s="62">
        <f t="shared" si="11"/>
        <v>508.76759156549667</v>
      </c>
      <c r="CD36" s="62">
        <f ca="1">AVERAGE(OFFSET($CC$3,0,0,'Données projet'!$E$12+1,1))-AVERAGE(OFFSET($H$3,0,0,'Données projet'!$E$12+1,1))</f>
        <v>454.9779384236806</v>
      </c>
      <c r="CE36" s="62">
        <f t="shared" si="40"/>
        <v>379.32753348721906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2.1454171704808096</v>
      </c>
      <c r="CM36" s="23">
        <f>EXP(-LN(2)/2)*CM35+(1-EXP(-LN(2)/2))/(LN(2)/2)*CG36*CJ36*VLOOKUP('Données projet'!$B$12,Paramètres!$A$1:$I$89,3,0)*0.475*44/12</f>
        <v>4.9384660756368675</v>
      </c>
      <c r="CN36" s="24">
        <f t="shared" si="12"/>
        <v>7.0838832461176775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9.4040000000000017</v>
      </c>
      <c r="CT36" s="13">
        <f>IF('Données projet'!$A$140&gt;35,CT35+CS36-DB35,IF(A36&lt;'Données projet'!$A$140,$CQ$205^A36,IF(A36='Données projet'!$A$140,'Données projet'!$B$140,CT35+CS36-DB35)))</f>
        <v>129.52199999999996</v>
      </c>
      <c r="CU36" s="18">
        <f>CT36*VLOOKUP('Données projet'!$B$13,Paramètres!$A$1:$I$89,3,0)*VLOOKUP('Données projet'!$B$13,Paramètres!$A$1:$I$89,5,0)</f>
        <v>101.02715999999998</v>
      </c>
      <c r="CV36" s="14">
        <f t="shared" si="41"/>
        <v>27.206558522900007</v>
      </c>
      <c r="CW36" s="22">
        <f t="shared" si="13"/>
        <v>223.34039309405077</v>
      </c>
      <c r="CX36" s="62">
        <f t="shared" si="14"/>
        <v>465.2212389285915</v>
      </c>
      <c r="CY36" s="62">
        <f ca="1">AVERAGE(OFFSET($CX$3,0,0,'Données projet'!$E$13+1,1))-AVERAGE(OFFSET($H$3,0,0,'Données projet'!$E$13+1,1))</f>
        <v>252.10592533338991</v>
      </c>
      <c r="CZ36" s="62">
        <f t="shared" si="42"/>
        <v>272.71831345325313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5.8044863789433538</v>
      </c>
      <c r="DH36" s="23">
        <f>EXP(-LN(2)/2)*DH35+(1-EXP(-LN(2)/2))/(LN(2)/2)*DB36*DE36*VLOOKUP('Données projet'!$B$13,Paramètres!$A$1:$I$89,3,0)*0.475*44/12</f>
        <v>1.5565538635963267</v>
      </c>
      <c r="DI36" s="24">
        <f t="shared" si="15"/>
        <v>7.3610402425396808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13.388</v>
      </c>
      <c r="DO36" s="13">
        <f>IF('Données projet'!$A$166&gt;35,DO35+DN36-DW35,IF(A36&lt;'Données projet'!$A$166,$DL$205^A36,IF(A36='Données projet'!$A$166,'Données projet'!$B$166,DO35+DN36-DW35)))</f>
        <v>229.97400000000007</v>
      </c>
      <c r="DP36" s="18">
        <f>DO36*VLOOKUP('Données projet'!$B$14,Paramètres!$A$1:$I$89,3,0)*VLOOKUP('Données projet'!$B$14,Paramètres!$A$1:$I$89,5,0)</f>
        <v>137.52445200000005</v>
      </c>
      <c r="DQ36" s="14">
        <f t="shared" si="43"/>
        <v>35.729304706248797</v>
      </c>
      <c r="DR36" s="22">
        <f t="shared" si="16"/>
        <v>301.75029293005008</v>
      </c>
      <c r="DS36" s="62">
        <f t="shared" si="17"/>
        <v>543.63113876459079</v>
      </c>
      <c r="DT36" s="62">
        <f ca="1">AVERAGE(OFFSET($DS$3,0,0,'Données projet'!$E$14+1,1))-AVERAGE(OFFSET($H$3,0,0,'Données projet'!$E$14+1,1))</f>
        <v>423.0896575168394</v>
      </c>
      <c r="DU36" s="62">
        <f t="shared" si="44"/>
        <v>305.98537395014284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4.8874206853772328</v>
      </c>
      <c r="EC36" s="23">
        <f>EXP(-LN(2)/2)*EC35+(1-EXP(-LN(2)/2))/(LN(2)/2)*DW36*DZ36*VLOOKUP('Données projet'!$B$14,Paramètres!$A$1:$I$89,3,0)*0.475*44/12</f>
        <v>4.9148143874077739E-2</v>
      </c>
      <c r="ED36" s="24">
        <f t="shared" si="18"/>
        <v>4.9365688292513106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18.077999999999996</v>
      </c>
      <c r="EJ36" s="13">
        <f>IF('Données projet'!$A$192&gt;35,EJ35+EI36-ER35,IF(A36&lt;'Données projet'!$A$192,$EG$205^A36,IF(A36='Données projet'!$A$192,'Données projet'!$B$192,EJ35+EI36-ER35)))</f>
        <v>231.55399999999997</v>
      </c>
      <c r="EK36" s="18">
        <f>EJ36*VLOOKUP('Données projet'!$B$15,Paramètres!$A$1:$I$89,3,0)*VLOOKUP('Données projet'!$B$15,Paramètres!$A$1:$I$89,5,0)</f>
        <v>138.469292</v>
      </c>
      <c r="EL36" s="14">
        <f t="shared" si="45"/>
        <v>35.946117733565636</v>
      </c>
      <c r="EM36" s="22">
        <f t="shared" si="19"/>
        <v>303.7735052859602</v>
      </c>
      <c r="EN36" s="62">
        <f t="shared" si="20"/>
        <v>545.65435112050091</v>
      </c>
      <c r="EO36" s="62">
        <f ca="1">AVERAGE(OFFSET($EN$3,0,0,'Données projet'!$E$15+1,1))-AVERAGE(OFFSET($H$3,0,0,'Données projet'!$E$15+1,1))</f>
        <v>281.21543175875604</v>
      </c>
      <c r="EP36" s="62">
        <f t="shared" si="46"/>
        <v>366.68536296857428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11.186648323912589</v>
      </c>
      <c r="EW36" s="23">
        <f>EXP(-LN(2)/25)*EW35+(1-EXP(-LN(2)/25))/(LN(2)/25)*Calculateur!ER36*Calculateur!ET36*VLOOKUP('Données projet'!$B$15,Paramètres!$A$1:$I$89,3,0)*0.475*44/12</f>
        <v>8.7772866411771346</v>
      </c>
      <c r="EX36" s="23">
        <f>EXP(-LN(2)/2)*EX35+(1-EXP(-LN(2)/2))/(LN(2)/2)*ER36*EU36*VLOOKUP('Données projet'!$B$15,Paramètres!$A$1:$I$89,3,0)*0.475*44/12</f>
        <v>1.8319067551968655</v>
      </c>
      <c r="EY36" s="24">
        <f t="shared" si="21"/>
        <v>21.795841720286589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12.379999999999995</v>
      </c>
      <c r="FE36" s="13">
        <f>IF('Données projet'!$A$218&gt;35,FE35+FD36-FM35,IF(A36&lt;'Données projet'!$A$218,$FB$205^A36,IF(A36='Données projet'!$A$218,'Données projet'!$B$218,FE35+FD36-FM35)))</f>
        <v>144.44000000000003</v>
      </c>
      <c r="FF36" s="18">
        <f>FE36*VLOOKUP('Données projet'!$B$16,Paramètres!$A$1:$I$89,3,0)*VLOOKUP('Données projet'!$B$16,Paramètres!$A$1:$I$89,5,0)</f>
        <v>80.74196000000002</v>
      </c>
      <c r="FG36" s="14">
        <f t="shared" si="47"/>
        <v>22.318499619798207</v>
      </c>
      <c r="FH36" s="22">
        <f t="shared" si="22"/>
        <v>179.49696717114855</v>
      </c>
      <c r="FI36" s="62">
        <f t="shared" si="23"/>
        <v>421.37781300568929</v>
      </c>
      <c r="FJ36" s="62">
        <f ca="1">AVERAGE(OFFSET($FI$3,0,0,'Données projet'!$E$16+1,1))-AVERAGE(OFFSET($H$3,0,0,'Données projet'!$E$16+1,1))</f>
        <v>280.9225643428145</v>
      </c>
      <c r="FK36" s="62">
        <f t="shared" si="48"/>
        <v>236.89414218053955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26.45077496950034</v>
      </c>
      <c r="FS36" s="23">
        <f>EXP(-LN(2)/2)*FS35+(1-EXP(-LN(2)/2))/(LN(2)/2)*FM36*FP36*VLOOKUP('Données projet'!$B$16,Paramètres!$A$1:$I$89,3,0)*0.475*44/12</f>
        <v>2.0120055914045576</v>
      </c>
      <c r="FT36" s="24">
        <f t="shared" si="24"/>
        <v>28.462780560904896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22.637999999999998</v>
      </c>
      <c r="FZ36" s="13">
        <f>IF('Données projet'!$A$244&gt;35,FZ35+FY36-GH35,IF(A36&lt;'Données projet'!$A$244,$FW$205^A36,IF(A36='Données projet'!$A$244,'Données projet'!$B$244,FZ35+FY36-GH35)))</f>
        <v>422.42399999999986</v>
      </c>
      <c r="GA36" s="18">
        <f>FZ36*VLOOKUP('Données projet'!$B$17,Paramètres!$A$1:$I$89,3,0)*VLOOKUP('Données projet'!$B$17,Paramètres!$A$1:$I$89,5,0)</f>
        <v>186.71140799999995</v>
      </c>
      <c r="GB36" s="14">
        <f t="shared" si="49"/>
        <v>46.812154687868329</v>
      </c>
      <c r="GC36" s="22">
        <f t="shared" si="25"/>
        <v>406.72020501470388</v>
      </c>
      <c r="GD36" s="62">
        <f t="shared" si="26"/>
        <v>648.60105084924464</v>
      </c>
      <c r="GE36" s="62">
        <f ca="1">AVERAGE(OFFSET($GD$3,0,0,'Données projet'!$E$17+1,1))-AVERAGE(OFFSET($H$3,0,0,'Données projet'!$E$17+1,1))</f>
        <v>325.67421864225201</v>
      </c>
      <c r="GF36" s="62">
        <f t="shared" si="50"/>
        <v>542.01920418736745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72.545563927695511</v>
      </c>
      <c r="GN36" s="23">
        <f>EXP(-LN(2)/2)*GN35+(1-EXP(-LN(2)/2))/(LN(2)/2)*GH36*GK36*VLOOKUP('Données projet'!$B$17,Paramètres!$A$1:$I$89,3,0)*0.475*44/12</f>
        <v>5.5604851973315848</v>
      </c>
      <c r="GO36" s="23">
        <f t="shared" si="27"/>
        <v>78.106049125027099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3.0119999999999996</v>
      </c>
      <c r="GU36" s="13">
        <f>IF('Données projet'!$A$270&gt;35,GU35+GT36-HC35,IF(A36&lt;'Données projet'!$A$270,$GR$205^A36,IF(A36='Données projet'!$A$270,'Données projet'!$B$270,GU35+GT36-HC35)))</f>
        <v>40.346000000000004</v>
      </c>
      <c r="GV36" s="18">
        <f>GU36*VLOOKUP('Données projet'!$B$18,Paramètres!$A$1:$I$89,3,0)*VLOOKUP('Données projet'!$B$18,Paramètres!$A$1:$I$89,5,0)</f>
        <v>40.910844000000004</v>
      </c>
      <c r="GW36" s="14">
        <f t="shared" si="51"/>
        <v>12.239748940539473</v>
      </c>
      <c r="GX36" s="22">
        <f t="shared" si="28"/>
        <v>92.570616038106252</v>
      </c>
      <c r="GY36" s="62">
        <f t="shared" si="29"/>
        <v>334.45146187264697</v>
      </c>
      <c r="GZ36" s="62">
        <f ca="1">AVERAGE(OFFSET($GY$3,0,0,'Données projet'!$E$18+1,1))-AVERAGE(OFFSET($H$3,0,0,'Données projet'!$E$18+1,1))</f>
        <v>220.89224520315713</v>
      </c>
      <c r="HA36" s="62">
        <f t="shared" si="52"/>
        <v>141.82763623159096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0.92600000000000016</v>
      </c>
      <c r="N37" s="14">
        <f>IF('Données projet'!$A$36&gt;35,N36+M37-V36,IF(A37&lt;'Données projet'!$A$36,$K$205^A37,IF(A37='Données projet'!$A$36,'Données projet'!$B$36,N36+M37-V36)))</f>
        <v>18.744</v>
      </c>
      <c r="O37" s="14">
        <f>N37*VLOOKUP('Données projet'!$B$9,Paramètres!$A$1:$I$89,3,0)*VLOOKUP('Données projet'!$B$9,Paramètres!$A$1:$I$89,5,0)</f>
        <v>18.129196800000003</v>
      </c>
      <c r="P37" s="14">
        <f t="shared" si="33"/>
        <v>5.9628703073386014</v>
      </c>
      <c r="Q37" s="22">
        <f t="shared" si="53"/>
        <v>41.960350211948068</v>
      </c>
      <c r="R37" s="62">
        <f t="shared" si="0"/>
        <v>284.73378167406366</v>
      </c>
      <c r="S37" s="62">
        <f ca="1">AVERAGE(OFFSET($R$3,0,0,'Données projet'!$E$9+1,1))-AVERAGE(OFFSET($H$3,0,0,'Données projet'!$E$9+1,1))</f>
        <v>84.959354125980269</v>
      </c>
      <c r="T37" s="62">
        <f t="shared" si="34"/>
        <v>89.658970210276806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0.33587394633532941</v>
      </c>
      <c r="AC37" s="24">
        <f t="shared" si="3"/>
        <v>0.33587394633532941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6.5376666666666665</v>
      </c>
      <c r="AI37" s="14">
        <f>IF('Données projet'!$A$62&gt;35,AI36+AH37-AQ36,IF(A37&lt;'Données projet'!$A$62,$AF$205^A37,IF(A37='Données projet'!$A$62,'Données projet'!$B$62,AI36+AH37-AQ36)))</f>
        <v>68.720666666666688</v>
      </c>
      <c r="AJ37" s="14">
        <f>AI37*VLOOKUP('Données projet'!$B$10,Paramètres!$A$1:$I$89,3,0)*VLOOKUP('Données projet'!$B$10,Paramètres!$A$1:$I$89,5,0)</f>
        <v>65.394586400000023</v>
      </c>
      <c r="AK37" s="14">
        <f t="shared" si="35"/>
        <v>18.525280689680596</v>
      </c>
      <c r="AL37" s="22">
        <f t="shared" si="4"/>
        <v>146.16043518119375</v>
      </c>
      <c r="AM37" s="62">
        <f t="shared" si="5"/>
        <v>388.93386664330933</v>
      </c>
      <c r="AN37" s="62">
        <f ca="1">AVERAGE(OFFSET($AM$3,0,0,'Données projet'!$E$10+1,1))-AVERAGE(OFFSET($H$3,0,0,'Données projet'!$E$10+1,1))</f>
        <v>592.76231355549089</v>
      </c>
      <c r="AO37" s="62">
        <f t="shared" si="36"/>
        <v>200.66895551079014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4.1197676794916589</v>
      </c>
      <c r="AW37" s="23">
        <f>EXP(-LN(2)/2)*AW36+(1-EXP(-LN(2)/2))/(LN(2)/2)*AQ37*AT37*VLOOKUP('Données projet'!$B$10,Paramètres!$A$1:$I$89,3,0)*0.475*44/12</f>
        <v>1.2523466468644522</v>
      </c>
      <c r="AX37" s="23">
        <f t="shared" si="6"/>
        <v>5.3721143263561109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4.5359999999999996</v>
      </c>
      <c r="BD37" s="13">
        <f>IF('Données projet'!$A$88&gt;35,BD36+BC37-BL36,IF(A37&lt;'Données projet'!$A$88,$BA$205^A37,IF(A37='Données projet'!$A$88,'Données projet'!$B$88,BD36+BC37-BL36)))</f>
        <v>62.684000000000005</v>
      </c>
      <c r="BE37" s="14">
        <f>BD37*VLOOKUP('Données projet'!$B$11,Paramètres!$A$1:$I$89,3,0)*VLOOKUP('Données projet'!$B$11,Paramètres!$A$1:$I$89,5,0)</f>
        <v>56.716483200000006</v>
      </c>
      <c r="BF37" s="14">
        <f t="shared" si="37"/>
        <v>16.335393362790228</v>
      </c>
      <c r="BG37" s="22">
        <f t="shared" si="7"/>
        <v>127.23201834685965</v>
      </c>
      <c r="BH37" s="62">
        <f t="shared" si="8"/>
        <v>370.00544980897524</v>
      </c>
      <c r="BI37" s="62">
        <f ca="1">AVERAGE(OFFSET($BH$3,0,0,'Données projet'!$E$11+1,1))-AVERAGE(OFFSET($H$3,0,0,'Données projet'!$E$11+1,1))</f>
        <v>316.71836722354374</v>
      </c>
      <c r="BJ37" s="62">
        <f t="shared" si="38"/>
        <v>164.34067012996618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0.55832186162706088</v>
      </c>
      <c r="BS37" s="24">
        <f t="shared" si="9"/>
        <v>0.55832186162706088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6.6720000000000006</v>
      </c>
      <c r="BY37" s="13">
        <f>IF('Données projet'!$A$114&gt;35,BY36+BX37-CG36,IF(A37&lt;'Données projet'!$A$114,$BV$205^A37,IF(A37='Données projet'!$A$114,'Données projet'!$B$114,BY36+BX37-CG36)))</f>
        <v>113.15799999999993</v>
      </c>
      <c r="BZ37" s="14">
        <f>BY37*VLOOKUP('Données projet'!$B$12,Paramètres!$A$1:$I$89,3,0)*VLOOKUP('Données projet'!$B$12,Paramètres!$A$1:$I$89,5,0)</f>
        <v>128.86433039999991</v>
      </c>
      <c r="CA37" s="14">
        <f t="shared" si="39"/>
        <v>33.73380557381509</v>
      </c>
      <c r="CB37" s="22">
        <f t="shared" si="10"/>
        <v>283.19175348772779</v>
      </c>
      <c r="CC37" s="62">
        <f t="shared" si="11"/>
        <v>525.96518494984343</v>
      </c>
      <c r="CD37" s="62">
        <f ca="1">AVERAGE(OFFSET($CC$3,0,0,'Données projet'!$E$12+1,1))-AVERAGE(OFFSET($H$3,0,0,'Données projet'!$E$12+1,1))</f>
        <v>454.9779384236806</v>
      </c>
      <c r="CE37" s="62">
        <f t="shared" si="40"/>
        <v>379.32753348721906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2.0867506251314261</v>
      </c>
      <c r="CM37" s="23">
        <f>EXP(-LN(2)/2)*CM36+(1-EXP(-LN(2)/2))/(LN(2)/2)*CG37*CJ37*VLOOKUP('Données projet'!$B$12,Paramètres!$A$1:$I$89,3,0)*0.475*44/12</f>
        <v>3.4920228507425466</v>
      </c>
      <c r="CN37" s="24">
        <f t="shared" si="12"/>
        <v>5.5787734758739731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9.4040000000000017</v>
      </c>
      <c r="CT37" s="13">
        <f>IF('Données projet'!$A$140&gt;35,CT36+CS37-DB36,IF(A37&lt;'Données projet'!$A$140,$CQ$205^A37,IF(A37='Données projet'!$A$140,'Données projet'!$B$140,CT36+CS37-DB36)))</f>
        <v>138.92599999999996</v>
      </c>
      <c r="CU37" s="18">
        <f>CT37*VLOOKUP('Données projet'!$B$13,Paramètres!$A$1:$I$89,3,0)*VLOOKUP('Données projet'!$B$13,Paramètres!$A$1:$I$89,5,0)</f>
        <v>108.36227999999997</v>
      </c>
      <c r="CV37" s="14">
        <f t="shared" si="41"/>
        <v>28.944788751227918</v>
      </c>
      <c r="CW37" s="22">
        <f t="shared" si="13"/>
        <v>239.1431447417219</v>
      </c>
      <c r="CX37" s="62">
        <f t="shared" si="14"/>
        <v>481.91657620383751</v>
      </c>
      <c r="CY37" s="62">
        <f ca="1">AVERAGE(OFFSET($CX$3,0,0,'Données projet'!$E$13+1,1))-AVERAGE(OFFSET($H$3,0,0,'Données projet'!$E$13+1,1))</f>
        <v>252.10592533338991</v>
      </c>
      <c r="CZ37" s="62">
        <f t="shared" si="42"/>
        <v>272.71831345325313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5.6457623936664758</v>
      </c>
      <c r="DH37" s="23">
        <f>EXP(-LN(2)/2)*DH36+(1-EXP(-LN(2)/2))/(LN(2)/2)*DB37*DE37*VLOOKUP('Données projet'!$B$13,Paramètres!$A$1:$I$89,3,0)*0.475*44/12</f>
        <v>1.1006497922310829</v>
      </c>
      <c r="DI37" s="24">
        <f t="shared" si="15"/>
        <v>6.746412185897559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13.388</v>
      </c>
      <c r="DO37" s="13">
        <f>IF('Données projet'!$A$166&gt;35,DO36+DN37-DW36,IF(A37&lt;'Données projet'!$A$166,$DL$205^A37,IF(A37='Données projet'!$A$166,'Données projet'!$B$166,DO36+DN37-DW36)))</f>
        <v>243.36200000000008</v>
      </c>
      <c r="DP37" s="18">
        <f>DO37*VLOOKUP('Données projet'!$B$14,Paramètres!$A$1:$I$89,3,0)*VLOOKUP('Données projet'!$B$14,Paramètres!$A$1:$I$89,5,0)</f>
        <v>145.53047600000005</v>
      </c>
      <c r="DQ37" s="14">
        <f t="shared" si="43"/>
        <v>37.561088979889888</v>
      </c>
      <c r="DR37" s="22">
        <f t="shared" si="16"/>
        <v>318.88447567330826</v>
      </c>
      <c r="DS37" s="62">
        <f t="shared" si="17"/>
        <v>561.65790713542378</v>
      </c>
      <c r="DT37" s="62">
        <f ca="1">AVERAGE(OFFSET($DS$3,0,0,'Données projet'!$E$14+1,1))-AVERAGE(OFFSET($H$3,0,0,'Données projet'!$E$14+1,1))</f>
        <v>423.0896575168394</v>
      </c>
      <c r="DU37" s="62">
        <f t="shared" si="44"/>
        <v>305.98537395014284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4.7537739097173093</v>
      </c>
      <c r="EC37" s="23">
        <f>EXP(-LN(2)/2)*EC36+(1-EXP(-LN(2)/2))/(LN(2)/2)*DW37*DZ37*VLOOKUP('Données projet'!$B$14,Paramètres!$A$1:$I$89,3,0)*0.475*44/12</f>
        <v>3.4752985816092444E-2</v>
      </c>
      <c r="ED37" s="24">
        <f t="shared" si="18"/>
        <v>4.7885268955334022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18.077999999999996</v>
      </c>
      <c r="EJ37" s="13">
        <f>IF('Données projet'!$A$192&gt;35,EJ36+EI37-ER36,IF(A37&lt;'Données projet'!$A$192,$EG$205^A37,IF(A37='Données projet'!$A$192,'Données projet'!$B$192,EJ36+EI37-ER36)))</f>
        <v>249.63199999999998</v>
      </c>
      <c r="EK37" s="18">
        <f>EJ37*VLOOKUP('Données projet'!$B$15,Paramètres!$A$1:$I$89,3,0)*VLOOKUP('Données projet'!$B$15,Paramètres!$A$1:$I$89,5,0)</f>
        <v>149.27993599999999</v>
      </c>
      <c r="EL37" s="14">
        <f t="shared" si="45"/>
        <v>38.414902693392399</v>
      </c>
      <c r="EM37" s="22">
        <f t="shared" si="19"/>
        <v>326.90184405765842</v>
      </c>
      <c r="EN37" s="62">
        <f t="shared" si="20"/>
        <v>569.675275519774</v>
      </c>
      <c r="EO37" s="62">
        <f ca="1">AVERAGE(OFFSET($EN$3,0,0,'Données projet'!$E$15+1,1))-AVERAGE(OFFSET($H$3,0,0,'Données projet'!$E$15+1,1))</f>
        <v>281.21543175875604</v>
      </c>
      <c r="EP37" s="62">
        <f t="shared" si="46"/>
        <v>366.68536296857428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10.967284973462407</v>
      </c>
      <c r="EW37" s="23">
        <f>EXP(-LN(2)/25)*EW36+(1-EXP(-LN(2)/25))/(LN(2)/25)*Calculateur!ER37*Calculateur!ET37*VLOOKUP('Données projet'!$B$15,Paramètres!$A$1:$I$89,3,0)*0.475*44/12</f>
        <v>8.5372712763967016</v>
      </c>
      <c r="EX37" s="23">
        <f>EXP(-LN(2)/2)*EX36+(1-EXP(-LN(2)/2))/(LN(2)/2)*ER37*EU37*VLOOKUP('Données projet'!$B$15,Paramètres!$A$1:$I$89,3,0)*0.475*44/12</f>
        <v>1.2953536891011483</v>
      </c>
      <c r="EY37" s="24">
        <f t="shared" si="21"/>
        <v>20.799909938960255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12.379999999999995</v>
      </c>
      <c r="FE37" s="13">
        <f>IF('Données projet'!$A$218&gt;35,FE36+FD37-FM36,IF(A37&lt;'Données projet'!$A$218,$FB$205^A37,IF(A37='Données projet'!$A$218,'Données projet'!$B$218,FE36+FD37-FM36)))</f>
        <v>156.82000000000002</v>
      </c>
      <c r="FF37" s="18">
        <f>FE37*VLOOKUP('Données projet'!$B$16,Paramètres!$A$1:$I$89,3,0)*VLOOKUP('Données projet'!$B$16,Paramètres!$A$1:$I$89,5,0)</f>
        <v>87.662380000000013</v>
      </c>
      <c r="FG37" s="14">
        <f t="shared" si="47"/>
        <v>24.000586746515015</v>
      </c>
      <c r="FH37" s="22">
        <f t="shared" si="22"/>
        <v>194.47966708351365</v>
      </c>
      <c r="FI37" s="62">
        <f t="shared" si="23"/>
        <v>437.2530985456292</v>
      </c>
      <c r="FJ37" s="62">
        <f ca="1">AVERAGE(OFFSET($FI$3,0,0,'Données projet'!$E$16+1,1))-AVERAGE(OFFSET($H$3,0,0,'Données projet'!$E$16+1,1))</f>
        <v>280.9225643428145</v>
      </c>
      <c r="FK37" s="62">
        <f t="shared" si="48"/>
        <v>236.89414218053955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25.727477136973551</v>
      </c>
      <c r="FS37" s="23">
        <f>EXP(-LN(2)/2)*FS36+(1-EXP(-LN(2)/2))/(LN(2)/2)*FM37*FP37*VLOOKUP('Données projet'!$B$16,Paramètres!$A$1:$I$89,3,0)*0.475*44/12</f>
        <v>1.4227027974674127</v>
      </c>
      <c r="FT37" s="24">
        <f t="shared" si="24"/>
        <v>27.150179934440963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22.637999999999998</v>
      </c>
      <c r="FZ37" s="13">
        <f>IF('Données projet'!$A$244&gt;35,FZ36+FY37-GH36,IF(A37&lt;'Données projet'!$A$244,$FW$205^A37,IF(A37='Données projet'!$A$244,'Données projet'!$B$244,FZ36+FY37-GH36)))</f>
        <v>445.06199999999984</v>
      </c>
      <c r="GA37" s="18">
        <f>FZ37*VLOOKUP('Données projet'!$B$17,Paramètres!$A$1:$I$89,3,0)*VLOOKUP('Données projet'!$B$17,Paramètres!$A$1:$I$89,5,0)</f>
        <v>196.71740399999996</v>
      </c>
      <c r="GB37" s="14">
        <f t="shared" si="49"/>
        <v>49.022059111516256</v>
      </c>
      <c r="GC37" s="22">
        <f t="shared" si="25"/>
        <v>427.99623158589071</v>
      </c>
      <c r="GD37" s="62">
        <f t="shared" si="26"/>
        <v>670.76966304800635</v>
      </c>
      <c r="GE37" s="62">
        <f ca="1">AVERAGE(OFFSET($GD$3,0,0,'Données projet'!$E$17+1,1))-AVERAGE(OFFSET($H$3,0,0,'Données projet'!$E$17+1,1))</f>
        <v>325.67421864225201</v>
      </c>
      <c r="GF37" s="62">
        <f t="shared" si="50"/>
        <v>542.01920418736745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70.561801667087281</v>
      </c>
      <c r="GN37" s="23">
        <f>EXP(-LN(2)/2)*GN36+(1-EXP(-LN(2)/2))/(LN(2)/2)*GH37*GK37*VLOOKUP('Données projet'!$B$17,Paramètres!$A$1:$I$89,3,0)*0.475*44/12</f>
        <v>3.9318567897205816</v>
      </c>
      <c r="GO37" s="23">
        <f t="shared" si="27"/>
        <v>74.493658456807864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3.0119999999999996</v>
      </c>
      <c r="GU37" s="13">
        <f>IF('Données projet'!$A$270&gt;35,GU36+GT37-HC36,IF(A37&lt;'Données projet'!$A$270,$GR$205^A37,IF(A37='Données projet'!$A$270,'Données projet'!$B$270,GU36+GT37-HC36)))</f>
        <v>43.358000000000004</v>
      </c>
      <c r="GV37" s="18">
        <f>GU37*VLOOKUP('Données projet'!$B$18,Paramètres!$A$1:$I$89,3,0)*VLOOKUP('Données projet'!$B$18,Paramètres!$A$1:$I$89,5,0)</f>
        <v>43.965012000000009</v>
      </c>
      <c r="GW37" s="14">
        <f t="shared" si="51"/>
        <v>13.043723475922594</v>
      </c>
      <c r="GX37" s="22">
        <f t="shared" si="28"/>
        <v>99.290214287231876</v>
      </c>
      <c r="GY37" s="62">
        <f t="shared" si="29"/>
        <v>342.06364574934747</v>
      </c>
      <c r="GZ37" s="62">
        <f ca="1">AVERAGE(OFFSET($GY$3,0,0,'Données projet'!$E$18+1,1))-AVERAGE(OFFSET($H$3,0,0,'Données projet'!$E$18+1,1))</f>
        <v>220.89224520315713</v>
      </c>
      <c r="HA37" s="62">
        <f t="shared" si="52"/>
        <v>141.82763623159096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19.670000000000002</v>
      </c>
      <c r="L38" s="13">
        <f>VLOOKUP(A38,'Données projet'!$A$35:$I$55,9,0)</f>
        <v>0.92600000000000016</v>
      </c>
      <c r="M38" s="13">
        <f t="array" ref="M38">INDEX(L:L,MIN(IF(ISNUMBER(L38:L234),ROW(L38:L234),"")))</f>
        <v>0.92600000000000016</v>
      </c>
      <c r="N38" s="14">
        <f>IF('Données projet'!$A$36&gt;35,N37+M38-V37,IF(A38&lt;'Données projet'!$A$36,$K$205^A38,IF(A38='Données projet'!$A$36,'Données projet'!$B$36,N37+M38-V37)))</f>
        <v>19.670000000000002</v>
      </c>
      <c r="O38" s="14">
        <f>N38*VLOOKUP('Données projet'!$B$9,Paramètres!$A$1:$I$89,3,0)*VLOOKUP('Données projet'!$B$9,Paramètres!$A$1:$I$89,5,0)</f>
        <v>19.024824000000002</v>
      </c>
      <c r="P38" s="14">
        <f t="shared" si="33"/>
        <v>6.2224266986553607</v>
      </c>
      <c r="Q38" s="22">
        <f t="shared" si="53"/>
        <v>43.972294966824755</v>
      </c>
      <c r="R38" s="62">
        <f t="shared" si="0"/>
        <v>287.62282769139927</v>
      </c>
      <c r="S38" s="62">
        <f ca="1">AVERAGE(OFFSET($R$3,0,0,'Données projet'!$E$9+1,1))-AVERAGE(OFFSET($H$3,0,0,'Données projet'!$E$9+1,1))</f>
        <v>84.959354125980269</v>
      </c>
      <c r="T38" s="62">
        <f t="shared" si="34"/>
        <v>89.658970210276806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9.83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0.4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3.8257602845400931</v>
      </c>
      <c r="AC38" s="24">
        <f t="shared" si="3"/>
        <v>3.8257602845400931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6.5376666666666665</v>
      </c>
      <c r="AI38" s="14">
        <f>IF('Données projet'!$A$62&gt;35,AI37+AH38-AQ37,IF(A38&lt;'Données projet'!$A$62,$AF$205^A38,IF(A38='Données projet'!$A$62,'Données projet'!$B$62,AI37+AH38-AQ37)))</f>
        <v>75.258333333333354</v>
      </c>
      <c r="AJ38" s="14">
        <f>AI38*VLOOKUP('Données projet'!$B$10,Paramètres!$A$1:$I$89,3,0)*VLOOKUP('Données projet'!$B$10,Paramètres!$A$1:$I$89,5,0)</f>
        <v>71.615830000000017</v>
      </c>
      <c r="AK38" s="14">
        <f t="shared" si="35"/>
        <v>20.074190602612589</v>
      </c>
      <c r="AL38" s="22">
        <f t="shared" si="4"/>
        <v>159.69345254955027</v>
      </c>
      <c r="AM38" s="62">
        <f t="shared" si="5"/>
        <v>403.34398527412475</v>
      </c>
      <c r="AN38" s="62">
        <f ca="1">AVERAGE(OFFSET($AM$3,0,0,'Données projet'!$E$10+1,1))-AVERAGE(OFFSET($H$3,0,0,'Données projet'!$E$10+1,1))</f>
        <v>592.76231355549089</v>
      </c>
      <c r="AO38" s="62">
        <f t="shared" si="36"/>
        <v>200.66895551079014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4.0071124156467928</v>
      </c>
      <c r="AW38" s="23">
        <f>EXP(-LN(2)/2)*AW37+(1-EXP(-LN(2)/2))/(LN(2)/2)*AQ38*AT38*VLOOKUP('Données projet'!$B$10,Paramètres!$A$1:$I$89,3,0)*0.475*44/12</f>
        <v>0.88554280639408878</v>
      </c>
      <c r="AX38" s="23">
        <f t="shared" si="6"/>
        <v>4.8926552220408812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67.22</v>
      </c>
      <c r="BB38" s="13">
        <f>VLOOKUP(A38,'Données projet'!$A$87:$I$107,9,0)</f>
        <v>4.5359999999999996</v>
      </c>
      <c r="BC38" s="13">
        <f t="array" ref="BC38">INDEX(BB:BB,MIN(IF(ISNUMBER(BB38:BB234),ROW(BB38:BB234),"")))</f>
        <v>4.5359999999999996</v>
      </c>
      <c r="BD38" s="13">
        <f>IF('Données projet'!$A$88&gt;35,BD37+BC38-BL37,IF(A38&lt;'Données projet'!$A$88,$BA$205^A38,IF(A38='Données projet'!$A$88,'Données projet'!$B$88,BD37+BC38-BL37)))</f>
        <v>67.22</v>
      </c>
      <c r="BE38" s="14">
        <f>BD38*VLOOKUP('Données projet'!$B$11,Paramètres!$A$1:$I$89,3,0)*VLOOKUP('Données projet'!$B$11,Paramètres!$A$1:$I$89,5,0)</f>
        <v>60.820655999999993</v>
      </c>
      <c r="BF38" s="14">
        <f t="shared" si="37"/>
        <v>17.375592264371008</v>
      </c>
      <c r="BG38" s="22">
        <f t="shared" si="7"/>
        <v>136.19179906044616</v>
      </c>
      <c r="BH38" s="62">
        <f t="shared" si="8"/>
        <v>379.84233178502063</v>
      </c>
      <c r="BI38" s="62">
        <f ca="1">AVERAGE(OFFSET($BH$3,0,0,'Données projet'!$E$11+1,1))-AVERAGE(OFFSET($H$3,0,0,'Données projet'!$E$11+1,1))</f>
        <v>316.71836722354374</v>
      </c>
      <c r="BJ38" s="62">
        <f t="shared" si="38"/>
        <v>164.34067012996618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11.69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0.3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3.38873012967988</v>
      </c>
      <c r="BS38" s="24">
        <f t="shared" si="9"/>
        <v>3.38873012967988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6.6720000000000006</v>
      </c>
      <c r="BY38" s="13">
        <f>IF('Données projet'!$A$114&gt;35,BY37+BX38-CG37,IF(A38&lt;'Données projet'!$A$114,$BV$205^A38,IF(A38='Données projet'!$A$114,'Données projet'!$B$114,BY37+BX38-CG37)))</f>
        <v>119.82999999999993</v>
      </c>
      <c r="BZ38" s="14">
        <f>BY38*VLOOKUP('Données projet'!$B$12,Paramètres!$A$1:$I$89,3,0)*VLOOKUP('Données projet'!$B$12,Paramètres!$A$1:$I$89,5,0)</f>
        <v>136.46240399999991</v>
      </c>
      <c r="CA38" s="14">
        <f t="shared" si="39"/>
        <v>35.48538875089676</v>
      </c>
      <c r="CB38" s="22">
        <f t="shared" si="10"/>
        <v>299.475739041145</v>
      </c>
      <c r="CC38" s="62">
        <f t="shared" si="11"/>
        <v>543.12627176571948</v>
      </c>
      <c r="CD38" s="62">
        <f ca="1">AVERAGE(OFFSET($CC$3,0,0,'Données projet'!$E$12+1,1))-AVERAGE(OFFSET($H$3,0,0,'Données projet'!$E$12+1,1))</f>
        <v>454.9779384236806</v>
      </c>
      <c r="CE38" s="62">
        <f t="shared" si="40"/>
        <v>379.32753348721906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2.029688319549761</v>
      </c>
      <c r="CM38" s="23">
        <f>EXP(-LN(2)/2)*CM37+(1-EXP(-LN(2)/2))/(LN(2)/2)*CG38*CJ38*VLOOKUP('Données projet'!$B$12,Paramètres!$A$1:$I$89,3,0)*0.475*44/12</f>
        <v>2.4692330378184342</v>
      </c>
      <c r="CN38" s="24">
        <f t="shared" si="12"/>
        <v>4.4989213573681948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148.33000000000001</v>
      </c>
      <c r="CR38" s="13">
        <f>VLOOKUP(A38,'Données projet'!$A$139:$I$159,9,0)</f>
        <v>9.4040000000000017</v>
      </c>
      <c r="CS38" s="13">
        <f t="array" ref="CS38">INDEX(CR:CR,MIN(IF(ISNUMBER(CR38:CR234),ROW(CR38:CR234),"")))</f>
        <v>9.4040000000000017</v>
      </c>
      <c r="CT38" s="13">
        <f>IF('Données projet'!$A$140&gt;35,CT37+CS38-DB37,IF(A38&lt;'Données projet'!$A$140,$CQ$205^A38,IF(A38='Données projet'!$A$140,'Données projet'!$B$140,CT37+CS38-DB37)))</f>
        <v>148.32999999999996</v>
      </c>
      <c r="CU38" s="18">
        <f>CT38*VLOOKUP('Données projet'!$B$13,Paramètres!$A$1:$I$89,3,0)*VLOOKUP('Données projet'!$B$13,Paramètres!$A$1:$I$89,5,0)</f>
        <v>115.69739999999997</v>
      </c>
      <c r="CV38" s="14">
        <f t="shared" si="41"/>
        <v>30.669365930366325</v>
      </c>
      <c r="CW38" s="22">
        <f t="shared" si="13"/>
        <v>254.92211732872124</v>
      </c>
      <c r="CX38" s="62">
        <f t="shared" si="14"/>
        <v>498.57265005329577</v>
      </c>
      <c r="CY38" s="62">
        <f ca="1">AVERAGE(OFFSET($CX$3,0,0,'Données projet'!$E$13+1,1))-AVERAGE(OFFSET($H$3,0,0,'Données projet'!$E$13+1,1))</f>
        <v>252.10592533338991</v>
      </c>
      <c r="CZ38" s="62">
        <f t="shared" si="42"/>
        <v>272.71831345325313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28.59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0.25800000000000001</v>
      </c>
      <c r="DE38" s="17">
        <f>IF(ISNA(VLOOKUP(A38,'Données projet'!$A$139:$I$159,7,0)),0%,VLOOKUP(A38,'Données projet'!$A$139:$I$159,7,0))</f>
        <v>0.2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11.826606240272294</v>
      </c>
      <c r="DH38" s="23">
        <f>EXP(-LN(2)/2)*DH37+(1-EXP(-LN(2)/2))/(LN(2)/2)*DB38*DE38*VLOOKUP('Données projet'!$B$13,Paramètres!$A$1:$I$89,3,0)*0.475*44/12</f>
        <v>4.9864447120147792</v>
      </c>
      <c r="DI38" s="24">
        <f t="shared" si="15"/>
        <v>16.813050952287075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256.75</v>
      </c>
      <c r="DM38" s="13">
        <f>VLOOKUP(A38,'Données projet'!$A$165:$I$185,9,0)</f>
        <v>13.388</v>
      </c>
      <c r="DN38" s="13">
        <f t="array" ref="DN38">INDEX(DM:DM,MIN(IF(ISNUMBER(DM38:DM234),ROW(DM38:DM234),"")))</f>
        <v>13.388</v>
      </c>
      <c r="DO38" s="13">
        <f>IF('Données projet'!$A$166&gt;35,DO37+DN38-DW37,IF(A38&lt;'Données projet'!$A$166,$DL$205^A38,IF(A38='Données projet'!$A$166,'Données projet'!$B$166,DO37+DN38-DW37)))</f>
        <v>256.75000000000006</v>
      </c>
      <c r="DP38" s="18">
        <f>DO38*VLOOKUP('Données projet'!$B$14,Paramètres!$A$1:$I$89,3,0)*VLOOKUP('Données projet'!$B$14,Paramètres!$A$1:$I$89,5,0)</f>
        <v>153.53650000000005</v>
      </c>
      <c r="DQ38" s="14">
        <f t="shared" si="43"/>
        <v>39.381174710260709</v>
      </c>
      <c r="DR38" s="22">
        <f t="shared" si="16"/>
        <v>335.99828345370412</v>
      </c>
      <c r="DS38" s="62">
        <f t="shared" si="17"/>
        <v>579.64881617827859</v>
      </c>
      <c r="DT38" s="62">
        <f ca="1">AVERAGE(OFFSET($DS$3,0,0,'Données projet'!$E$14+1,1))-AVERAGE(OFFSET($H$3,0,0,'Données projet'!$E$14+1,1))</f>
        <v>423.0896575168394</v>
      </c>
      <c r="DU38" s="62">
        <f t="shared" si="44"/>
        <v>305.98537395014284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82.16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0.27</v>
      </c>
      <c r="DZ38" s="17">
        <f>IF(ISNA(VLOOKUP(A38,'Données projet'!$A$165:$I$185,7,0)),0%,VLOOKUP(A38,'Données projet'!$A$165:$I$185,7,0))</f>
        <v>0.2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22.152105096437168</v>
      </c>
      <c r="EC38" s="23">
        <f>EXP(-LN(2)/2)*EC37+(1-EXP(-LN(2)/2))/(LN(2)/2)*DW38*DZ38*VLOOKUP('Données projet'!$B$14,Paramètres!$A$1:$I$89,3,0)*0.475*44/12</f>
        <v>11.15026905748406</v>
      </c>
      <c r="ED38" s="24">
        <f t="shared" si="18"/>
        <v>33.302374153921228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267.70999999999998</v>
      </c>
      <c r="EH38" s="13">
        <f>VLOOKUP(A38,'Données projet'!$A$191:$I$211,9,0)</f>
        <v>18.077999999999996</v>
      </c>
      <c r="EI38" s="13">
        <f t="array" ref="EI38">INDEX(EH:EH,MIN(IF(ISNUMBER(EH38:EH234),ROW(EH38:EH234),"")))</f>
        <v>18.077999999999996</v>
      </c>
      <c r="EJ38" s="13">
        <f>IF('Données projet'!$A$192&gt;35,EJ37+EI38-ER37,IF(A38&lt;'Données projet'!$A$192,$EG$205^A38,IF(A38='Données projet'!$A$192,'Données projet'!$B$192,EJ37+EI38-ER37)))</f>
        <v>267.70999999999998</v>
      </c>
      <c r="EK38" s="18">
        <f>EJ38*VLOOKUP('Données projet'!$B$15,Paramètres!$A$1:$I$89,3,0)*VLOOKUP('Données projet'!$B$15,Paramètres!$A$1:$I$89,5,0)</f>
        <v>160.09057999999999</v>
      </c>
      <c r="EL38" s="14">
        <f t="shared" si="45"/>
        <v>40.862945305520398</v>
      </c>
      <c r="EM38" s="22">
        <f t="shared" si="19"/>
        <v>349.99405657378128</v>
      </c>
      <c r="EN38" s="62">
        <f t="shared" si="20"/>
        <v>593.64458929835575</v>
      </c>
      <c r="EO38" s="62">
        <f ca="1">AVERAGE(OFFSET($EN$3,0,0,'Données projet'!$E$15+1,1))-AVERAGE(OFFSET($H$3,0,0,'Données projet'!$E$15+1,1))</f>
        <v>281.21543175875604</v>
      </c>
      <c r="EP38" s="62">
        <f t="shared" si="46"/>
        <v>366.68536296857428</v>
      </c>
      <c r="EQ38" s="16">
        <f>IF(ISNA(VLOOKUP(A38,'Données projet'!$A$191:$I$211,3,0)),0,VLOOKUP(A38,'Données projet'!$A$191:$I$211,3,0))</f>
        <v>6</v>
      </c>
      <c r="ER38" s="16">
        <f>IF(ISNA(VLOOKUP(A38,'Données projet'!$A$191:$I$211,4,0)),0,VLOOKUP(A38,'Données projet'!$A$191:$I$211,4,0))</f>
        <v>33.6</v>
      </c>
      <c r="ES38" s="17">
        <f>IF(ISNA(VLOOKUP(A38,'Données projet'!$A$191:$I$211,5,0)),0%,VLOOKUP(A38,'Données projet'!$A$191:$I$211,5,0)*VLOOKUP('Données projet'!$B$15,Paramètres!$A$1:$I$89,7,0))</f>
        <v>0.27</v>
      </c>
      <c r="ET38" s="17">
        <f>IF(ISNA(VLOOKUP(A38,'Données projet'!$A$191:$I$211,6,0)),0%,VLOOKUP(A38,'Données projet'!$A$191:$I$211,6,0)*VLOOKUP('Données projet'!$B$15,Paramètres!$A$1:$I$89,7,0))</f>
        <v>9.0000000000000011E-2</v>
      </c>
      <c r="EU38" s="17">
        <f>IF(ISNA(VLOOKUP(A38,'Données projet'!$A$191:$I$211,7,0)),0%,VLOOKUP(A38,'Données projet'!$A$191:$I$211,7,0))</f>
        <v>0.1</v>
      </c>
      <c r="EV38" s="23">
        <f>EXP(-LN(2)/35)*EV37+(1-EXP(-LN(2)/35))/(LN(2)/35)*ER38*ES38*VLOOKUP('Données projet'!$B$15,Paramètres!$A$1:$I$89,3,0)*0.475*44/12</f>
        <v>17.948909662885132</v>
      </c>
      <c r="EW38" s="23">
        <f>EXP(-LN(2)/25)*EW37+(1-EXP(-LN(2)/25))/(LN(2)/25)*Calculateur!ER38*Calculateur!ET38*VLOOKUP('Données projet'!$B$15,Paramètres!$A$1:$I$89,3,0)*0.475*44/12</f>
        <v>10.693269264931345</v>
      </c>
      <c r="EX38" s="23">
        <f>EXP(-LN(2)/2)*EX37+(1-EXP(-LN(2)/2))/(LN(2)/2)*ER38*EU38*VLOOKUP('Données projet'!$B$15,Paramètres!$A$1:$I$89,3,0)*0.475*44/12</f>
        <v>3.1909250883724107</v>
      </c>
      <c r="EY38" s="24">
        <f t="shared" si="21"/>
        <v>31.833104016188887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169.2</v>
      </c>
      <c r="FC38" s="13">
        <f>VLOOKUP(A38,'Données projet'!$A$217:$I$237,9,0)</f>
        <v>12.379999999999995</v>
      </c>
      <c r="FD38" s="13">
        <f t="array" ref="FD38">INDEX(FC:FC,MIN(IF(ISNUMBER(FC38:FC234),ROW(FC38:FC234),"")))</f>
        <v>12.379999999999995</v>
      </c>
      <c r="FE38" s="13">
        <f>IF('Données projet'!$A$218&gt;35,FE37+FD38-FM37,IF(A38&lt;'Données projet'!$A$218,$FB$205^A38,IF(A38='Données projet'!$A$218,'Données projet'!$B$218,FE37+FD38-FM37)))</f>
        <v>169.20000000000002</v>
      </c>
      <c r="FF38" s="18">
        <f>FE38*VLOOKUP('Données projet'!$B$16,Paramètres!$A$1:$I$89,3,0)*VLOOKUP('Données projet'!$B$16,Paramètres!$A$1:$I$89,5,0)</f>
        <v>94.582800000000006</v>
      </c>
      <c r="FG38" s="14">
        <f t="shared" si="47"/>
        <v>25.667270957125069</v>
      </c>
      <c r="FH38" s="22">
        <f t="shared" si="22"/>
        <v>209.43554025032617</v>
      </c>
      <c r="FI38" s="62">
        <f t="shared" si="23"/>
        <v>453.08607297490067</v>
      </c>
      <c r="FJ38" s="62">
        <f ca="1">AVERAGE(OFFSET($FI$3,0,0,'Données projet'!$E$16+1,1))-AVERAGE(OFFSET($H$3,0,0,'Données projet'!$E$16+1,1))</f>
        <v>280.9225643428145</v>
      </c>
      <c r="FK38" s="62">
        <f t="shared" si="48"/>
        <v>236.89414218053955</v>
      </c>
      <c r="FL38" s="16">
        <f>IF(ISNA(VLOOKUP(A38,'Données projet'!$A$217:$I$237,3,0)),0,VLOOKUP(A38,'Données projet'!$A$217:$I$237,3,0))</f>
        <v>4</v>
      </c>
      <c r="FM38" s="16">
        <f>IF(ISNA(VLOOKUP(A38,'Données projet'!$A$217:$I$237,4,0)),0,VLOOKUP(A38,'Données projet'!$A$217:$I$237,4,0))</f>
        <v>43.31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0.44000000000000006</v>
      </c>
      <c r="FP38" s="17">
        <f>IF(ISNA(VLOOKUP(A38,'Données projet'!$A$217:$I$237,7,0)),0%,VLOOKUP(A38,'Données projet'!$A$217:$I$237,7,0))</f>
        <v>0.2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39.099582223791479</v>
      </c>
      <c r="FS38" s="23">
        <f>EXP(-LN(2)/2)*FS37+(1-EXP(-LN(2)/2))/(LN(2)/2)*FM38*FP38*VLOOKUP('Données projet'!$B$16,Paramètres!$A$1:$I$89,3,0)*0.475*44/12</f>
        <v>6.4883372497986844</v>
      </c>
      <c r="FT38" s="24">
        <f t="shared" si="24"/>
        <v>45.587919473590162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467.7</v>
      </c>
      <c r="FX38" s="13">
        <f>VLOOKUP(A38,'Données projet'!$A$243:$I$263,9,0)</f>
        <v>22.637999999999998</v>
      </c>
      <c r="FY38" s="13">
        <f t="array" ref="FY38">INDEX(FX:FX,MIN(IF(ISNUMBER(FX38:FX234),ROW(FX38:FX234),"")))</f>
        <v>22.637999999999998</v>
      </c>
      <c r="FZ38" s="13">
        <f>IF('Données projet'!$A$244&gt;35,FZ37+FY38-GH37,IF(A38&lt;'Données projet'!$A$244,$FW$205^A38,IF(A38='Données projet'!$A$244,'Données projet'!$B$244,FZ37+FY38-GH37)))</f>
        <v>467.69999999999982</v>
      </c>
      <c r="GA38" s="18">
        <f>FZ38*VLOOKUP('Données projet'!$B$17,Paramètres!$A$1:$I$89,3,0)*VLOOKUP('Données projet'!$B$17,Paramètres!$A$1:$I$89,5,0)</f>
        <v>206.72339999999994</v>
      </c>
      <c r="GB38" s="14">
        <f t="shared" si="49"/>
        <v>51.218912145921742</v>
      </c>
      <c r="GC38" s="22">
        <f t="shared" si="25"/>
        <v>449.24952698748024</v>
      </c>
      <c r="GD38" s="62">
        <f t="shared" si="26"/>
        <v>692.90005971205471</v>
      </c>
      <c r="GE38" s="62">
        <f ca="1">AVERAGE(OFFSET($GD$3,0,0,'Données projet'!$E$17+1,1))-AVERAGE(OFFSET($H$3,0,0,'Données projet'!$E$17+1,1))</f>
        <v>325.67421864225201</v>
      </c>
      <c r="GF38" s="62">
        <f t="shared" si="50"/>
        <v>542.01920418736745</v>
      </c>
      <c r="GG38" s="16">
        <f>IF(ISNA(VLOOKUP(A38,'Données projet'!$A$243:$I$263,3,0)),0,VLOOKUP(A38,'Données projet'!$A$243:$I$263,3,0))</f>
        <v>4</v>
      </c>
      <c r="GH38" s="16">
        <f>IF(ISNA(VLOOKUP(A38,'Données projet'!$A$243:$I$263,4,0)),0,VLOOKUP(A38,'Données projet'!$A$243:$I$263,4,0))</f>
        <v>131.41999999999999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0.44000000000000006</v>
      </c>
      <c r="GK38" s="17">
        <f>IF(ISNA(VLOOKUP(A38,'Données projet'!$A$243:$I$263,7,0)),0%,VLOOKUP(A38,'Données projet'!$A$243:$I$263,7,0))</f>
        <v>0.2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102.40386762428699</v>
      </c>
      <c r="GN38" s="23">
        <f>EXP(-LN(2)/2)*GN37+(1-EXP(-LN(2)/2))/(LN(2)/2)*GH38*GK38*VLOOKUP('Données projet'!$B$17,Paramètres!$A$1:$I$89,3,0)*0.475*44/12</f>
        <v>15.933983017683843</v>
      </c>
      <c r="GO38" s="23">
        <f t="shared" si="27"/>
        <v>118.33785064197083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46.37</v>
      </c>
      <c r="GS38" s="13">
        <f>VLOOKUP(A38,'Données projet'!$A$269:$I$289,9,0)</f>
        <v>3.0119999999999996</v>
      </c>
      <c r="GT38" s="13">
        <f t="array" ref="GT38">INDEX(GS:GS,MIN(IF(ISNUMBER(GS38:GS234),ROW(GS38:GS234),"")))</f>
        <v>3.0119999999999996</v>
      </c>
      <c r="GU38" s="13">
        <f>IF('Données projet'!$A$270&gt;35,GU37+GT38-HC37,IF(A38&lt;'Données projet'!$A$270,$GR$205^A38,IF(A38='Données projet'!$A$270,'Données projet'!$B$270,GU37+GT38-HC37)))</f>
        <v>46.370000000000005</v>
      </c>
      <c r="GV38" s="18">
        <f>GU38*VLOOKUP('Données projet'!$B$18,Paramètres!$A$1:$I$89,3,0)*VLOOKUP('Données projet'!$B$18,Paramètres!$A$1:$I$89,5,0)</f>
        <v>47.019180000000006</v>
      </c>
      <c r="GW38" s="14">
        <f t="shared" si="51"/>
        <v>13.84121771236495</v>
      </c>
      <c r="GX38" s="22">
        <f t="shared" si="28"/>
        <v>105.9985260157023</v>
      </c>
      <c r="GY38" s="62">
        <f t="shared" si="29"/>
        <v>349.64905874027681</v>
      </c>
      <c r="GZ38" s="62">
        <f ca="1">AVERAGE(OFFSET($GY$3,0,0,'Données projet'!$E$18+1,1))-AVERAGE(OFFSET($H$3,0,0,'Données projet'!$E$18+1,1))</f>
        <v>220.89224520315713</v>
      </c>
      <c r="HA38" s="62">
        <f t="shared" si="52"/>
        <v>141.82763623159096</v>
      </c>
      <c r="HB38" s="16">
        <f>IF(ISNA(VLOOKUP(A38,'Données projet'!$A$269:$I$289,3,0)),0,VLOOKUP(A38,'Données projet'!$A$269:$I$289,3,0))</f>
        <v>2</v>
      </c>
      <c r="HC38" s="16">
        <f>IF(ISNA(VLOOKUP(A38,'Données projet'!$A$269:$I$289,4,0)),0,VLOOKUP(A38,'Données projet'!$A$269:$I$289,4,0))</f>
        <v>8.06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1.0626666666666666</v>
      </c>
      <c r="N39" s="14">
        <f>IF('Données projet'!$A$36&gt;35,N38+M39-V38,IF(A39&lt;'Données projet'!$A$36,$K$205^A39,IF(A39='Données projet'!$A$36,'Données projet'!$B$36,N38+M39-V38)))</f>
        <v>10.902666666666667</v>
      </c>
      <c r="O39" s="14">
        <f>N39*VLOOKUP('Données projet'!$B$9,Paramètres!$A$1:$I$89,3,0)*VLOOKUP('Données projet'!$B$9,Paramètres!$A$1:$I$89,5,0)</f>
        <v>10.545059200000001</v>
      </c>
      <c r="P39" s="14">
        <f t="shared" si="33"/>
        <v>3.6941810900799017</v>
      </c>
      <c r="Q39" s="22">
        <f t="shared" si="53"/>
        <v>24.800010171889159</v>
      </c>
      <c r="R39" s="62">
        <f t="shared" si="0"/>
        <v>269.31242841292357</v>
      </c>
      <c r="S39" s="62">
        <f ca="1">AVERAGE(OFFSET($R$3,0,0,'Données projet'!$E$9+1,1))-AVERAGE(OFFSET($H$3,0,0,'Données projet'!$E$9+1,1))</f>
        <v>84.959354125980269</v>
      </c>
      <c r="T39" s="62">
        <f t="shared" si="34"/>
        <v>89.658970210276806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2.7052210403924755</v>
      </c>
      <c r="AC39" s="24">
        <f t="shared" si="3"/>
        <v>2.7052210403924755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6.5376666666666665</v>
      </c>
      <c r="AI39" s="14">
        <f>IF('Données projet'!$A$62&gt;35,AI38+AH39-AQ38,IF(A39&lt;'Données projet'!$A$62,$AF$205^A39,IF(A39='Données projet'!$A$62,'Données projet'!$B$62,AI38+AH39-AQ38)))</f>
        <v>81.796000000000021</v>
      </c>
      <c r="AJ39" s="14">
        <f>AI39*VLOOKUP('Données projet'!$B$10,Paramètres!$A$1:$I$89,3,0)*VLOOKUP('Données projet'!$B$10,Paramètres!$A$1:$I$89,5,0)</f>
        <v>77.837073600000025</v>
      </c>
      <c r="AK39" s="14">
        <f t="shared" si="35"/>
        <v>21.607496729459765</v>
      </c>
      <c r="AL39" s="22">
        <f t="shared" si="4"/>
        <v>173.19929332380912</v>
      </c>
      <c r="AM39" s="62">
        <f t="shared" si="5"/>
        <v>417.71171156484354</v>
      </c>
      <c r="AN39" s="62">
        <f ca="1">AVERAGE(OFFSET($AM$3,0,0,'Données projet'!$E$10+1,1))-AVERAGE(OFFSET($H$3,0,0,'Données projet'!$E$10+1,1))</f>
        <v>592.76231355549089</v>
      </c>
      <c r="AO39" s="62">
        <f t="shared" si="36"/>
        <v>200.66895551079014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3.8975377159160476</v>
      </c>
      <c r="AW39" s="23">
        <f>EXP(-LN(2)/2)*AW38+(1-EXP(-LN(2)/2))/(LN(2)/2)*AQ39*AT39*VLOOKUP('Données projet'!$B$10,Paramètres!$A$1:$I$89,3,0)*0.475*44/12</f>
        <v>0.6261733234322262</v>
      </c>
      <c r="AX39" s="23">
        <f t="shared" si="6"/>
        <v>4.5237110393482736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4.76</v>
      </c>
      <c r="BD39" s="13">
        <f>IF('Données projet'!$A$88&gt;35,BD38+BC39-BL38,IF(A39&lt;'Données projet'!$A$88,$BA$205^A39,IF(A39='Données projet'!$A$88,'Données projet'!$B$88,BD38+BC39-BL38)))</f>
        <v>60.290000000000006</v>
      </c>
      <c r="BE39" s="14">
        <f>BD39*VLOOKUP('Données projet'!$B$11,Paramètres!$A$1:$I$89,3,0)*VLOOKUP('Données projet'!$B$11,Paramètres!$A$1:$I$89,5,0)</f>
        <v>54.550392000000009</v>
      </c>
      <c r="BF39" s="14">
        <f t="shared" si="37"/>
        <v>15.782895023508322</v>
      </c>
      <c r="BG39" s="22">
        <f t="shared" si="7"/>
        <v>122.49714156594366</v>
      </c>
      <c r="BH39" s="62">
        <f t="shared" si="8"/>
        <v>367.00955980697807</v>
      </c>
      <c r="BI39" s="62">
        <f ca="1">AVERAGE(OFFSET($BH$3,0,0,'Données projet'!$E$11+1,1))-AVERAGE(OFFSET($H$3,0,0,'Données projet'!$E$11+1,1))</f>
        <v>316.71836722354374</v>
      </c>
      <c r="BJ39" s="62">
        <f t="shared" si="38"/>
        <v>164.34067012996618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2.396194054307812</v>
      </c>
      <c r="BS39" s="24">
        <f t="shared" si="9"/>
        <v>2.396194054307812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6.6720000000000006</v>
      </c>
      <c r="BY39" s="13">
        <f>IF('Données projet'!$A$114&gt;35,BY38+BX39-CG38,IF(A39&lt;'Données projet'!$A$114,$BV$205^A39,IF(A39='Données projet'!$A$114,'Données projet'!$B$114,BY38+BX39-CG38)))</f>
        <v>126.50199999999992</v>
      </c>
      <c r="BZ39" s="14">
        <f>BY39*VLOOKUP('Données projet'!$B$12,Paramètres!$A$1:$I$89,3,0)*VLOOKUP('Données projet'!$B$12,Paramètres!$A$1:$I$89,5,0)</f>
        <v>144.0604775999999</v>
      </c>
      <c r="CA39" s="14">
        <f t="shared" si="39"/>
        <v>37.225650412164661</v>
      </c>
      <c r="CB39" s="22">
        <f t="shared" si="10"/>
        <v>315.74000628785325</v>
      </c>
      <c r="CC39" s="62">
        <f t="shared" si="11"/>
        <v>560.25242452888767</v>
      </c>
      <c r="CD39" s="62">
        <f ca="1">AVERAGE(OFFSET($CC$3,0,0,'Données projet'!$E$12+1,1))-AVERAGE(OFFSET($H$3,0,0,'Données projet'!$E$12+1,1))</f>
        <v>454.9779384236806</v>
      </c>
      <c r="CE39" s="62">
        <f t="shared" si="40"/>
        <v>379.32753348721906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1.974186385715003</v>
      </c>
      <c r="CM39" s="23">
        <f>EXP(-LN(2)/2)*CM38+(1-EXP(-LN(2)/2))/(LN(2)/2)*CG39*CJ39*VLOOKUP('Données projet'!$B$12,Paramètres!$A$1:$I$89,3,0)*0.475*44/12</f>
        <v>1.7460114253712737</v>
      </c>
      <c r="CN39" s="24">
        <f t="shared" si="12"/>
        <v>3.720197811086277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9.3940000000000001</v>
      </c>
      <c r="CT39" s="13">
        <f>IF('Données projet'!$A$140&gt;35,CT38+CS39-DB38,IF(A39&lt;'Données projet'!$A$140,$CQ$205^A39,IF(A39='Données projet'!$A$140,'Données projet'!$B$140,CT38+CS39-DB38)))</f>
        <v>129.13399999999996</v>
      </c>
      <c r="CU39" s="18">
        <f>CT39*VLOOKUP('Données projet'!$B$13,Paramètres!$A$1:$I$89,3,0)*VLOOKUP('Données projet'!$B$13,Paramètres!$A$1:$I$89,5,0)</f>
        <v>100.72451999999997</v>
      </c>
      <c r="CV39" s="14">
        <f t="shared" si="41"/>
        <v>27.13453185969081</v>
      </c>
      <c r="CW39" s="22">
        <f t="shared" si="13"/>
        <v>222.68784865562807</v>
      </c>
      <c r="CX39" s="62">
        <f t="shared" si="14"/>
        <v>467.20026689666247</v>
      </c>
      <c r="CY39" s="62">
        <f ca="1">AVERAGE(OFFSET($CX$3,0,0,'Données projet'!$E$13+1,1))-AVERAGE(OFFSET($H$3,0,0,'Données projet'!$E$13+1,1))</f>
        <v>252.10592533338991</v>
      </c>
      <c r="CZ39" s="62">
        <f t="shared" si="42"/>
        <v>272.71831345325313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11.503207070697856</v>
      </c>
      <c r="DH39" s="23">
        <f>EXP(-LN(2)/2)*DH38+(1-EXP(-LN(2)/2))/(LN(2)/2)*DB39*DE39*VLOOKUP('Données projet'!$B$13,Paramètres!$A$1:$I$89,3,0)*0.475*44/12</f>
        <v>3.5259488698774519</v>
      </c>
      <c r="DI39" s="24">
        <f t="shared" si="15"/>
        <v>15.029155940575308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17.788000000000004</v>
      </c>
      <c r="DO39" s="13">
        <f>IF('Données projet'!$A$166&gt;35,DO38+DN39-DW38,IF(A39&lt;'Données projet'!$A$166,$DL$205^A39,IF(A39='Données projet'!$A$166,'Données projet'!$B$166,DO38+DN39-DW38)))</f>
        <v>192.37800000000007</v>
      </c>
      <c r="DP39" s="18">
        <f>DO39*VLOOKUP('Données projet'!$B$14,Paramètres!$A$1:$I$89,3,0)*VLOOKUP('Données projet'!$B$14,Paramètres!$A$1:$I$89,5,0)</f>
        <v>115.04204400000005</v>
      </c>
      <c r="DQ39" s="14">
        <f t="shared" si="43"/>
        <v>30.515813166841109</v>
      </c>
      <c r="DR39" s="22">
        <f t="shared" si="16"/>
        <v>253.51326789891502</v>
      </c>
      <c r="DS39" s="62">
        <f t="shared" si="17"/>
        <v>498.02568613994947</v>
      </c>
      <c r="DT39" s="62">
        <f ca="1">AVERAGE(OFFSET($DS$3,0,0,'Données projet'!$E$14+1,1))-AVERAGE(OFFSET($H$3,0,0,'Données projet'!$E$14+1,1))</f>
        <v>423.0896575168394</v>
      </c>
      <c r="DU39" s="62">
        <f t="shared" si="44"/>
        <v>305.98537395014284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21.546354617646514</v>
      </c>
      <c r="EC39" s="23">
        <f>EXP(-LN(2)/2)*EC38+(1-EXP(-LN(2)/2))/(LN(2)/2)*DW39*DZ39*VLOOKUP('Données projet'!$B$14,Paramètres!$A$1:$I$89,3,0)*0.475*44/12</f>
        <v>7.8844308626015129</v>
      </c>
      <c r="ED39" s="24">
        <f t="shared" si="18"/>
        <v>29.430785480248026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10.086</v>
      </c>
      <c r="EJ39" s="13">
        <f>IF('Données projet'!$A$192&gt;35,EJ38+EI39-ER38,IF(A39&lt;'Données projet'!$A$192,$EG$205^A39,IF(A39='Données projet'!$A$192,'Données projet'!$B$192,EJ38+EI39-ER38)))</f>
        <v>244.196</v>
      </c>
      <c r="EK39" s="18">
        <f>EJ39*VLOOKUP('Données projet'!$B$15,Paramètres!$A$1:$I$89,3,0)*VLOOKUP('Données projet'!$B$15,Paramètres!$A$1:$I$89,5,0)</f>
        <v>146.02920800000001</v>
      </c>
      <c r="EL39" s="14">
        <f t="shared" si="45"/>
        <v>37.674804737236521</v>
      </c>
      <c r="EM39" s="22">
        <f t="shared" si="19"/>
        <v>319.95115551735358</v>
      </c>
      <c r="EN39" s="62">
        <f t="shared" si="20"/>
        <v>564.46357375838807</v>
      </c>
      <c r="EO39" s="62">
        <f ca="1">AVERAGE(OFFSET($EN$3,0,0,'Données projet'!$E$15+1,1))-AVERAGE(OFFSET($H$3,0,0,'Données projet'!$E$15+1,1))</f>
        <v>281.21543175875604</v>
      </c>
      <c r="EP39" s="62">
        <f t="shared" si="46"/>
        <v>366.68536296857428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17.596942492149847</v>
      </c>
      <c r="EW39" s="23">
        <f>EXP(-LN(2)/25)*EW38+(1-EXP(-LN(2)/25))/(LN(2)/25)*Calculateur!ER39*Calculateur!ET39*VLOOKUP('Données projet'!$B$15,Paramètres!$A$1:$I$89,3,0)*0.475*44/12</f>
        <v>10.400861254547207</v>
      </c>
      <c r="EX39" s="23">
        <f>EXP(-LN(2)/2)*EX38+(1-EXP(-LN(2)/2))/(LN(2)/2)*ER39*EU39*VLOOKUP('Données projet'!$B$15,Paramètres!$A$1:$I$89,3,0)*0.475*44/12</f>
        <v>2.2563247682464151</v>
      </c>
      <c r="EY39" s="24">
        <f t="shared" si="21"/>
        <v>30.254128514943467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13.968999999999999</v>
      </c>
      <c r="FE39" s="13">
        <f>IF('Données projet'!$A$218&gt;35,FE38+FD39-FM38,IF(A39&lt;'Données projet'!$A$218,$FB$205^A39,IF(A39='Données projet'!$A$218,'Données projet'!$B$218,FE38+FD39-FM38)))</f>
        <v>139.85900000000001</v>
      </c>
      <c r="FF39" s="18">
        <f>FE39*VLOOKUP('Données projet'!$B$16,Paramètres!$A$1:$I$89,3,0)*VLOOKUP('Données projet'!$B$16,Paramètres!$A$1:$I$89,5,0)</f>
        <v>78.181180999999995</v>
      </c>
      <c r="FG39" s="14">
        <f t="shared" si="47"/>
        <v>21.691879951301761</v>
      </c>
      <c r="FH39" s="22">
        <f t="shared" si="22"/>
        <v>173.94558115685052</v>
      </c>
      <c r="FI39" s="62">
        <f t="shared" si="23"/>
        <v>418.45799939788492</v>
      </c>
      <c r="FJ39" s="62">
        <f ca="1">AVERAGE(OFFSET($FI$3,0,0,'Données projet'!$E$16+1,1))-AVERAGE(OFFSET($H$3,0,0,'Données projet'!$E$16+1,1))</f>
        <v>280.9225643428145</v>
      </c>
      <c r="FK39" s="62">
        <f t="shared" si="48"/>
        <v>236.89414218053955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38.030402091724234</v>
      </c>
      <c r="FS39" s="23">
        <f>EXP(-LN(2)/2)*FS38+(1-EXP(-LN(2)/2))/(LN(2)/2)*FM39*FP39*VLOOKUP('Données projet'!$B$16,Paramètres!$A$1:$I$89,3,0)*0.475*44/12</f>
        <v>4.5879472679579241</v>
      </c>
      <c r="FT39" s="24">
        <f t="shared" si="24"/>
        <v>42.618349359682156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17.23800000000001</v>
      </c>
      <c r="FZ39" s="13">
        <f>IF('Données projet'!$A$244&gt;35,FZ38+FY39-GH38,IF(A39&lt;'Données projet'!$A$244,$FW$205^A39,IF(A39='Données projet'!$A$244,'Données projet'!$B$244,FZ38+FY39-GH38)))</f>
        <v>353.5179999999998</v>
      </c>
      <c r="GA39" s="18">
        <f>FZ39*VLOOKUP('Données projet'!$B$17,Paramètres!$A$1:$I$89,3,0)*VLOOKUP('Données projet'!$B$17,Paramètres!$A$1:$I$89,5,0)</f>
        <v>156.25495599999994</v>
      </c>
      <c r="GB39" s="14">
        <f t="shared" si="49"/>
        <v>39.996649421992949</v>
      </c>
      <c r="GC39" s="22">
        <f t="shared" si="25"/>
        <v>341.80487944330429</v>
      </c>
      <c r="GD39" s="62">
        <f t="shared" si="26"/>
        <v>586.31729768433866</v>
      </c>
      <c r="GE39" s="62">
        <f ca="1">AVERAGE(OFFSET($GD$3,0,0,'Données projet'!$E$17+1,1))-AVERAGE(OFFSET($H$3,0,0,'Données projet'!$E$17+1,1))</f>
        <v>325.67421864225201</v>
      </c>
      <c r="GF39" s="62">
        <f t="shared" si="50"/>
        <v>542.01920418736745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99.60362847891551</v>
      </c>
      <c r="GN39" s="23">
        <f>EXP(-LN(2)/2)*GN38+(1-EXP(-LN(2)/2))/(LN(2)/2)*GH39*GK39*VLOOKUP('Données projet'!$B$17,Paramètres!$A$1:$I$89,3,0)*0.475*44/12</f>
        <v>11.267027443115534</v>
      </c>
      <c r="GO39" s="23">
        <f t="shared" si="27"/>
        <v>110.87065592203105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2.9520000000000008</v>
      </c>
      <c r="GU39" s="13">
        <f>IF('Données projet'!$A$270&gt;35,GU38+GT39-HC38,IF(A39&lt;'Données projet'!$A$270,$GR$205^A39,IF(A39='Données projet'!$A$270,'Données projet'!$B$270,GU38+GT39-HC38)))</f>
        <v>41.262</v>
      </c>
      <c r="GV39" s="18">
        <f>GU39*VLOOKUP('Données projet'!$B$18,Paramètres!$A$1:$I$89,3,0)*VLOOKUP('Données projet'!$B$18,Paramètres!$A$1:$I$89,5,0)</f>
        <v>41.839668000000003</v>
      </c>
      <c r="GW39" s="14">
        <f t="shared" si="51"/>
        <v>12.484967744043928</v>
      </c>
      <c r="GX39" s="22">
        <f t="shared" si="28"/>
        <v>94.615407254209842</v>
      </c>
      <c r="GY39" s="62">
        <f t="shared" si="29"/>
        <v>339.12782549524428</v>
      </c>
      <c r="GZ39" s="62">
        <f ca="1">AVERAGE(OFFSET($GY$3,0,0,'Données projet'!$E$18+1,1))-AVERAGE(OFFSET($H$3,0,0,'Données projet'!$E$18+1,1))</f>
        <v>220.89224520315713</v>
      </c>
      <c r="HA39" s="62">
        <f t="shared" si="52"/>
        <v>141.82763623159096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1.0626666666666666</v>
      </c>
      <c r="N40" s="14">
        <f>IF('Données projet'!$A$36&gt;35,N39+M40-V39,IF(A40&lt;'Données projet'!$A$36,$K$205^A40,IF(A40='Données projet'!$A$36,'Données projet'!$B$36,N39+M40-V39)))</f>
        <v>11.965333333333334</v>
      </c>
      <c r="O40" s="14">
        <f>N40*VLOOKUP('Données projet'!$B$9,Paramètres!$A$1:$I$89,3,0)*VLOOKUP('Données projet'!$B$9,Paramètres!$A$1:$I$89,5,0)</f>
        <v>11.572870400000001</v>
      </c>
      <c r="P40" s="14">
        <f t="shared" si="33"/>
        <v>4.0105931867403797</v>
      </c>
      <c r="Q40" s="22">
        <f t="shared" si="53"/>
        <v>27.141199080239492</v>
      </c>
      <c r="R40" s="62">
        <f t="shared" si="0"/>
        <v>272.50055105091059</v>
      </c>
      <c r="S40" s="62">
        <f ca="1">AVERAGE(OFFSET($R$3,0,0,'Données projet'!$E$9+1,1))-AVERAGE(OFFSET($H$3,0,0,'Données projet'!$E$9+1,1))</f>
        <v>84.959354125980269</v>
      </c>
      <c r="T40" s="62">
        <f t="shared" si="34"/>
        <v>89.658970210276806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1.9128801422700468</v>
      </c>
      <c r="AC40" s="24">
        <f t="shared" si="3"/>
        <v>1.9128801422700468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6.5376666666666665</v>
      </c>
      <c r="AI40" s="14">
        <f>IF('Données projet'!$A$62&gt;35,AI39+AH40-AQ39,IF(A40&lt;'Données projet'!$A$62,$AF$205^A40,IF(A40='Données projet'!$A$62,'Données projet'!$B$62,AI39+AH40-AQ39)))</f>
        <v>88.333666666666687</v>
      </c>
      <c r="AJ40" s="14">
        <f>AI40*VLOOKUP('Données projet'!$B$10,Paramètres!$A$1:$I$89,3,0)*VLOOKUP('Données projet'!$B$10,Paramètres!$A$1:$I$89,5,0)</f>
        <v>84.058317200000019</v>
      </c>
      <c r="AK40" s="14">
        <f t="shared" si="35"/>
        <v>23.12658801636497</v>
      </c>
      <c r="AL40" s="22">
        <f t="shared" si="4"/>
        <v>186.68037658516903</v>
      </c>
      <c r="AM40" s="62">
        <f t="shared" si="5"/>
        <v>432.03972855584016</v>
      </c>
      <c r="AN40" s="62">
        <f ca="1">AVERAGE(OFFSET($AM$3,0,0,'Données projet'!$E$10+1,1))-AVERAGE(OFFSET($H$3,0,0,'Données projet'!$E$10+1,1))</f>
        <v>592.76231355549089</v>
      </c>
      <c r="AO40" s="62">
        <f t="shared" si="36"/>
        <v>200.66895551079014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3.7909593421117229</v>
      </c>
      <c r="AW40" s="23">
        <f>EXP(-LN(2)/2)*AW39+(1-EXP(-LN(2)/2))/(LN(2)/2)*AQ40*AT40*VLOOKUP('Données projet'!$B$10,Paramètres!$A$1:$I$89,3,0)*0.475*44/12</f>
        <v>0.44277140319704444</v>
      </c>
      <c r="AX40" s="23">
        <f t="shared" si="6"/>
        <v>4.2337307453087671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4.76</v>
      </c>
      <c r="BD40" s="13">
        <f>IF('Données projet'!$A$88&gt;35,BD39+BC40-BL39,IF(A40&lt;'Données projet'!$A$88,$BA$205^A40,IF(A40='Données projet'!$A$88,'Données projet'!$B$88,BD39+BC40-BL39)))</f>
        <v>65.050000000000011</v>
      </c>
      <c r="BE40" s="14">
        <f>BD40*VLOOKUP('Données projet'!$B$11,Paramètres!$A$1:$I$89,3,0)*VLOOKUP('Données projet'!$B$11,Paramètres!$A$1:$I$89,5,0)</f>
        <v>58.857240000000012</v>
      </c>
      <c r="BF40" s="14">
        <f t="shared" si="37"/>
        <v>16.87902086989893</v>
      </c>
      <c r="BG40" s="22">
        <f t="shared" si="7"/>
        <v>131.90732101507399</v>
      </c>
      <c r="BH40" s="62">
        <f t="shared" si="8"/>
        <v>377.26667298574512</v>
      </c>
      <c r="BI40" s="62">
        <f ca="1">AVERAGE(OFFSET($BH$3,0,0,'Données projet'!$E$11+1,1))-AVERAGE(OFFSET($H$3,0,0,'Données projet'!$E$11+1,1))</f>
        <v>316.71836722354374</v>
      </c>
      <c r="BJ40" s="62">
        <f t="shared" si="38"/>
        <v>164.34067012996618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1.6943650648399402</v>
      </c>
      <c r="BS40" s="24">
        <f t="shared" si="9"/>
        <v>1.6943650648399402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6.6720000000000006</v>
      </c>
      <c r="BY40" s="13">
        <f>IF('Données projet'!$A$114&gt;35,BY39+BX40-CG39,IF(A40&lt;'Données projet'!$A$114,$BV$205^A40,IF(A40='Données projet'!$A$114,'Données projet'!$B$114,BY39+BX40-CG39)))</f>
        <v>133.17399999999992</v>
      </c>
      <c r="BZ40" s="14">
        <f>BY40*VLOOKUP('Données projet'!$B$12,Paramètres!$A$1:$I$89,3,0)*VLOOKUP('Données projet'!$B$12,Paramètres!$A$1:$I$89,5,0)</f>
        <v>151.65855119999989</v>
      </c>
      <c r="CA40" s="14">
        <f t="shared" si="39"/>
        <v>38.955255775333562</v>
      </c>
      <c r="CB40" s="22">
        <f t="shared" si="10"/>
        <v>331.98571381537243</v>
      </c>
      <c r="CC40" s="62">
        <f t="shared" si="11"/>
        <v>577.34506578604351</v>
      </c>
      <c r="CD40" s="62">
        <f ca="1">AVERAGE(OFFSET($CC$3,0,0,'Données projet'!$E$12+1,1))-AVERAGE(OFFSET($H$3,0,0,'Données projet'!$E$12+1,1))</f>
        <v>454.9779384236806</v>
      </c>
      <c r="CE40" s="62">
        <f t="shared" si="40"/>
        <v>379.32753348721906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1.9202021551796764</v>
      </c>
      <c r="CM40" s="23">
        <f>EXP(-LN(2)/2)*CM39+(1-EXP(-LN(2)/2))/(LN(2)/2)*CG40*CJ40*VLOOKUP('Données projet'!$B$12,Paramètres!$A$1:$I$89,3,0)*0.475*44/12</f>
        <v>1.2346165189092173</v>
      </c>
      <c r="CN40" s="24">
        <f t="shared" si="12"/>
        <v>3.1548186740888937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9.3940000000000001</v>
      </c>
      <c r="CT40" s="13">
        <f>IF('Données projet'!$A$140&gt;35,CT39+CS40-DB39,IF(A40&lt;'Données projet'!$A$140,$CQ$205^A40,IF(A40='Données projet'!$A$140,'Données projet'!$B$140,CT39+CS40-DB39)))</f>
        <v>138.52799999999996</v>
      </c>
      <c r="CU40" s="18">
        <f>CT40*VLOOKUP('Données projet'!$B$13,Paramètres!$A$1:$I$89,3,0)*VLOOKUP('Données projet'!$B$13,Paramètres!$A$1:$I$89,5,0)</f>
        <v>108.05183999999997</v>
      </c>
      <c r="CV40" s="14">
        <f t="shared" si="41"/>
        <v>28.871506616044705</v>
      </c>
      <c r="CW40" s="22">
        <f t="shared" si="13"/>
        <v>238.47482868961114</v>
      </c>
      <c r="CX40" s="62">
        <f t="shared" si="14"/>
        <v>483.83418066028224</v>
      </c>
      <c r="CY40" s="62">
        <f ca="1">AVERAGE(OFFSET($CX$3,0,0,'Données projet'!$E$13+1,1))-AVERAGE(OFFSET($H$3,0,0,'Données projet'!$E$13+1,1))</f>
        <v>252.10592533338991</v>
      </c>
      <c r="CZ40" s="62">
        <f t="shared" si="42"/>
        <v>272.71831345325313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11.188651268422255</v>
      </c>
      <c r="DH40" s="23">
        <f>EXP(-LN(2)/2)*DH39+(1-EXP(-LN(2)/2))/(LN(2)/2)*DB40*DE40*VLOOKUP('Données projet'!$B$13,Paramètres!$A$1:$I$89,3,0)*0.475*44/12</f>
        <v>2.4932223560073901</v>
      </c>
      <c r="DI40" s="24">
        <f t="shared" si="15"/>
        <v>13.681873624429645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17.788000000000004</v>
      </c>
      <c r="DO40" s="13">
        <f>IF('Données projet'!$A$166&gt;35,DO39+DN40-DW39,IF(A40&lt;'Données projet'!$A$166,$DL$205^A40,IF(A40='Données projet'!$A$166,'Données projet'!$B$166,DO39+DN40-DW39)))</f>
        <v>210.16600000000008</v>
      </c>
      <c r="DP40" s="18">
        <f>DO40*VLOOKUP('Données projet'!$B$14,Paramètres!$A$1:$I$89,3,0)*VLOOKUP('Données projet'!$B$14,Paramètres!$A$1:$I$89,5,0)</f>
        <v>125.67926800000006</v>
      </c>
      <c r="DQ40" s="14">
        <f t="shared" si="43"/>
        <v>32.996009459065263</v>
      </c>
      <c r="DR40" s="22">
        <f t="shared" si="16"/>
        <v>276.35944157453878</v>
      </c>
      <c r="DS40" s="62">
        <f t="shared" si="17"/>
        <v>521.71879354520991</v>
      </c>
      <c r="DT40" s="62">
        <f ca="1">AVERAGE(OFFSET($DS$3,0,0,'Données projet'!$E$14+1,1))-AVERAGE(OFFSET($H$3,0,0,'Données projet'!$E$14+1,1))</f>
        <v>423.0896575168394</v>
      </c>
      <c r="DU40" s="62">
        <f t="shared" si="44"/>
        <v>305.98537395014284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20.957168417553426</v>
      </c>
      <c r="EC40" s="23">
        <f>EXP(-LN(2)/2)*EC39+(1-EXP(-LN(2)/2))/(LN(2)/2)*DW40*DZ40*VLOOKUP('Données projet'!$B$14,Paramètres!$A$1:$I$89,3,0)*0.475*44/12</f>
        <v>5.5751345287420309</v>
      </c>
      <c r="ED40" s="24">
        <f t="shared" si="18"/>
        <v>26.532302946295456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10.086</v>
      </c>
      <c r="EJ40" s="13">
        <f>IF('Données projet'!$A$192&gt;35,EJ39+EI40-ER39,IF(A40&lt;'Données projet'!$A$192,$EG$205^A40,IF(A40='Données projet'!$A$192,'Données projet'!$B$192,EJ39+EI40-ER39)))</f>
        <v>254.28200000000001</v>
      </c>
      <c r="EK40" s="18">
        <f>EJ40*VLOOKUP('Données projet'!$B$15,Paramètres!$A$1:$I$89,3,0)*VLOOKUP('Données projet'!$B$15,Paramètres!$A$1:$I$89,5,0)</f>
        <v>152.06063600000002</v>
      </c>
      <c r="EL40" s="14">
        <f t="shared" si="45"/>
        <v>39.04650003849089</v>
      </c>
      <c r="EM40" s="22">
        <f t="shared" si="19"/>
        <v>332.8449286003717</v>
      </c>
      <c r="EN40" s="62">
        <f t="shared" si="20"/>
        <v>578.20428057104277</v>
      </c>
      <c r="EO40" s="62">
        <f ca="1">AVERAGE(OFFSET($EN$3,0,0,'Données projet'!$E$15+1,1))-AVERAGE(OFFSET($H$3,0,0,'Données projet'!$E$15+1,1))</f>
        <v>281.21543175875604</v>
      </c>
      <c r="EP40" s="62">
        <f t="shared" si="46"/>
        <v>366.68536296857428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17.251877182953905</v>
      </c>
      <c r="EW40" s="23">
        <f>EXP(-LN(2)/25)*EW39+(1-EXP(-LN(2)/25))/(LN(2)/25)*Calculateur!ER40*Calculateur!ET40*VLOOKUP('Données projet'!$B$15,Paramètres!$A$1:$I$89,3,0)*0.475*44/12</f>
        <v>10.116449156584093</v>
      </c>
      <c r="EX40" s="23">
        <f>EXP(-LN(2)/2)*EX39+(1-EXP(-LN(2)/2))/(LN(2)/2)*ER40*EU40*VLOOKUP('Données projet'!$B$15,Paramètres!$A$1:$I$89,3,0)*0.475*44/12</f>
        <v>1.5954625441862056</v>
      </c>
      <c r="EY40" s="24">
        <f t="shared" si="21"/>
        <v>28.963788883724202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13.968999999999999</v>
      </c>
      <c r="FE40" s="13">
        <f>IF('Données projet'!$A$218&gt;35,FE39+FD40-FM39,IF(A40&lt;'Données projet'!$A$218,$FB$205^A40,IF(A40='Données projet'!$A$218,'Données projet'!$B$218,FE39+FD40-FM39)))</f>
        <v>153.828</v>
      </c>
      <c r="FF40" s="18">
        <f>FE40*VLOOKUP('Données projet'!$B$16,Paramètres!$A$1:$I$89,3,0)*VLOOKUP('Données projet'!$B$16,Paramètres!$A$1:$I$89,5,0)</f>
        <v>85.989851999999999</v>
      </c>
      <c r="FG40" s="14">
        <f t="shared" si="47"/>
        <v>23.595523221130691</v>
      </c>
      <c r="FH40" s="22">
        <f t="shared" si="22"/>
        <v>190.86119517680262</v>
      </c>
      <c r="FI40" s="62">
        <f t="shared" si="23"/>
        <v>436.22054714747372</v>
      </c>
      <c r="FJ40" s="62">
        <f ca="1">AVERAGE(OFFSET($FI$3,0,0,'Données projet'!$E$16+1,1))-AVERAGE(OFFSET($H$3,0,0,'Données projet'!$E$16+1,1))</f>
        <v>280.9225643428145</v>
      </c>
      <c r="FK40" s="62">
        <f t="shared" si="48"/>
        <v>236.89414218053955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36.990458746594108</v>
      </c>
      <c r="FS40" s="23">
        <f>EXP(-LN(2)/2)*FS39+(1-EXP(-LN(2)/2))/(LN(2)/2)*FM40*FP40*VLOOKUP('Données projet'!$B$16,Paramètres!$A$1:$I$89,3,0)*0.475*44/12</f>
        <v>3.2441686248993427</v>
      </c>
      <c r="FT40" s="24">
        <f t="shared" si="24"/>
        <v>40.234627371493453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17.23800000000001</v>
      </c>
      <c r="FZ40" s="13">
        <f>IF('Données projet'!$A$244&gt;35,FZ39+FY40-GH39,IF(A40&lt;'Données projet'!$A$244,$FW$205^A40,IF(A40='Données projet'!$A$244,'Données projet'!$B$244,FZ39+FY40-GH39)))</f>
        <v>370.7559999999998</v>
      </c>
      <c r="GA40" s="18">
        <f>FZ40*VLOOKUP('Données projet'!$B$17,Paramètres!$A$1:$I$89,3,0)*VLOOKUP('Données projet'!$B$17,Paramètres!$A$1:$I$89,5,0)</f>
        <v>163.87415199999992</v>
      </c>
      <c r="GB40" s="14">
        <f t="shared" si="49"/>
        <v>41.715120744904659</v>
      </c>
      <c r="GC40" s="22">
        <f t="shared" si="25"/>
        <v>358.06798336404216</v>
      </c>
      <c r="GD40" s="62">
        <f t="shared" si="26"/>
        <v>603.42733533471323</v>
      </c>
      <c r="GE40" s="62">
        <f ca="1">AVERAGE(OFFSET($GD$3,0,0,'Données projet'!$E$17+1,1))-AVERAGE(OFFSET($H$3,0,0,'Données projet'!$E$17+1,1))</f>
        <v>325.67421864225201</v>
      </c>
      <c r="GF40" s="62">
        <f t="shared" si="50"/>
        <v>542.01920418736745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96.879962020232398</v>
      </c>
      <c r="GN40" s="23">
        <f>EXP(-LN(2)/2)*GN39+(1-EXP(-LN(2)/2))/(LN(2)/2)*GH40*GK40*VLOOKUP('Données projet'!$B$17,Paramètres!$A$1:$I$89,3,0)*0.475*44/12</f>
        <v>7.9669915088419225</v>
      </c>
      <c r="GO40" s="23">
        <f t="shared" si="27"/>
        <v>104.84695352907433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2.9520000000000008</v>
      </c>
      <c r="GU40" s="13">
        <f>IF('Données projet'!$A$270&gt;35,GU39+GT40-HC39,IF(A40&lt;'Données projet'!$A$270,$GR$205^A40,IF(A40='Données projet'!$A$270,'Données projet'!$B$270,GU39+GT40-HC39)))</f>
        <v>44.213999999999999</v>
      </c>
      <c r="GV40" s="18">
        <f>GU40*VLOOKUP('Données projet'!$B$18,Paramètres!$A$1:$I$89,3,0)*VLOOKUP('Données projet'!$B$18,Paramètres!$A$1:$I$89,5,0)</f>
        <v>44.832996000000001</v>
      </c>
      <c r="GW40" s="14">
        <f t="shared" si="51"/>
        <v>13.271006053902759</v>
      </c>
      <c r="GX40" s="22">
        <f t="shared" si="28"/>
        <v>101.19780357721397</v>
      </c>
      <c r="GY40" s="62">
        <f t="shared" si="29"/>
        <v>346.55715554788509</v>
      </c>
      <c r="GZ40" s="62">
        <f ca="1">AVERAGE(OFFSET($GY$3,0,0,'Données projet'!$E$18+1,1))-AVERAGE(OFFSET($H$3,0,0,'Données projet'!$E$18+1,1))</f>
        <v>220.89224520315713</v>
      </c>
      <c r="HA40" s="62">
        <f t="shared" si="52"/>
        <v>141.82763623159096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1.0626666666666666</v>
      </c>
      <c r="N41" s="14">
        <f>IF('Données projet'!$A$36&gt;35,N40+M41-V40,IF(A41&lt;'Données projet'!$A$36,$K$205^A41,IF(A41='Données projet'!$A$36,'Données projet'!$B$36,N40+M41-V40)))</f>
        <v>13.028</v>
      </c>
      <c r="O41" s="14">
        <f>N41*VLOOKUP('Données projet'!$B$9,Paramètres!$A$1:$I$89,3,0)*VLOOKUP('Données projet'!$B$9,Paramètres!$A$1:$I$89,5,0)</f>
        <v>12.600681600000001</v>
      </c>
      <c r="P41" s="14">
        <f t="shared" si="33"/>
        <v>4.3237466309488752</v>
      </c>
      <c r="Q41" s="22">
        <f t="shared" si="53"/>
        <v>29.476712502235959</v>
      </c>
      <c r="R41" s="62">
        <f t="shared" si="0"/>
        <v>275.66830579579471</v>
      </c>
      <c r="S41" s="62">
        <f ca="1">AVERAGE(OFFSET($R$3,0,0,'Données projet'!$E$9+1,1))-AVERAGE(OFFSET($H$3,0,0,'Données projet'!$E$9+1,1))</f>
        <v>84.959354125980269</v>
      </c>
      <c r="T41" s="62">
        <f t="shared" si="34"/>
        <v>89.658970210276806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1.352610520196238</v>
      </c>
      <c r="AC41" s="24">
        <f t="shared" si="3"/>
        <v>1.352610520196238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6.5376666666666665</v>
      </c>
      <c r="AI41" s="14">
        <f>IF('Données projet'!$A$62&gt;35,AI40+AH41-AQ40,IF(A41&lt;'Données projet'!$A$62,$AF$205^A41,IF(A41='Données projet'!$A$62,'Données projet'!$B$62,AI40+AH41-AQ40)))</f>
        <v>94.871333333333354</v>
      </c>
      <c r="AJ41" s="14">
        <f>AI41*VLOOKUP('Données projet'!$B$10,Paramètres!$A$1:$I$89,3,0)*VLOOKUP('Données projet'!$B$10,Paramètres!$A$1:$I$89,5,0)</f>
        <v>90.279560800000027</v>
      </c>
      <c r="AK41" s="14">
        <f t="shared" si="35"/>
        <v>24.632636152157357</v>
      </c>
      <c r="AL41" s="22">
        <f t="shared" si="4"/>
        <v>200.13874302500744</v>
      </c>
      <c r="AM41" s="62">
        <f t="shared" si="5"/>
        <v>446.3303363185662</v>
      </c>
      <c r="AN41" s="62">
        <f ca="1">AVERAGE(OFFSET($AM$3,0,0,'Données projet'!$E$10+1,1))-AVERAGE(OFFSET($H$3,0,0,'Données projet'!$E$10+1,1))</f>
        <v>592.76231355549089</v>
      </c>
      <c r="AO41" s="62">
        <f t="shared" si="36"/>
        <v>200.66895551079014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3.6872953595437905</v>
      </c>
      <c r="AW41" s="23">
        <f>EXP(-LN(2)/2)*AW40+(1-EXP(-LN(2)/2))/(LN(2)/2)*AQ41*AT41*VLOOKUP('Données projet'!$B$10,Paramètres!$A$1:$I$89,3,0)*0.475*44/12</f>
        <v>0.31308666171611316</v>
      </c>
      <c r="AX41" s="23">
        <f t="shared" si="6"/>
        <v>4.0003820212599033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4.76</v>
      </c>
      <c r="BD41" s="13">
        <f>IF('Données projet'!$A$88&gt;35,BD40+BC41-BL40,IF(A41&lt;'Données projet'!$A$88,$BA$205^A41,IF(A41='Données projet'!$A$88,'Données projet'!$B$88,BD40+BC41-BL40)))</f>
        <v>69.810000000000016</v>
      </c>
      <c r="BE41" s="14">
        <f>BD41*VLOOKUP('Données projet'!$B$11,Paramètres!$A$1:$I$89,3,0)*VLOOKUP('Données projet'!$B$11,Paramètres!$A$1:$I$89,5,0)</f>
        <v>63.164088000000014</v>
      </c>
      <c r="BF41" s="14">
        <f t="shared" si="37"/>
        <v>17.965841340462806</v>
      </c>
      <c r="BG41" s="22">
        <f t="shared" si="7"/>
        <v>141.30129360130607</v>
      </c>
      <c r="BH41" s="62">
        <f t="shared" si="8"/>
        <v>387.4928868948648</v>
      </c>
      <c r="BI41" s="62">
        <f ca="1">AVERAGE(OFFSET($BH$3,0,0,'Données projet'!$E$11+1,1))-AVERAGE(OFFSET($H$3,0,0,'Données projet'!$E$11+1,1))</f>
        <v>316.71836722354374</v>
      </c>
      <c r="BJ41" s="62">
        <f t="shared" si="38"/>
        <v>164.34067012996618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1.198097027153906</v>
      </c>
      <c r="BS41" s="24">
        <f t="shared" si="9"/>
        <v>1.198097027153906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6.6720000000000006</v>
      </c>
      <c r="BY41" s="13">
        <f>IF('Données projet'!$A$114&gt;35,BY40+BX41-CG40,IF(A41&lt;'Données projet'!$A$114,$BV$205^A41,IF(A41='Données projet'!$A$114,'Données projet'!$B$114,BY40+BX41-CG40)))</f>
        <v>139.84599999999992</v>
      </c>
      <c r="BZ41" s="14">
        <f>BY41*VLOOKUP('Données projet'!$B$12,Paramètres!$A$1:$I$89,3,0)*VLOOKUP('Données projet'!$B$12,Paramètres!$A$1:$I$89,5,0)</f>
        <v>159.25662479999991</v>
      </c>
      <c r="CA41" s="14">
        <f t="shared" si="39"/>
        <v>40.674799638225082</v>
      </c>
      <c r="CB41" s="22">
        <f t="shared" si="10"/>
        <v>348.2138975632418</v>
      </c>
      <c r="CC41" s="62">
        <f t="shared" si="11"/>
        <v>594.4054908568005</v>
      </c>
      <c r="CD41" s="62">
        <f ca="1">AVERAGE(OFFSET($CC$3,0,0,'Données projet'!$E$12+1,1))-AVERAGE(OFFSET($H$3,0,0,'Données projet'!$E$12+1,1))</f>
        <v>454.9779384236806</v>
      </c>
      <c r="CE41" s="62">
        <f t="shared" si="40"/>
        <v>379.32753348721906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1.8676941262672455</v>
      </c>
      <c r="CM41" s="23">
        <f>EXP(-LN(2)/2)*CM40+(1-EXP(-LN(2)/2))/(LN(2)/2)*CG41*CJ41*VLOOKUP('Données projet'!$B$12,Paramètres!$A$1:$I$89,3,0)*0.475*44/12</f>
        <v>0.87300571268563698</v>
      </c>
      <c r="CN41" s="24">
        <f t="shared" si="12"/>
        <v>2.7406998389528825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9.3940000000000001</v>
      </c>
      <c r="CT41" s="13">
        <f>IF('Données projet'!$A$140&gt;35,CT40+CS41-DB40,IF(A41&lt;'Données projet'!$A$140,$CQ$205^A41,IF(A41='Données projet'!$A$140,'Données projet'!$B$140,CT40+CS41-DB40)))</f>
        <v>147.92199999999997</v>
      </c>
      <c r="CU41" s="18">
        <f>CT41*VLOOKUP('Données projet'!$B$13,Paramètres!$A$1:$I$89,3,0)*VLOOKUP('Données projet'!$B$13,Paramètres!$A$1:$I$89,5,0)</f>
        <v>115.37915999999998</v>
      </c>
      <c r="CV41" s="14">
        <f t="shared" si="41"/>
        <v>30.594813593488691</v>
      </c>
      <c r="CW41" s="22">
        <f t="shared" si="13"/>
        <v>254.23800400865943</v>
      </c>
      <c r="CX41" s="62">
        <f t="shared" si="14"/>
        <v>500.42959730221816</v>
      </c>
      <c r="CY41" s="62">
        <f ca="1">AVERAGE(OFFSET($CX$3,0,0,'Données projet'!$E$13+1,1))-AVERAGE(OFFSET($H$3,0,0,'Données projet'!$E$13+1,1))</f>
        <v>252.10592533338991</v>
      </c>
      <c r="CZ41" s="62">
        <f t="shared" si="42"/>
        <v>272.71831345325313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10.88269701110165</v>
      </c>
      <c r="DH41" s="23">
        <f>EXP(-LN(2)/2)*DH40+(1-EXP(-LN(2)/2))/(LN(2)/2)*DB41*DE41*VLOOKUP('Données projet'!$B$13,Paramètres!$A$1:$I$89,3,0)*0.475*44/12</f>
        <v>1.7629744349387262</v>
      </c>
      <c r="DI41" s="24">
        <f t="shared" si="15"/>
        <v>12.645671446040376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17.788000000000004</v>
      </c>
      <c r="DO41" s="13">
        <f>IF('Données projet'!$A$166&gt;35,DO40+DN41-DW40,IF(A41&lt;'Données projet'!$A$166,$DL$205^A41,IF(A41='Données projet'!$A$166,'Données projet'!$B$166,DO40+DN41-DW40)))</f>
        <v>227.95400000000009</v>
      </c>
      <c r="DP41" s="18">
        <f>DO41*VLOOKUP('Données projet'!$B$14,Paramètres!$A$1:$I$89,3,0)*VLOOKUP('Données projet'!$B$14,Paramètres!$A$1:$I$89,5,0)</f>
        <v>136.31649200000007</v>
      </c>
      <c r="DQ41" s="14">
        <f t="shared" si="43"/>
        <v>35.451860545893631</v>
      </c>
      <c r="DR41" s="22">
        <f t="shared" si="16"/>
        <v>299.16321401743147</v>
      </c>
      <c r="DS41" s="62">
        <f t="shared" si="17"/>
        <v>545.35480731099017</v>
      </c>
      <c r="DT41" s="62">
        <f ca="1">AVERAGE(OFFSET($DS$3,0,0,'Données projet'!$E$14+1,1))-AVERAGE(OFFSET($H$3,0,0,'Données projet'!$E$14+1,1))</f>
        <v>423.0896575168394</v>
      </c>
      <c r="DU41" s="62">
        <f t="shared" si="44"/>
        <v>305.98537395014284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20.38409354508584</v>
      </c>
      <c r="EC41" s="23">
        <f>EXP(-LN(2)/2)*EC40+(1-EXP(-LN(2)/2))/(LN(2)/2)*DW41*DZ41*VLOOKUP('Données projet'!$B$14,Paramètres!$A$1:$I$89,3,0)*0.475*44/12</f>
        <v>3.9422154313007574</v>
      </c>
      <c r="ED41" s="24">
        <f t="shared" si="18"/>
        <v>24.326308976386596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10.086</v>
      </c>
      <c r="EJ41" s="13">
        <f>IF('Données projet'!$A$192&gt;35,EJ40+EI41-ER40,IF(A41&lt;'Données projet'!$A$192,$EG$205^A41,IF(A41='Données projet'!$A$192,'Données projet'!$B$192,EJ40+EI41-ER40)))</f>
        <v>264.36799999999999</v>
      </c>
      <c r="EK41" s="18">
        <f>EJ41*VLOOKUP('Données projet'!$B$15,Paramètres!$A$1:$I$89,3,0)*VLOOKUP('Données projet'!$B$15,Paramètres!$A$1:$I$89,5,0)</f>
        <v>158.09206399999999</v>
      </c>
      <c r="EL41" s="14">
        <f t="shared" si="45"/>
        <v>40.411875121259115</v>
      </c>
      <c r="EM41" s="22">
        <f t="shared" si="19"/>
        <v>345.72769396952634</v>
      </c>
      <c r="EN41" s="62">
        <f t="shared" si="20"/>
        <v>591.91928726308504</v>
      </c>
      <c r="EO41" s="62">
        <f ca="1">AVERAGE(OFFSET($EN$3,0,0,'Données projet'!$E$15+1,1))-AVERAGE(OFFSET($H$3,0,0,'Données projet'!$E$15+1,1))</f>
        <v>281.21543175875604</v>
      </c>
      <c r="EP41" s="62">
        <f t="shared" si="46"/>
        <v>366.68536296857428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16.91357839400224</v>
      </c>
      <c r="EW41" s="23">
        <f>EXP(-LN(2)/25)*EW40+(1-EXP(-LN(2)/25))/(LN(2)/25)*Calculateur!ER41*Calculateur!ET41*VLOOKUP('Données projet'!$B$15,Paramètres!$A$1:$I$89,3,0)*0.475*44/12</f>
        <v>9.8398143223963608</v>
      </c>
      <c r="EX41" s="23">
        <f>EXP(-LN(2)/2)*EX40+(1-EXP(-LN(2)/2))/(LN(2)/2)*ER41*EU41*VLOOKUP('Données projet'!$B$15,Paramètres!$A$1:$I$89,3,0)*0.475*44/12</f>
        <v>1.1281623841232078</v>
      </c>
      <c r="EY41" s="24">
        <f t="shared" si="21"/>
        <v>27.881555100521808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13.968999999999999</v>
      </c>
      <c r="FE41" s="13">
        <f>IF('Données projet'!$A$218&gt;35,FE40+FD41-FM40,IF(A41&lt;'Données projet'!$A$218,$FB$205^A41,IF(A41='Données projet'!$A$218,'Données projet'!$B$218,FE40+FD41-FM40)))</f>
        <v>167.797</v>
      </c>
      <c r="FF41" s="18">
        <f>FE41*VLOOKUP('Données projet'!$B$16,Paramètres!$A$1:$I$89,3,0)*VLOOKUP('Données projet'!$B$16,Paramètres!$A$1:$I$89,5,0)</f>
        <v>93.798523000000003</v>
      </c>
      <c r="FG41" s="14">
        <f t="shared" si="47"/>
        <v>25.479121529867374</v>
      </c>
      <c r="FH41" s="22">
        <f t="shared" si="22"/>
        <v>207.74189755618568</v>
      </c>
      <c r="FI41" s="62">
        <f t="shared" si="23"/>
        <v>453.93349084974443</v>
      </c>
      <c r="FJ41" s="62">
        <f ca="1">AVERAGE(OFFSET($FI$3,0,0,'Données projet'!$E$16+1,1))-AVERAGE(OFFSET($H$3,0,0,'Données projet'!$E$16+1,1))</f>
        <v>280.9225643428145</v>
      </c>
      <c r="FK41" s="62">
        <f t="shared" si="48"/>
        <v>236.89414218053955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35.978952706924808</v>
      </c>
      <c r="FS41" s="23">
        <f>EXP(-LN(2)/2)*FS40+(1-EXP(-LN(2)/2))/(LN(2)/2)*FM41*FP41*VLOOKUP('Données projet'!$B$16,Paramètres!$A$1:$I$89,3,0)*0.475*44/12</f>
        <v>2.2939736339789625</v>
      </c>
      <c r="FT41" s="24">
        <f t="shared" si="24"/>
        <v>38.272926340903773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17.23800000000001</v>
      </c>
      <c r="FZ41" s="13">
        <f>IF('Données projet'!$A$244&gt;35,FZ40+FY41-GH40,IF(A41&lt;'Données projet'!$A$244,$FW$205^A41,IF(A41='Données projet'!$A$244,'Données projet'!$B$244,FZ40+FY41-GH40)))</f>
        <v>387.9939999999998</v>
      </c>
      <c r="GA41" s="18">
        <f>FZ41*VLOOKUP('Données projet'!$B$17,Paramètres!$A$1:$I$89,3,0)*VLOOKUP('Données projet'!$B$17,Paramètres!$A$1:$I$89,5,0)</f>
        <v>171.49334799999991</v>
      </c>
      <c r="GB41" s="14">
        <f t="shared" si="49"/>
        <v>43.424313423001699</v>
      </c>
      <c r="GC41" s="22">
        <f t="shared" si="25"/>
        <v>374.31492697839445</v>
      </c>
      <c r="GD41" s="62">
        <f t="shared" si="26"/>
        <v>620.50652027195315</v>
      </c>
      <c r="GE41" s="62">
        <f ca="1">AVERAGE(OFFSET($GD$3,0,0,'Données projet'!$E$17+1,1))-AVERAGE(OFFSET($H$3,0,0,'Données projet'!$E$17+1,1))</f>
        <v>325.67421864225201</v>
      </c>
      <c r="GF41" s="62">
        <f t="shared" si="50"/>
        <v>542.01920418736745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94.230774364093364</v>
      </c>
      <c r="GN41" s="23">
        <f>EXP(-LN(2)/2)*GN40+(1-EXP(-LN(2)/2))/(LN(2)/2)*GH41*GK41*VLOOKUP('Données projet'!$B$17,Paramètres!$A$1:$I$89,3,0)*0.475*44/12</f>
        <v>5.633513721557768</v>
      </c>
      <c r="GO41" s="23">
        <f t="shared" si="27"/>
        <v>99.864288085651125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2.9520000000000008</v>
      </c>
      <c r="GU41" s="13">
        <f>IF('Données projet'!$A$270&gt;35,GU40+GT41-HC40,IF(A41&lt;'Données projet'!$A$270,$GR$205^A41,IF(A41='Données projet'!$A$270,'Données projet'!$B$270,GU40+GT41-HC40)))</f>
        <v>47.165999999999997</v>
      </c>
      <c r="GV41" s="18">
        <f>GU41*VLOOKUP('Données projet'!$B$18,Paramètres!$A$1:$I$89,3,0)*VLOOKUP('Données projet'!$B$18,Paramètres!$A$1:$I$89,5,0)</f>
        <v>47.826324</v>
      </c>
      <c r="GW41" s="14">
        <f t="shared" si="51"/>
        <v>14.050954502887517</v>
      </c>
      <c r="GX41" s="22">
        <f t="shared" si="28"/>
        <v>107.7695933925291</v>
      </c>
      <c r="GY41" s="62">
        <f t="shared" si="29"/>
        <v>353.96118668608784</v>
      </c>
      <c r="GZ41" s="62">
        <f ca="1">AVERAGE(OFFSET($GY$3,0,0,'Données projet'!$E$18+1,1))-AVERAGE(OFFSET($H$3,0,0,'Données projet'!$E$18+1,1))</f>
        <v>220.89224520315713</v>
      </c>
      <c r="HA41" s="62">
        <f t="shared" si="52"/>
        <v>141.82763623159096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1.0626666666666666</v>
      </c>
      <c r="N42" s="14">
        <f>IF('Données projet'!$A$36&gt;35,N41+M42-V41,IF(A42&lt;'Données projet'!$A$36,$K$205^A42,IF(A42='Données projet'!$A$36,'Données projet'!$B$36,N41+M42-V41)))</f>
        <v>14.090666666666667</v>
      </c>
      <c r="O42" s="14">
        <f>N42*VLOOKUP('Données projet'!$B$9,Paramètres!$A$1:$I$89,3,0)*VLOOKUP('Données projet'!$B$9,Paramètres!$A$1:$I$89,5,0)</f>
        <v>13.6284928</v>
      </c>
      <c r="P42" s="14">
        <f t="shared" si="33"/>
        <v>4.6339374430775209</v>
      </c>
      <c r="Q42" s="22">
        <f t="shared" si="53"/>
        <v>31.807066006693351</v>
      </c>
      <c r="R42" s="62">
        <f t="shared" si="0"/>
        <v>278.81646309680048</v>
      </c>
      <c r="S42" s="62">
        <f ca="1">AVERAGE(OFFSET($R$3,0,0,'Données projet'!$E$9+1,1))-AVERAGE(OFFSET($H$3,0,0,'Données projet'!$E$9+1,1))</f>
        <v>84.959354125980269</v>
      </c>
      <c r="T42" s="62">
        <f t="shared" si="34"/>
        <v>89.658970210276806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0.9564400711350235</v>
      </c>
      <c r="AC42" s="24">
        <f t="shared" si="3"/>
        <v>0.9564400711350235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6.5376666666666665</v>
      </c>
      <c r="AI42" s="14">
        <f>IF('Données projet'!$A$62&gt;35,AI41+AH42-AQ41,IF(A42&lt;'Données projet'!$A$62,$AF$205^A42,IF(A42='Données projet'!$A$62,'Données projet'!$B$62,AI41+AH42-AQ41)))</f>
        <v>101.40900000000002</v>
      </c>
      <c r="AJ42" s="14">
        <f>AI42*VLOOKUP('Données projet'!$B$10,Paramètres!$A$1:$I$89,3,0)*VLOOKUP('Données projet'!$B$10,Paramètres!$A$1:$I$89,5,0)</f>
        <v>96.500804400000021</v>
      </c>
      <c r="AK42" s="14">
        <f t="shared" si="35"/>
        <v>26.126642199299347</v>
      </c>
      <c r="AL42" s="22">
        <f t="shared" si="4"/>
        <v>213.57613616044637</v>
      </c>
      <c r="AM42" s="62">
        <f t="shared" si="5"/>
        <v>460.58553325055345</v>
      </c>
      <c r="AN42" s="62">
        <f ca="1">AVERAGE(OFFSET($AM$3,0,0,'Données projet'!$E$10+1,1))-AVERAGE(OFFSET($H$3,0,0,'Données projet'!$E$10+1,1))</f>
        <v>592.76231355549089</v>
      </c>
      <c r="AO42" s="62">
        <f t="shared" si="36"/>
        <v>200.66895551079014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3.5864660740306302</v>
      </c>
      <c r="AW42" s="23">
        <f>EXP(-LN(2)/2)*AW41+(1-EXP(-LN(2)/2))/(LN(2)/2)*AQ42*AT42*VLOOKUP('Données projet'!$B$10,Paramètres!$A$1:$I$89,3,0)*0.475*44/12</f>
        <v>0.22138570159852228</v>
      </c>
      <c r="AX42" s="23">
        <f t="shared" si="6"/>
        <v>3.8078517756291523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4.76</v>
      </c>
      <c r="BD42" s="13">
        <f>IF('Données projet'!$A$88&gt;35,BD41+BC42-BL41,IF(A42&lt;'Données projet'!$A$88,$BA$205^A42,IF(A42='Données projet'!$A$88,'Données projet'!$B$88,BD41+BC42-BL41)))</f>
        <v>74.570000000000022</v>
      </c>
      <c r="BE42" s="14">
        <f>BD42*VLOOKUP('Données projet'!$B$11,Paramètres!$A$1:$I$89,3,0)*VLOOKUP('Données projet'!$B$11,Paramètres!$A$1:$I$89,5,0)</f>
        <v>67.470936000000023</v>
      </c>
      <c r="BF42" s="14">
        <f t="shared" si="37"/>
        <v>19.04406310614451</v>
      </c>
      <c r="BG42" s="22">
        <f t="shared" si="7"/>
        <v>150.68029010986837</v>
      </c>
      <c r="BH42" s="62">
        <f t="shared" si="8"/>
        <v>397.68968719997548</v>
      </c>
      <c r="BI42" s="62">
        <f ca="1">AVERAGE(OFFSET($BH$3,0,0,'Données projet'!$E$11+1,1))-AVERAGE(OFFSET($H$3,0,0,'Données projet'!$E$11+1,1))</f>
        <v>316.71836722354374</v>
      </c>
      <c r="BJ42" s="62">
        <f t="shared" si="38"/>
        <v>164.34067012996618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0.8471825324199701</v>
      </c>
      <c r="BS42" s="24">
        <f t="shared" si="9"/>
        <v>0.8471825324199701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6.6720000000000006</v>
      </c>
      <c r="BY42" s="13">
        <f>IF('Données projet'!$A$114&gt;35,BY41+BX42-CG41,IF(A42&lt;'Données projet'!$A$114,$BV$205^A42,IF(A42='Données projet'!$A$114,'Données projet'!$B$114,BY41+BX42-CG41)))</f>
        <v>146.51799999999992</v>
      </c>
      <c r="BZ42" s="14">
        <f>BY42*VLOOKUP('Données projet'!$B$12,Paramètres!$A$1:$I$89,3,0)*VLOOKUP('Données projet'!$B$12,Paramètres!$A$1:$I$89,5,0)</f>
        <v>166.8546983999999</v>
      </c>
      <c r="CA42" s="14">
        <f t="shared" si="39"/>
        <v>42.384816836556553</v>
      </c>
      <c r="CB42" s="22">
        <f t="shared" si="10"/>
        <v>364.42548903700248</v>
      </c>
      <c r="CC42" s="62">
        <f t="shared" si="11"/>
        <v>611.43488612710962</v>
      </c>
      <c r="CD42" s="62">
        <f ca="1">AVERAGE(OFFSET($CC$3,0,0,'Données projet'!$E$12+1,1))-AVERAGE(OFFSET($H$3,0,0,'Données projet'!$E$12+1,1))</f>
        <v>454.9779384236806</v>
      </c>
      <c r="CE42" s="62">
        <f t="shared" si="40"/>
        <v>379.32753348721906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1.8166219321667023</v>
      </c>
      <c r="CM42" s="23">
        <f>EXP(-LN(2)/2)*CM41+(1-EXP(-LN(2)/2))/(LN(2)/2)*CG42*CJ42*VLOOKUP('Données projet'!$B$12,Paramètres!$A$1:$I$89,3,0)*0.475*44/12</f>
        <v>0.61730825945460877</v>
      </c>
      <c r="CN42" s="24">
        <f t="shared" si="12"/>
        <v>2.433930191621311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9.3940000000000001</v>
      </c>
      <c r="CT42" s="13">
        <f>IF('Données projet'!$A$140&gt;35,CT41+CS42-DB41,IF(A42&lt;'Données projet'!$A$140,$CQ$205^A42,IF(A42='Données projet'!$A$140,'Données projet'!$B$140,CT41+CS42-DB41)))</f>
        <v>157.31599999999997</v>
      </c>
      <c r="CU42" s="18">
        <f>CT42*VLOOKUP('Données projet'!$B$13,Paramètres!$A$1:$I$89,3,0)*VLOOKUP('Données projet'!$B$13,Paramètres!$A$1:$I$89,5,0)</f>
        <v>122.70647999999998</v>
      </c>
      <c r="CV42" s="14">
        <f t="shared" si="41"/>
        <v>32.305419586028329</v>
      </c>
      <c r="CW42" s="22">
        <f t="shared" si="13"/>
        <v>269.979058445666</v>
      </c>
      <c r="CX42" s="62">
        <f t="shared" si="14"/>
        <v>516.98845553577314</v>
      </c>
      <c r="CY42" s="62">
        <f ca="1">AVERAGE(OFFSET($CX$3,0,0,'Données projet'!$E$13+1,1))-AVERAGE(OFFSET($H$3,0,0,'Données projet'!$E$13+1,1))</f>
        <v>252.10592533338991</v>
      </c>
      <c r="CZ42" s="62">
        <f t="shared" si="42"/>
        <v>272.71831345325313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10.585109089036912</v>
      </c>
      <c r="DH42" s="23">
        <f>EXP(-LN(2)/2)*DH41+(1-EXP(-LN(2)/2))/(LN(2)/2)*DB42*DE42*VLOOKUP('Données projet'!$B$13,Paramètres!$A$1:$I$89,3,0)*0.475*44/12</f>
        <v>1.2466111780036953</v>
      </c>
      <c r="DI42" s="24">
        <f t="shared" si="15"/>
        <v>11.831720267040607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17.788000000000004</v>
      </c>
      <c r="DO42" s="13">
        <f>IF('Données projet'!$A$166&gt;35,DO41+DN42-DW41,IF(A42&lt;'Données projet'!$A$166,$DL$205^A42,IF(A42='Données projet'!$A$166,'Données projet'!$B$166,DO41+DN42-DW41)))</f>
        <v>245.7420000000001</v>
      </c>
      <c r="DP42" s="18">
        <f>DO42*VLOOKUP('Données projet'!$B$14,Paramètres!$A$1:$I$89,3,0)*VLOOKUP('Données projet'!$B$14,Paramètres!$A$1:$I$89,5,0)</f>
        <v>146.95371600000007</v>
      </c>
      <c r="DQ42" s="14">
        <f t="shared" si="43"/>
        <v>37.885482154699197</v>
      </c>
      <c r="DR42" s="22">
        <f t="shared" si="16"/>
        <v>321.9282701194345</v>
      </c>
      <c r="DS42" s="62">
        <f t="shared" si="17"/>
        <v>568.93766720954159</v>
      </c>
      <c r="DT42" s="62">
        <f ca="1">AVERAGE(OFFSET($DS$3,0,0,'Données projet'!$E$14+1,1))-AVERAGE(OFFSET($H$3,0,0,'Données projet'!$E$14+1,1))</f>
        <v>423.0896575168394</v>
      </c>
      <c r="DU42" s="62">
        <f t="shared" si="44"/>
        <v>305.98537395014284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19.826689435142576</v>
      </c>
      <c r="EC42" s="23">
        <f>EXP(-LN(2)/2)*EC41+(1-EXP(-LN(2)/2))/(LN(2)/2)*DW42*DZ42*VLOOKUP('Données projet'!$B$14,Paramètres!$A$1:$I$89,3,0)*0.475*44/12</f>
        <v>2.7875672643710159</v>
      </c>
      <c r="ED42" s="24">
        <f t="shared" si="18"/>
        <v>22.614256699513593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10.086</v>
      </c>
      <c r="EJ42" s="13">
        <f>IF('Données projet'!$A$192&gt;35,EJ41+EI42-ER41,IF(A42&lt;'Données projet'!$A$192,$EG$205^A42,IF(A42='Données projet'!$A$192,'Données projet'!$B$192,EJ41+EI42-ER41)))</f>
        <v>274.45400000000001</v>
      </c>
      <c r="EK42" s="18">
        <f>EJ42*VLOOKUP('Données projet'!$B$15,Paramètres!$A$1:$I$89,3,0)*VLOOKUP('Données projet'!$B$15,Paramètres!$A$1:$I$89,5,0)</f>
        <v>164.12349200000003</v>
      </c>
      <c r="EL42" s="14">
        <f t="shared" si="45"/>
        <v>41.771198713340688</v>
      </c>
      <c r="EM42" s="22">
        <f t="shared" si="19"/>
        <v>358.59991965906846</v>
      </c>
      <c r="EN42" s="62">
        <f t="shared" si="20"/>
        <v>605.6093167491756</v>
      </c>
      <c r="EO42" s="62">
        <f ca="1">AVERAGE(OFFSET($EN$3,0,0,'Données projet'!$E$15+1,1))-AVERAGE(OFFSET($H$3,0,0,'Données projet'!$E$15+1,1))</f>
        <v>281.21543175875604</v>
      </c>
      <c r="EP42" s="62">
        <f t="shared" si="46"/>
        <v>366.68536296857428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16.581913437960029</v>
      </c>
      <c r="EW42" s="23">
        <f>EXP(-LN(2)/25)*EW41+(1-EXP(-LN(2)/25))/(LN(2)/25)*Calculateur!ER42*Calculateur!ET42*VLOOKUP('Données projet'!$B$15,Paramètres!$A$1:$I$89,3,0)*0.475*44/12</f>
        <v>9.570744082297086</v>
      </c>
      <c r="EX42" s="23">
        <f>EXP(-LN(2)/2)*EX41+(1-EXP(-LN(2)/2))/(LN(2)/2)*ER42*EU42*VLOOKUP('Données projet'!$B$15,Paramètres!$A$1:$I$89,3,0)*0.475*44/12</f>
        <v>0.79773127209310291</v>
      </c>
      <c r="EY42" s="24">
        <f t="shared" si="21"/>
        <v>26.950388792350218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13.968999999999999</v>
      </c>
      <c r="FE42" s="13">
        <f>IF('Données projet'!$A$218&gt;35,FE41+FD42-FM41,IF(A42&lt;'Données projet'!$A$218,$FB$205^A42,IF(A42='Données projet'!$A$218,'Données projet'!$B$218,FE41+FD42-FM41)))</f>
        <v>181.76599999999999</v>
      </c>
      <c r="FF42" s="18">
        <f>FE42*VLOOKUP('Données projet'!$B$16,Paramètres!$A$1:$I$89,3,0)*VLOOKUP('Données projet'!$B$16,Paramètres!$A$1:$I$89,5,0)</f>
        <v>101.60719400000001</v>
      </c>
      <c r="FG42" s="14">
        <f t="shared" si="47"/>
        <v>27.344533328241369</v>
      </c>
      <c r="FH42" s="22">
        <f t="shared" si="22"/>
        <v>224.59092509668702</v>
      </c>
      <c r="FI42" s="62">
        <f t="shared" si="23"/>
        <v>471.60032218679413</v>
      </c>
      <c r="FJ42" s="62">
        <f ca="1">AVERAGE(OFFSET($FI$3,0,0,'Données projet'!$E$16+1,1))-AVERAGE(OFFSET($H$3,0,0,'Données projet'!$E$16+1,1))</f>
        <v>280.9225643428145</v>
      </c>
      <c r="FK42" s="62">
        <f t="shared" si="48"/>
        <v>236.89414218053955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34.995106353103054</v>
      </c>
      <c r="FS42" s="23">
        <f>EXP(-LN(2)/2)*FS41+(1-EXP(-LN(2)/2))/(LN(2)/2)*FM42*FP42*VLOOKUP('Données projet'!$B$16,Paramètres!$A$1:$I$89,3,0)*0.475*44/12</f>
        <v>1.6220843124496716</v>
      </c>
      <c r="FT42" s="24">
        <f t="shared" si="24"/>
        <v>36.617190665552727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17.23800000000001</v>
      </c>
      <c r="FZ42" s="13">
        <f>IF('Données projet'!$A$244&gt;35,FZ41+FY42-GH41,IF(A42&lt;'Données projet'!$A$244,$FW$205^A42,IF(A42='Données projet'!$A$244,'Données projet'!$B$244,FZ41+FY42-GH41)))</f>
        <v>405.2319999999998</v>
      </c>
      <c r="GA42" s="18">
        <f>FZ42*VLOOKUP('Données projet'!$B$17,Paramètres!$A$1:$I$89,3,0)*VLOOKUP('Données projet'!$B$17,Paramètres!$A$1:$I$89,5,0)</f>
        <v>179.11254399999993</v>
      </c>
      <c r="GB42" s="14">
        <f t="shared" si="49"/>
        <v>45.124686797758621</v>
      </c>
      <c r="GC42" s="22">
        <f t="shared" si="25"/>
        <v>390.54651030609608</v>
      </c>
      <c r="GD42" s="62">
        <f t="shared" si="26"/>
        <v>637.55590739620322</v>
      </c>
      <c r="GE42" s="62">
        <f ca="1">AVERAGE(OFFSET($GD$3,0,0,'Données projet'!$E$17+1,1))-AVERAGE(OFFSET($H$3,0,0,'Données projet'!$E$17+1,1))</f>
        <v>325.67421864225201</v>
      </c>
      <c r="GF42" s="62">
        <f t="shared" si="50"/>
        <v>542.01920418736745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91.65402888372617</v>
      </c>
      <c r="GN42" s="23">
        <f>EXP(-LN(2)/2)*GN41+(1-EXP(-LN(2)/2))/(LN(2)/2)*GH42*GK42*VLOOKUP('Données projet'!$B$17,Paramètres!$A$1:$I$89,3,0)*0.475*44/12</f>
        <v>3.9834957544209617</v>
      </c>
      <c r="GO42" s="23">
        <f t="shared" si="27"/>
        <v>95.637524638147127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2.9520000000000008</v>
      </c>
      <c r="GU42" s="13">
        <f>IF('Données projet'!$A$270&gt;35,GU41+GT42-HC41,IF(A42&lt;'Données projet'!$A$270,$GR$205^A42,IF(A42='Données projet'!$A$270,'Données projet'!$B$270,GU41+GT42-HC41)))</f>
        <v>50.117999999999995</v>
      </c>
      <c r="GV42" s="18">
        <f>GU42*VLOOKUP('Données projet'!$B$18,Paramètres!$A$1:$I$89,3,0)*VLOOKUP('Données projet'!$B$18,Paramètres!$A$1:$I$89,5,0)</f>
        <v>50.819651999999998</v>
      </c>
      <c r="GW42" s="14">
        <f t="shared" si="51"/>
        <v>14.825237630867983</v>
      </c>
      <c r="GX42" s="22">
        <f t="shared" si="28"/>
        <v>114.33151610709506</v>
      </c>
      <c r="GY42" s="62">
        <f t="shared" si="29"/>
        <v>361.34091319720216</v>
      </c>
      <c r="GZ42" s="62">
        <f ca="1">AVERAGE(OFFSET($GY$3,0,0,'Données projet'!$E$18+1,1))-AVERAGE(OFFSET($H$3,0,0,'Données projet'!$E$18+1,1))</f>
        <v>220.89224520315713</v>
      </c>
      <c r="HA42" s="62">
        <f t="shared" si="52"/>
        <v>141.82763623159096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1.0626666666666666</v>
      </c>
      <c r="N43" s="14">
        <f>IF('Données projet'!$A$36&gt;35,N42+M43-V42,IF(A43&lt;'Données projet'!$A$36,$K$205^A43,IF(A43='Données projet'!$A$36,'Données projet'!$B$36,N42+M43-V42)))</f>
        <v>15.153333333333334</v>
      </c>
      <c r="O43" s="14">
        <f>N43*VLOOKUP('Données projet'!$B$9,Paramètres!$A$1:$I$89,3,0)*VLOOKUP('Données projet'!$B$9,Paramètres!$A$1:$I$89,5,0)</f>
        <v>14.656304</v>
      </c>
      <c r="P43" s="14">
        <f t="shared" si="33"/>
        <v>4.9414144594811562</v>
      </c>
      <c r="Q43" s="22">
        <f t="shared" si="53"/>
        <v>34.13269298359635</v>
      </c>
      <c r="R43" s="62">
        <f t="shared" si="0"/>
        <v>281.94570680271715</v>
      </c>
      <c r="S43" s="62">
        <f ca="1">AVERAGE(OFFSET($R$3,0,0,'Données projet'!$E$9+1,1))-AVERAGE(OFFSET($H$3,0,0,'Données projet'!$E$9+1,1))</f>
        <v>84.959354125980269</v>
      </c>
      <c r="T43" s="62">
        <f t="shared" si="34"/>
        <v>89.658970210276806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0.67630526009811909</v>
      </c>
      <c r="AC43" s="24">
        <f t="shared" si="3"/>
        <v>0.67630526009811909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6.5376666666666665</v>
      </c>
      <c r="AI43" s="14">
        <f>IF('Données projet'!$A$62&gt;35,AI42+AH43-AQ42,IF(A43&lt;'Données projet'!$A$62,$AF$205^A43,IF(A43='Données projet'!$A$62,'Données projet'!$B$62,AI42+AH43-AQ42)))</f>
        <v>107.94666666666669</v>
      </c>
      <c r="AJ43" s="14">
        <f>AI43*VLOOKUP('Données projet'!$B$10,Paramètres!$A$1:$I$89,3,0)*VLOOKUP('Données projet'!$B$10,Paramètres!$A$1:$I$89,5,0)</f>
        <v>102.72204800000002</v>
      </c>
      <c r="AK43" s="14">
        <f t="shared" si="35"/>
        <v>27.609470848426469</v>
      </c>
      <c r="AL43" s="22">
        <f t="shared" si="4"/>
        <v>226.99406199434279</v>
      </c>
      <c r="AM43" s="62">
        <f t="shared" si="5"/>
        <v>474.8070758134636</v>
      </c>
      <c r="AN43" s="62">
        <f ca="1">AVERAGE(OFFSET($AM$3,0,0,'Données projet'!$E$10+1,1))-AVERAGE(OFFSET($H$3,0,0,'Données projet'!$E$10+1,1))</f>
        <v>592.76231355549089</v>
      </c>
      <c r="AO43" s="62">
        <f t="shared" si="36"/>
        <v>200.66895551079014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3.4883939706322087</v>
      </c>
      <c r="AW43" s="23">
        <f>EXP(-LN(2)/2)*AW42+(1-EXP(-LN(2)/2))/(LN(2)/2)*AQ43*AT43*VLOOKUP('Données projet'!$B$10,Paramètres!$A$1:$I$89,3,0)*0.475*44/12</f>
        <v>0.15654333085805661</v>
      </c>
      <c r="AX43" s="23">
        <f t="shared" si="6"/>
        <v>3.6449373014902653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79.33</v>
      </c>
      <c r="BB43" s="13">
        <f>VLOOKUP(A43,'Données projet'!$A$87:$I$107,9,0)</f>
        <v>4.76</v>
      </c>
      <c r="BC43" s="13">
        <f t="array" ref="BC43">INDEX(BB:BB,MIN(IF(ISNUMBER(BB43:BB239),ROW(BB43:BB239),"")))</f>
        <v>4.76</v>
      </c>
      <c r="BD43" s="13">
        <f>IF('Données projet'!$A$88&gt;35,BD42+BC43-BL42,IF(A43&lt;'Données projet'!$A$88,$BA$205^A43,IF(A43='Données projet'!$A$88,'Données projet'!$B$88,BD42+BC43-BL42)))</f>
        <v>79.330000000000027</v>
      </c>
      <c r="BE43" s="14">
        <f>BD43*VLOOKUP('Données projet'!$B$11,Paramètres!$A$1:$I$89,3,0)*VLOOKUP('Données projet'!$B$11,Paramètres!$A$1:$I$89,5,0)</f>
        <v>71.777784000000011</v>
      </c>
      <c r="BF43" s="14">
        <f t="shared" si="37"/>
        <v>20.114297520093533</v>
      </c>
      <c r="BG43" s="22">
        <f t="shared" si="7"/>
        <v>160.0453753141629</v>
      </c>
      <c r="BH43" s="62">
        <f t="shared" si="8"/>
        <v>407.85838913328371</v>
      </c>
      <c r="BI43" s="62">
        <f ca="1">AVERAGE(OFFSET($BH$3,0,0,'Données projet'!$E$11+1,1))-AVERAGE(OFFSET($H$3,0,0,'Données projet'!$E$11+1,1))</f>
        <v>316.71836722354374</v>
      </c>
      <c r="BJ43" s="62">
        <f t="shared" si="38"/>
        <v>164.34067012996618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16.7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0.3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4.8761013067750776</v>
      </c>
      <c r="BS43" s="24">
        <f t="shared" si="9"/>
        <v>4.8761013067750776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6.6720000000000006</v>
      </c>
      <c r="BY43" s="13">
        <f>IF('Données projet'!$A$114&gt;35,BY42+BX43-CG42,IF(A43&lt;'Données projet'!$A$114,$BV$205^A43,IF(A43='Données projet'!$A$114,'Données projet'!$B$114,BY42+BX43-CG42)))</f>
        <v>153.18999999999991</v>
      </c>
      <c r="BZ43" s="14">
        <f>BY43*VLOOKUP('Données projet'!$B$12,Paramètres!$A$1:$I$89,3,0)*VLOOKUP('Données projet'!$B$12,Paramètres!$A$1:$I$89,5,0)</f>
        <v>174.4527719999999</v>
      </c>
      <c r="CA43" s="14">
        <f t="shared" si="39"/>
        <v>44.085790743010925</v>
      </c>
      <c r="CB43" s="22">
        <f t="shared" si="10"/>
        <v>380.62133011074383</v>
      </c>
      <c r="CC43" s="62">
        <f t="shared" si="11"/>
        <v>628.43434392986467</v>
      </c>
      <c r="CD43" s="62">
        <f ca="1">AVERAGE(OFFSET($CC$3,0,0,'Données projet'!$E$12+1,1))-AVERAGE(OFFSET($H$3,0,0,'Données projet'!$E$12+1,1))</f>
        <v>454.9779384236806</v>
      </c>
      <c r="CE43" s="62">
        <f t="shared" si="40"/>
        <v>379.32753348721906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1.7669463098996083</v>
      </c>
      <c r="CM43" s="23">
        <f>EXP(-LN(2)/2)*CM42+(1-EXP(-LN(2)/2))/(LN(2)/2)*CG43*CJ43*VLOOKUP('Données projet'!$B$12,Paramètres!$A$1:$I$89,3,0)*0.475*44/12</f>
        <v>0.4365028563428186</v>
      </c>
      <c r="CN43" s="24">
        <f t="shared" si="12"/>
        <v>2.2034491662424269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166.71</v>
      </c>
      <c r="CR43" s="13">
        <f>VLOOKUP(A43,'Données projet'!$A$139:$I$159,9,0)</f>
        <v>9.3940000000000001</v>
      </c>
      <c r="CS43" s="13">
        <f t="array" ref="CS43">INDEX(CR:CR,MIN(IF(ISNUMBER(CR43:CR239),ROW(CR43:CR239),"")))</f>
        <v>9.3940000000000001</v>
      </c>
      <c r="CT43" s="13">
        <f>IF('Données projet'!$A$140&gt;35,CT42+CS43-DB42,IF(A43&lt;'Données projet'!$A$140,$CQ$205^A43,IF(A43='Données projet'!$A$140,'Données projet'!$B$140,CT42+CS43-DB42)))</f>
        <v>166.70999999999998</v>
      </c>
      <c r="CU43" s="18">
        <f>CT43*VLOOKUP('Données projet'!$B$13,Paramètres!$A$1:$I$89,3,0)*VLOOKUP('Données projet'!$B$13,Paramètres!$A$1:$I$89,5,0)</f>
        <v>130.03379999999999</v>
      </c>
      <c r="CV43" s="14">
        <f t="shared" si="41"/>
        <v>34.004169401784985</v>
      </c>
      <c r="CW43" s="22">
        <f t="shared" si="13"/>
        <v>285.69946337477552</v>
      </c>
      <c r="CX43" s="62">
        <f t="shared" si="14"/>
        <v>533.5124771938963</v>
      </c>
      <c r="CY43" s="62">
        <f ca="1">AVERAGE(OFFSET($CX$3,0,0,'Données projet'!$E$13+1,1))-AVERAGE(OFFSET($H$3,0,0,'Données projet'!$E$13+1,1))</f>
        <v>252.10592533338991</v>
      </c>
      <c r="CZ43" s="62">
        <f t="shared" si="42"/>
        <v>272.71831345325313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31.1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0.25800000000000001</v>
      </c>
      <c r="DE43" s="17">
        <f>IF(ISNA(VLOOKUP(A43,'Données projet'!$A$139:$I$159,7,0)),0%,VLOOKUP(A43,'Données projet'!$A$139:$I$159,7,0))</f>
        <v>0.2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17.187074455463662</v>
      </c>
      <c r="DH43" s="23">
        <f>EXP(-LN(2)/2)*DH42+(1-EXP(-LN(2)/2))/(LN(2)/2)*DB43*DE43*VLOOKUP('Données projet'!$B$13,Paramètres!$A$1:$I$89,3,0)*0.475*44/12</f>
        <v>5.4591023963688654</v>
      </c>
      <c r="DI43" s="24">
        <f t="shared" si="15"/>
        <v>22.646176851832529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17.788000000000004</v>
      </c>
      <c r="DO43" s="13">
        <f>IF('Données projet'!$A$166&gt;35,DO42+DN43-DW42,IF(A43&lt;'Données projet'!$A$166,$DL$205^A43,IF(A43='Données projet'!$A$166,'Données projet'!$B$166,DO42+DN43-DW42)))</f>
        <v>263.53000000000009</v>
      </c>
      <c r="DP43" s="18">
        <f>DO43*VLOOKUP('Données projet'!$B$14,Paramètres!$A$1:$I$89,3,0)*VLOOKUP('Données projet'!$B$14,Paramètres!$A$1:$I$89,5,0)</f>
        <v>157.59094000000005</v>
      </c>
      <c r="DQ43" s="14">
        <f t="shared" si="43"/>
        <v>40.298666356923164</v>
      </c>
      <c r="DR43" s="22">
        <f t="shared" si="16"/>
        <v>344.65773107164119</v>
      </c>
      <c r="DS43" s="62">
        <f t="shared" si="17"/>
        <v>592.47074489076203</v>
      </c>
      <c r="DT43" s="62">
        <f ca="1">AVERAGE(OFFSET($DS$3,0,0,'Données projet'!$E$14+1,1))-AVERAGE(OFFSET($H$3,0,0,'Données projet'!$E$14+1,1))</f>
        <v>423.0896575168394</v>
      </c>
      <c r="DU43" s="62">
        <f t="shared" si="44"/>
        <v>305.98537395014284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19.284527569898319</v>
      </c>
      <c r="EC43" s="23">
        <f>EXP(-LN(2)/2)*EC42+(1-EXP(-LN(2)/2))/(LN(2)/2)*DW43*DZ43*VLOOKUP('Données projet'!$B$14,Paramètres!$A$1:$I$89,3,0)*0.475*44/12</f>
        <v>1.9711077156503789</v>
      </c>
      <c r="ED43" s="24">
        <f t="shared" si="18"/>
        <v>21.255635285548699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10.086</v>
      </c>
      <c r="EJ43" s="13">
        <f>IF('Données projet'!$A$192&gt;35,EJ42+EI43-ER42,IF(A43&lt;'Données projet'!$A$192,$EG$205^A43,IF(A43='Données projet'!$A$192,'Données projet'!$B$192,EJ42+EI43-ER42)))</f>
        <v>284.54000000000002</v>
      </c>
      <c r="EK43" s="18">
        <f>EJ43*VLOOKUP('Données projet'!$B$15,Paramètres!$A$1:$I$89,3,0)*VLOOKUP('Données projet'!$B$15,Paramètres!$A$1:$I$89,5,0)</f>
        <v>170.15492000000003</v>
      </c>
      <c r="EL43" s="14">
        <f t="shared" si="45"/>
        <v>43.124718672189914</v>
      </c>
      <c r="EM43" s="22">
        <f t="shared" si="19"/>
        <v>371.46203735406419</v>
      </c>
      <c r="EN43" s="62">
        <f t="shared" si="20"/>
        <v>619.27505117318503</v>
      </c>
      <c r="EO43" s="62">
        <f ca="1">AVERAGE(OFFSET($EN$3,0,0,'Données projet'!$E$15+1,1))-AVERAGE(OFFSET($H$3,0,0,'Données projet'!$E$15+1,1))</f>
        <v>281.21543175875604</v>
      </c>
      <c r="EP43" s="62">
        <f t="shared" si="46"/>
        <v>366.68536296857428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16.256752229410157</v>
      </c>
      <c r="EW43" s="23">
        <f>EXP(-LN(2)/25)*EW42+(1-EXP(-LN(2)/25))/(LN(2)/25)*Calculateur!ER43*Calculateur!ET43*VLOOKUP('Données projet'!$B$15,Paramètres!$A$1:$I$89,3,0)*0.475*44/12</f>
        <v>9.3090315820631151</v>
      </c>
      <c r="EX43" s="23">
        <f>EXP(-LN(2)/2)*EX42+(1-EXP(-LN(2)/2))/(LN(2)/2)*ER43*EU43*VLOOKUP('Données projet'!$B$15,Paramètres!$A$1:$I$89,3,0)*0.475*44/12</f>
        <v>0.56408119206160401</v>
      </c>
      <c r="EY43" s="24">
        <f t="shared" si="21"/>
        <v>26.129865003534878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13.968999999999999</v>
      </c>
      <c r="FE43" s="13">
        <f>IF('Données projet'!$A$218&gt;35,FE42+FD43-FM42,IF(A43&lt;'Données projet'!$A$218,$FB$205^A43,IF(A43='Données projet'!$A$218,'Données projet'!$B$218,FE42+FD43-FM42)))</f>
        <v>195.73499999999999</v>
      </c>
      <c r="FF43" s="18">
        <f>FE43*VLOOKUP('Données projet'!$B$16,Paramètres!$A$1:$I$89,3,0)*VLOOKUP('Données projet'!$B$16,Paramètres!$A$1:$I$89,5,0)</f>
        <v>109.415865</v>
      </c>
      <c r="FG43" s="14">
        <f t="shared" si="47"/>
        <v>29.193315191183558</v>
      </c>
      <c r="FH43" s="22">
        <f t="shared" si="22"/>
        <v>241.41098883297801</v>
      </c>
      <c r="FI43" s="62">
        <f t="shared" si="23"/>
        <v>489.22400265209882</v>
      </c>
      <c r="FJ43" s="62">
        <f ca="1">AVERAGE(OFFSET($FI$3,0,0,'Données projet'!$E$16+1,1))-AVERAGE(OFFSET($H$3,0,0,'Données projet'!$E$16+1,1))</f>
        <v>280.9225643428145</v>
      </c>
      <c r="FK43" s="62">
        <f t="shared" si="48"/>
        <v>236.89414218053955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34.038163329564789</v>
      </c>
      <c r="FS43" s="23">
        <f>EXP(-LN(2)/2)*FS42+(1-EXP(-LN(2)/2))/(LN(2)/2)*FM43*FP43*VLOOKUP('Données projet'!$B$16,Paramètres!$A$1:$I$89,3,0)*0.475*44/12</f>
        <v>1.1469868169894815</v>
      </c>
      <c r="FT43" s="24">
        <f t="shared" si="24"/>
        <v>35.185150146554271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422.47</v>
      </c>
      <c r="FX43" s="13">
        <f>VLOOKUP(A43,'Données projet'!$A$243:$I$263,9,0)</f>
        <v>17.23800000000001</v>
      </c>
      <c r="FY43" s="13">
        <f t="array" ref="FY43">INDEX(FX:FX,MIN(IF(ISNUMBER(FX43:FX239),ROW(FX43:FX239),"")))</f>
        <v>17.23800000000001</v>
      </c>
      <c r="FZ43" s="13">
        <f>IF('Données projet'!$A$244&gt;35,FZ42+FY43-GH42,IF(A43&lt;'Données projet'!$A$244,$FW$205^A43,IF(A43='Données projet'!$A$244,'Données projet'!$B$244,FZ42+FY43-GH42)))</f>
        <v>422.4699999999998</v>
      </c>
      <c r="GA43" s="18">
        <f>FZ43*VLOOKUP('Données projet'!$B$17,Paramètres!$A$1:$I$89,3,0)*VLOOKUP('Données projet'!$B$17,Paramètres!$A$1:$I$89,5,0)</f>
        <v>186.73173999999995</v>
      </c>
      <c r="GB43" s="14">
        <f t="shared" si="49"/>
        <v>46.816658920715589</v>
      </c>
      <c r="GC43" s="22">
        <f t="shared" si="25"/>
        <v>406.76346145357951</v>
      </c>
      <c r="GD43" s="62">
        <f t="shared" si="26"/>
        <v>654.57647527270035</v>
      </c>
      <c r="GE43" s="62">
        <f ca="1">AVERAGE(OFFSET($GD$3,0,0,'Données projet'!$E$17+1,1))-AVERAGE(OFFSET($H$3,0,0,'Données projet'!$E$17+1,1))</f>
        <v>325.67421864225201</v>
      </c>
      <c r="GF43" s="62">
        <f t="shared" si="50"/>
        <v>542.01920418736745</v>
      </c>
      <c r="GG43" s="16">
        <f>IF(ISNA(VLOOKUP(A43,'Données projet'!$A$243:$I$263,3,0)),0,VLOOKUP(A43,'Données projet'!$A$243:$I$263,3,0))</f>
        <v>5</v>
      </c>
      <c r="GH43" s="16">
        <f>IF(ISNA(VLOOKUP(A43,'Données projet'!$A$243:$I$263,4,0)),0,VLOOKUP(A43,'Données projet'!$A$243:$I$263,4,0))</f>
        <v>109.42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0.44000000000000006</v>
      </c>
      <c r="GK43" s="17">
        <f>IF(ISNA(VLOOKUP(A43,'Données projet'!$A$243:$I$263,7,0)),0%,VLOOKUP(A43,'Données projet'!$A$243:$I$263,7,0))</f>
        <v>0.2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117.26588889264538</v>
      </c>
      <c r="GN43" s="23">
        <f>EXP(-LN(2)/2)*GN42+(1-EXP(-LN(2)/2))/(LN(2)/2)*GH43*GK43*VLOOKUP('Données projet'!$B$17,Paramètres!$A$1:$I$89,3,0)*0.475*44/12</f>
        <v>13.768531907567462</v>
      </c>
      <c r="GO43" s="23">
        <f t="shared" si="27"/>
        <v>131.03442080021284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53.07</v>
      </c>
      <c r="GS43" s="13">
        <f>VLOOKUP(A43,'Données projet'!$A$269:$I$289,9,0)</f>
        <v>2.9520000000000008</v>
      </c>
      <c r="GT43" s="13">
        <f t="array" ref="GT43">INDEX(GS:GS,MIN(IF(ISNUMBER(GS43:GS239),ROW(GS43:GS239),"")))</f>
        <v>2.9520000000000008</v>
      </c>
      <c r="GU43" s="13">
        <f>IF('Données projet'!$A$270&gt;35,GU42+GT43-HC42,IF(A43&lt;'Données projet'!$A$270,$GR$205^A43,IF(A43='Données projet'!$A$270,'Données projet'!$B$270,GU42+GT43-HC42)))</f>
        <v>53.069999999999993</v>
      </c>
      <c r="GV43" s="18">
        <f>GU43*VLOOKUP('Données projet'!$B$18,Paramètres!$A$1:$I$89,3,0)*VLOOKUP('Données projet'!$B$18,Paramètres!$A$1:$I$89,5,0)</f>
        <v>53.812980000000003</v>
      </c>
      <c r="GW43" s="14">
        <f t="shared" si="51"/>
        <v>15.594227140857381</v>
      </c>
      <c r="GX43" s="22">
        <f t="shared" si="28"/>
        <v>120.88421910365992</v>
      </c>
      <c r="GY43" s="62">
        <f t="shared" si="29"/>
        <v>368.6972329227807</v>
      </c>
      <c r="GZ43" s="62">
        <f ca="1">AVERAGE(OFFSET($GY$3,0,0,'Données projet'!$E$18+1,1))-AVERAGE(OFFSET($H$3,0,0,'Données projet'!$E$18+1,1))</f>
        <v>220.89224520315713</v>
      </c>
      <c r="HA43" s="62">
        <f t="shared" si="52"/>
        <v>141.82763623159096</v>
      </c>
      <c r="HB43" s="16">
        <f>IF(ISNA(VLOOKUP(A43,'Données projet'!$A$269:$I$289,3,0)),0,VLOOKUP(A43,'Données projet'!$A$269:$I$289,3,0))</f>
        <v>3</v>
      </c>
      <c r="HC43" s="16">
        <f>IF(ISNA(VLOOKUP(A43,'Données projet'!$A$269:$I$289,4,0)),0,VLOOKUP(A43,'Données projet'!$A$269:$I$289,4,0))</f>
        <v>11.17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1.0626666666666666</v>
      </c>
      <c r="N44" s="14">
        <f>IF('Données projet'!$A$36&gt;35,N43+M44-V43,IF(A44&lt;'Données projet'!$A$36,$K$205^A44,IF(A44='Données projet'!$A$36,'Données projet'!$B$36,N43+M44-V43)))</f>
        <v>16.216000000000001</v>
      </c>
      <c r="O44" s="14">
        <f>N44*VLOOKUP('Données projet'!$B$9,Paramètres!$A$1:$I$89,3,0)*VLOOKUP('Données projet'!$B$9,Paramètres!$A$1:$I$89,5,0)</f>
        <v>15.684115200000001</v>
      </c>
      <c r="P44" s="14">
        <f t="shared" si="33"/>
        <v>5.2463896392611025</v>
      </c>
      <c r="Q44" s="22">
        <f t="shared" si="53"/>
        <v>36.45396259504642</v>
      </c>
      <c r="R44" s="62">
        <f t="shared" si="0"/>
        <v>285.05665218955039</v>
      </c>
      <c r="S44" s="62">
        <f ca="1">AVERAGE(OFFSET($R$3,0,0,'Données projet'!$E$9+1,1))-AVERAGE(OFFSET($H$3,0,0,'Données projet'!$E$9+1,1))</f>
        <v>84.959354125980269</v>
      </c>
      <c r="T44" s="62">
        <f t="shared" si="34"/>
        <v>89.658970210276806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0.47822003556751186</v>
      </c>
      <c r="AC44" s="24">
        <f t="shared" si="3"/>
        <v>0.47822003556751186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6.5376666666666665</v>
      </c>
      <c r="AI44" s="14">
        <f>IF('Données projet'!$A$62&gt;35,AI43+AH44-AQ43,IF(A44&lt;'Données projet'!$A$62,$AF$205^A44,IF(A44='Données projet'!$A$62,'Données projet'!$B$62,AI43+AH44-AQ43)))</f>
        <v>114.48433333333335</v>
      </c>
      <c r="AJ44" s="14">
        <f>AI44*VLOOKUP('Données projet'!$B$10,Paramètres!$A$1:$I$89,3,0)*VLOOKUP('Données projet'!$B$10,Paramètres!$A$1:$I$89,5,0)</f>
        <v>108.94329160000002</v>
      </c>
      <c r="AK44" s="14">
        <f t="shared" si="35"/>
        <v>29.08187613421039</v>
      </c>
      <c r="AL44" s="22">
        <f t="shared" si="4"/>
        <v>240.39383380374977</v>
      </c>
      <c r="AM44" s="62">
        <f t="shared" si="5"/>
        <v>488.99652339825377</v>
      </c>
      <c r="AN44" s="62">
        <f ca="1">AVERAGE(OFFSET($AM$3,0,0,'Données projet'!$E$10+1,1))-AVERAGE(OFFSET($H$3,0,0,'Données projet'!$E$10+1,1))</f>
        <v>592.76231355549089</v>
      </c>
      <c r="AO44" s="62">
        <f t="shared" si="36"/>
        <v>200.66895551079014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3.3930036540586048</v>
      </c>
      <c r="AW44" s="23">
        <f>EXP(-LN(2)/2)*AW43+(1-EXP(-LN(2)/2))/(LN(2)/2)*AQ44*AT44*VLOOKUP('Données projet'!$B$10,Paramètres!$A$1:$I$89,3,0)*0.475*44/12</f>
        <v>0.11069285079926115</v>
      </c>
      <c r="AX44" s="23">
        <f t="shared" si="6"/>
        <v>3.5036965048578659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4.6240000000000006</v>
      </c>
      <c r="BD44" s="13">
        <f>IF('Données projet'!$A$88&gt;35,BD43+BC44-BL43,IF(A44&lt;'Données projet'!$A$88,$BA$205^A44,IF(A44='Données projet'!$A$88,'Données projet'!$B$88,BD43+BC44-BL43)))</f>
        <v>67.254000000000019</v>
      </c>
      <c r="BE44" s="14">
        <f>BD44*VLOOKUP('Données projet'!$B$11,Paramètres!$A$1:$I$89,3,0)*VLOOKUP('Données projet'!$B$11,Paramètres!$A$1:$I$89,5,0)</f>
        <v>60.851419200000016</v>
      </c>
      <c r="BF44" s="14">
        <f t="shared" si="37"/>
        <v>17.383357648621825</v>
      </c>
      <c r="BG44" s="22">
        <f t="shared" si="7"/>
        <v>136.2589030113497</v>
      </c>
      <c r="BH44" s="62">
        <f t="shared" si="8"/>
        <v>384.86159260585367</v>
      </c>
      <c r="BI44" s="62">
        <f ca="1">AVERAGE(OFFSET($BH$3,0,0,'Données projet'!$E$11+1,1))-AVERAGE(OFFSET($H$3,0,0,'Données projet'!$E$11+1,1))</f>
        <v>316.71836722354374</v>
      </c>
      <c r="BJ44" s="62">
        <f t="shared" si="38"/>
        <v>164.34067012996618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3.4479242997732436</v>
      </c>
      <c r="BS44" s="24">
        <f t="shared" si="9"/>
        <v>3.4479242997732436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6.6720000000000006</v>
      </c>
      <c r="BY44" s="13">
        <f>IF('Données projet'!$A$114&gt;35,BY43+BX44-CG43,IF(A44&lt;'Données projet'!$A$114,$BV$205^A44,IF(A44='Données projet'!$A$114,'Données projet'!$B$114,BY43+BX44-CG43)))</f>
        <v>159.86199999999991</v>
      </c>
      <c r="BZ44" s="14">
        <f>BY44*VLOOKUP('Données projet'!$B$12,Paramètres!$A$1:$I$89,3,0)*VLOOKUP('Données projet'!$B$12,Paramètres!$A$1:$I$89,5,0)</f>
        <v>182.05084559999989</v>
      </c>
      <c r="CA44" s="14">
        <f t="shared" si="39"/>
        <v>45.778160243858814</v>
      </c>
      <c r="CB44" s="22">
        <f t="shared" si="10"/>
        <v>396.80218517805389</v>
      </c>
      <c r="CC44" s="62">
        <f t="shared" si="11"/>
        <v>645.40487477255783</v>
      </c>
      <c r="CD44" s="62">
        <f ca="1">AVERAGE(OFFSET($CC$3,0,0,'Données projet'!$E$12+1,1))-AVERAGE(OFFSET($H$3,0,0,'Données projet'!$E$12+1,1))</f>
        <v>454.9779384236806</v>
      </c>
      <c r="CE44" s="62">
        <f t="shared" si="40"/>
        <v>379.32753348721906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1.7186290701357354</v>
      </c>
      <c r="CM44" s="23">
        <f>EXP(-LN(2)/2)*CM43+(1-EXP(-LN(2)/2))/(LN(2)/2)*CG44*CJ44*VLOOKUP('Données projet'!$B$12,Paramètres!$A$1:$I$89,3,0)*0.475*44/12</f>
        <v>0.30865412972730444</v>
      </c>
      <c r="CN44" s="24">
        <f t="shared" si="12"/>
        <v>2.0272831998630396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9.15</v>
      </c>
      <c r="CT44" s="13">
        <f>IF('Données projet'!$A$140&gt;35,CT43+CS44-DB43,IF(A44&lt;'Données projet'!$A$140,$CQ$205^A44,IF(A44='Données projet'!$A$140,'Données projet'!$B$140,CT43+CS44-DB43)))</f>
        <v>144.76</v>
      </c>
      <c r="CU44" s="18">
        <f>CT44*VLOOKUP('Données projet'!$B$13,Paramètres!$A$1:$I$89,3,0)*VLOOKUP('Données projet'!$B$13,Paramètres!$A$1:$I$89,5,0)</f>
        <v>112.91279999999999</v>
      </c>
      <c r="CV44" s="14">
        <f t="shared" si="41"/>
        <v>30.016215601722575</v>
      </c>
      <c r="CW44" s="22">
        <f t="shared" si="13"/>
        <v>248.93470217300015</v>
      </c>
      <c r="CX44" s="62">
        <f t="shared" si="14"/>
        <v>497.53739176750412</v>
      </c>
      <c r="CY44" s="62">
        <f ca="1">AVERAGE(OFFSET($CX$3,0,0,'Données projet'!$E$13+1,1))-AVERAGE(OFFSET($H$3,0,0,'Données projet'!$E$13+1,1))</f>
        <v>252.10592533338991</v>
      </c>
      <c r="CZ44" s="62">
        <f t="shared" si="42"/>
        <v>272.71831345325313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16.717093000650046</v>
      </c>
      <c r="DH44" s="23">
        <f>EXP(-LN(2)/2)*DH43+(1-EXP(-LN(2)/2))/(LN(2)/2)*DB44*DE44*VLOOKUP('Données projet'!$B$13,Paramètres!$A$1:$I$89,3,0)*0.475*44/12</f>
        <v>3.8601683236641566</v>
      </c>
      <c r="DI44" s="24">
        <f t="shared" si="15"/>
        <v>20.5772613243142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17.788000000000004</v>
      </c>
      <c r="DO44" s="13">
        <f>IF('Données projet'!$A$166&gt;35,DO43+DN44-DW43,IF(A44&lt;'Données projet'!$A$166,$DL$205^A44,IF(A44='Données projet'!$A$166,'Données projet'!$B$166,DO43+DN44-DW43)))</f>
        <v>281.3180000000001</v>
      </c>
      <c r="DP44" s="18">
        <f>DO44*VLOOKUP('Données projet'!$B$14,Paramètres!$A$1:$I$89,3,0)*VLOOKUP('Données projet'!$B$14,Paramètres!$A$1:$I$89,5,0)</f>
        <v>168.22816400000005</v>
      </c>
      <c r="DQ44" s="14">
        <f t="shared" si="43"/>
        <v>42.692949607949956</v>
      </c>
      <c r="DR44" s="22">
        <f t="shared" si="16"/>
        <v>367.35427286717959</v>
      </c>
      <c r="DS44" s="62">
        <f t="shared" si="17"/>
        <v>615.95696246168359</v>
      </c>
      <c r="DT44" s="62">
        <f ca="1">AVERAGE(OFFSET($DS$3,0,0,'Données projet'!$E$14+1,1))-AVERAGE(OFFSET($H$3,0,0,'Données projet'!$E$14+1,1))</f>
        <v>423.0896575168394</v>
      </c>
      <c r="DU44" s="62">
        <f t="shared" si="44"/>
        <v>305.98537395014284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18.757191149370222</v>
      </c>
      <c r="EC44" s="23">
        <f>EXP(-LN(2)/2)*EC43+(1-EXP(-LN(2)/2))/(LN(2)/2)*DW44*DZ44*VLOOKUP('Données projet'!$B$14,Paramètres!$A$1:$I$89,3,0)*0.475*44/12</f>
        <v>1.3937836321855082</v>
      </c>
      <c r="ED44" s="24">
        <f t="shared" si="18"/>
        <v>20.150974781555728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10.086</v>
      </c>
      <c r="EJ44" s="13">
        <f>IF('Données projet'!$A$192&gt;35,EJ43+EI44-ER43,IF(A44&lt;'Données projet'!$A$192,$EG$205^A44,IF(A44='Données projet'!$A$192,'Données projet'!$B$192,EJ43+EI44-ER43)))</f>
        <v>294.62600000000003</v>
      </c>
      <c r="EK44" s="18">
        <f>EJ44*VLOOKUP('Données projet'!$B$15,Paramètres!$A$1:$I$89,3,0)*VLOOKUP('Données projet'!$B$15,Paramètres!$A$1:$I$89,5,0)</f>
        <v>176.18634800000001</v>
      </c>
      <c r="EL44" s="14">
        <f t="shared" si="45"/>
        <v>44.472664287609142</v>
      </c>
      <c r="EM44" s="22">
        <f t="shared" si="19"/>
        <v>384.31444640091928</v>
      </c>
      <c r="EN44" s="62">
        <f t="shared" si="20"/>
        <v>632.91713599542322</v>
      </c>
      <c r="EO44" s="62">
        <f ca="1">AVERAGE(OFFSET($EN$3,0,0,'Données projet'!$E$15+1,1))-AVERAGE(OFFSET($H$3,0,0,'Données projet'!$E$15+1,1))</f>
        <v>281.21543175875604</v>
      </c>
      <c r="EP44" s="62">
        <f t="shared" si="46"/>
        <v>366.68536296857428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15.937967233831197</v>
      </c>
      <c r="EW44" s="23">
        <f>EXP(-LN(2)/25)*EW43+(1-EXP(-LN(2)/25))/(LN(2)/25)*Calculateur!ER44*Calculateur!ET44*VLOOKUP('Données projet'!$B$15,Paramètres!$A$1:$I$89,3,0)*0.475*44/12</f>
        <v>9.0544756239109052</v>
      </c>
      <c r="EX44" s="23">
        <f>EXP(-LN(2)/2)*EX43+(1-EXP(-LN(2)/2))/(LN(2)/2)*ER44*EU44*VLOOKUP('Données projet'!$B$15,Paramètres!$A$1:$I$89,3,0)*0.475*44/12</f>
        <v>0.39886563604655156</v>
      </c>
      <c r="EY44" s="24">
        <f t="shared" si="21"/>
        <v>25.391308493788653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13.968999999999999</v>
      </c>
      <c r="FE44" s="13">
        <f>IF('Données projet'!$A$218&gt;35,FE43+FD44-FM43,IF(A44&lt;'Données projet'!$A$218,$FB$205^A44,IF(A44='Données projet'!$A$218,'Données projet'!$B$218,FE43+FD44-FM43)))</f>
        <v>209.70399999999998</v>
      </c>
      <c r="FF44" s="18">
        <f>FE44*VLOOKUP('Données projet'!$B$16,Paramètres!$A$1:$I$89,3,0)*VLOOKUP('Données projet'!$B$16,Paramètres!$A$1:$I$89,5,0)</f>
        <v>117.22453599999999</v>
      </c>
      <c r="FG44" s="14">
        <f t="shared" si="47"/>
        <v>31.026788928543187</v>
      </c>
      <c r="FH44" s="22">
        <f t="shared" si="22"/>
        <v>258.20439091721272</v>
      </c>
      <c r="FI44" s="62">
        <f t="shared" si="23"/>
        <v>506.80708051171666</v>
      </c>
      <c r="FJ44" s="62">
        <f ca="1">AVERAGE(OFFSET($FI$3,0,0,'Données projet'!$E$16+1,1))-AVERAGE(OFFSET($H$3,0,0,'Données projet'!$E$16+1,1))</f>
        <v>280.9225643428145</v>
      </c>
      <c r="FK44" s="62">
        <f t="shared" si="48"/>
        <v>236.89414218053955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33.107387963328627</v>
      </c>
      <c r="FS44" s="23">
        <f>EXP(-LN(2)/2)*FS43+(1-EXP(-LN(2)/2))/(LN(2)/2)*FM44*FP44*VLOOKUP('Données projet'!$B$16,Paramètres!$A$1:$I$89,3,0)*0.475*44/12</f>
        <v>0.811042156224836</v>
      </c>
      <c r="FT44" s="24">
        <f t="shared" si="24"/>
        <v>33.918430119553463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13.291999999999996</v>
      </c>
      <c r="FZ44" s="13">
        <f>IF('Données projet'!$A$244&gt;35,FZ43+FY44-GH43,IF(A44&lt;'Données projet'!$A$244,$FW$205^A44,IF(A44='Données projet'!$A$244,'Données projet'!$B$244,FZ43+FY44-GH43)))</f>
        <v>326.34199999999976</v>
      </c>
      <c r="GA44" s="18">
        <f>FZ44*VLOOKUP('Données projet'!$B$17,Paramètres!$A$1:$I$89,3,0)*VLOOKUP('Données projet'!$B$17,Paramètres!$A$1:$I$89,5,0)</f>
        <v>144.24316399999989</v>
      </c>
      <c r="GB44" s="14">
        <f t="shared" si="49"/>
        <v>37.267359177127219</v>
      </c>
      <c r="GC44" s="22">
        <f t="shared" si="25"/>
        <v>316.13082786682969</v>
      </c>
      <c r="GD44" s="62">
        <f t="shared" si="26"/>
        <v>564.73351746133369</v>
      </c>
      <c r="GE44" s="62">
        <f ca="1">AVERAGE(OFFSET($GD$3,0,0,'Données projet'!$E$17+1,1))-AVERAGE(OFFSET($H$3,0,0,'Données projet'!$E$17+1,1))</f>
        <v>325.67421864225201</v>
      </c>
      <c r="GF44" s="62">
        <f t="shared" si="50"/>
        <v>542.01920418736745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114.0592469941309</v>
      </c>
      <c r="GN44" s="23">
        <f>EXP(-LN(2)/2)*GN43+(1-EXP(-LN(2)/2))/(LN(2)/2)*GH44*GK44*VLOOKUP('Données projet'!$B$17,Paramètres!$A$1:$I$89,3,0)*0.475*44/12</f>
        <v>9.7358222788243047</v>
      </c>
      <c r="GO44" s="23">
        <f t="shared" si="27"/>
        <v>123.7950692729552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2.8820000000000006</v>
      </c>
      <c r="GU44" s="13">
        <f>IF('Données projet'!$A$270&gt;35,GU43+GT44-HC43,IF(A44&lt;'Données projet'!$A$270,$GR$205^A44,IF(A44='Données projet'!$A$270,'Données projet'!$B$270,GU43+GT44-HC43)))</f>
        <v>44.781999999999989</v>
      </c>
      <c r="GV44" s="18">
        <f>GU44*VLOOKUP('Données projet'!$B$18,Paramètres!$A$1:$I$89,3,0)*VLOOKUP('Données projet'!$B$18,Paramètres!$A$1:$I$89,5,0)</f>
        <v>45.408947999999988</v>
      </c>
      <c r="GW44" s="14">
        <f t="shared" si="51"/>
        <v>13.421536654610575</v>
      </c>
      <c r="GX44" s="22">
        <f t="shared" si="28"/>
        <v>102.46309410678008</v>
      </c>
      <c r="GY44" s="62">
        <f t="shared" si="29"/>
        <v>351.06578370128403</v>
      </c>
      <c r="GZ44" s="62">
        <f ca="1">AVERAGE(OFFSET($GY$3,0,0,'Données projet'!$E$18+1,1))-AVERAGE(OFFSET($H$3,0,0,'Données projet'!$E$18+1,1))</f>
        <v>220.89224520315713</v>
      </c>
      <c r="HA44" s="62">
        <f t="shared" si="52"/>
        <v>141.82763623159096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1.0626666666666666</v>
      </c>
      <c r="N45" s="14">
        <f>IF('Données projet'!$A$36&gt;35,N44+M45-V44,IF(A45&lt;'Données projet'!$A$36,$K$205^A45,IF(A45='Données projet'!$A$36,'Données projet'!$B$36,N44+M45-V44)))</f>
        <v>17.278666666666666</v>
      </c>
      <c r="O45" s="14">
        <f>N45*VLOOKUP('Données projet'!$B$9,Paramètres!$A$1:$I$89,3,0)*VLOOKUP('Données projet'!$B$9,Paramètres!$A$1:$I$89,5,0)</f>
        <v>16.711926399999999</v>
      </c>
      <c r="P45" s="14">
        <f t="shared" si="33"/>
        <v>5.5490455901371645</v>
      </c>
      <c r="Q45" s="22">
        <f t="shared" si="53"/>
        <v>38.771192882822227</v>
      </c>
      <c r="R45" s="62">
        <f t="shared" si="0"/>
        <v>288.14985914345698</v>
      </c>
      <c r="S45" s="62">
        <f ca="1">AVERAGE(OFFSET($R$3,0,0,'Données projet'!$E$9+1,1))-AVERAGE(OFFSET($H$3,0,0,'Données projet'!$E$9+1,1))</f>
        <v>84.959354125980269</v>
      </c>
      <c r="T45" s="62">
        <f t="shared" si="34"/>
        <v>89.658970210276806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0.3381526300490596</v>
      </c>
      <c r="AC45" s="24">
        <f t="shared" si="3"/>
        <v>0.3381526300490596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6.5376666666666665</v>
      </c>
      <c r="AI45" s="14">
        <f>IF('Données projet'!$A$62&gt;35,AI44+AH45-AQ44,IF(A45&lt;'Données projet'!$A$62,$AF$205^A45,IF(A45='Données projet'!$A$62,'Données projet'!$B$62,AI44+AH45-AQ44)))</f>
        <v>121.02200000000002</v>
      </c>
      <c r="AJ45" s="14">
        <f>AI45*VLOOKUP('Données projet'!$B$10,Paramètres!$A$1:$I$89,3,0)*VLOOKUP('Données projet'!$B$10,Paramètres!$A$1:$I$89,5,0)</f>
        <v>115.16453520000002</v>
      </c>
      <c r="AK45" s="14">
        <f t="shared" si="35"/>
        <v>30.544521108275113</v>
      </c>
      <c r="AL45" s="22">
        <f t="shared" si="4"/>
        <v>253.77660640357917</v>
      </c>
      <c r="AM45" s="62">
        <f t="shared" si="5"/>
        <v>503.1552726642139</v>
      </c>
      <c r="AN45" s="62">
        <f ca="1">AVERAGE(OFFSET($AM$3,0,0,'Données projet'!$E$10+1,1))-AVERAGE(OFFSET($H$3,0,0,'Données projet'!$E$10+1,1))</f>
        <v>592.76231355549089</v>
      </c>
      <c r="AO45" s="62">
        <f t="shared" si="36"/>
        <v>200.66895551079014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3.3002217907080649</v>
      </c>
      <c r="AW45" s="23">
        <f>EXP(-LN(2)/2)*AW44+(1-EXP(-LN(2)/2))/(LN(2)/2)*AQ45*AT45*VLOOKUP('Données projet'!$B$10,Paramètres!$A$1:$I$89,3,0)*0.475*44/12</f>
        <v>7.8271665429028317E-2</v>
      </c>
      <c r="AX45" s="23">
        <f t="shared" si="6"/>
        <v>3.3784934561370932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4.6240000000000006</v>
      </c>
      <c r="BD45" s="13">
        <f>IF('Données projet'!$A$88&gt;35,BD44+BC45-BL44,IF(A45&lt;'Données projet'!$A$88,$BA$205^A45,IF(A45='Données projet'!$A$88,'Données projet'!$B$88,BD44+BC45-BL44)))</f>
        <v>71.878000000000014</v>
      </c>
      <c r="BE45" s="14">
        <f>BD45*VLOOKUP('Données projet'!$B$11,Paramètres!$A$1:$I$89,3,0)*VLOOKUP('Données projet'!$B$11,Paramètres!$A$1:$I$89,5,0)</f>
        <v>65.035214400000015</v>
      </c>
      <c r="BF45" s="14">
        <f t="shared" si="37"/>
        <v>18.435297349849819</v>
      </c>
      <c r="BG45" s="22">
        <f t="shared" si="7"/>
        <v>145.37780796432179</v>
      </c>
      <c r="BH45" s="62">
        <f t="shared" si="8"/>
        <v>394.75647422495649</v>
      </c>
      <c r="BI45" s="62">
        <f ca="1">AVERAGE(OFFSET($BH$3,0,0,'Données projet'!$E$11+1,1))-AVERAGE(OFFSET($H$3,0,0,'Données projet'!$E$11+1,1))</f>
        <v>316.71836722354374</v>
      </c>
      <c r="BJ45" s="62">
        <f t="shared" si="38"/>
        <v>164.34067012996618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2.4380506533875392</v>
      </c>
      <c r="BS45" s="24">
        <f t="shared" si="9"/>
        <v>2.4380506533875392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6.6720000000000006</v>
      </c>
      <c r="BY45" s="13">
        <f>IF('Données projet'!$A$114&gt;35,BY44+BX45-CG44,IF(A45&lt;'Données projet'!$A$114,$BV$205^A45,IF(A45='Données projet'!$A$114,'Données projet'!$B$114,BY44+BX45-CG44)))</f>
        <v>166.53399999999991</v>
      </c>
      <c r="BZ45" s="14">
        <f>BY45*VLOOKUP('Données projet'!$B$12,Paramètres!$A$1:$I$89,3,0)*VLOOKUP('Données projet'!$B$12,Paramètres!$A$1:$I$89,5,0)</f>
        <v>189.64891919999988</v>
      </c>
      <c r="CA45" s="14">
        <f t="shared" si="39"/>
        <v>47.462325518054179</v>
      </c>
      <c r="CB45" s="22">
        <f t="shared" si="10"/>
        <v>412.96875121727749</v>
      </c>
      <c r="CC45" s="62">
        <f t="shared" si="11"/>
        <v>662.34741747791224</v>
      </c>
      <c r="CD45" s="62">
        <f ca="1">AVERAGE(OFFSET($CC$3,0,0,'Données projet'!$E$12+1,1))-AVERAGE(OFFSET($H$3,0,0,'Données projet'!$E$12+1,1))</f>
        <v>454.9779384236806</v>
      </c>
      <c r="CE45" s="62">
        <f t="shared" si="40"/>
        <v>379.32753348721906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1.6716330678340989</v>
      </c>
      <c r="CM45" s="23">
        <f>EXP(-LN(2)/2)*CM44+(1-EXP(-LN(2)/2))/(LN(2)/2)*CG45*CJ45*VLOOKUP('Données projet'!$B$12,Paramètres!$A$1:$I$89,3,0)*0.475*44/12</f>
        <v>0.21825142817140933</v>
      </c>
      <c r="CN45" s="24">
        <f t="shared" si="12"/>
        <v>1.8898844960055083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9.15</v>
      </c>
      <c r="CT45" s="13">
        <f>IF('Données projet'!$A$140&gt;35,CT44+CS45-DB44,IF(A45&lt;'Données projet'!$A$140,$CQ$205^A45,IF(A45='Données projet'!$A$140,'Données projet'!$B$140,CT44+CS45-DB44)))</f>
        <v>153.91</v>
      </c>
      <c r="CU45" s="18">
        <f>CT45*VLOOKUP('Données projet'!$B$13,Paramètres!$A$1:$I$89,3,0)*VLOOKUP('Données projet'!$B$13,Paramètres!$A$1:$I$89,5,0)</f>
        <v>120.0498</v>
      </c>
      <c r="CV45" s="14">
        <f t="shared" si="41"/>
        <v>31.68661404581966</v>
      </c>
      <c r="CW45" s="22">
        <f t="shared" si="13"/>
        <v>264.27425446313589</v>
      </c>
      <c r="CX45" s="62">
        <f t="shared" si="14"/>
        <v>513.65292072377065</v>
      </c>
      <c r="CY45" s="62">
        <f ca="1">AVERAGE(OFFSET($CX$3,0,0,'Données projet'!$E$13+1,1))-AVERAGE(OFFSET($H$3,0,0,'Données projet'!$E$13+1,1))</f>
        <v>252.10592533338991</v>
      </c>
      <c r="CZ45" s="62">
        <f t="shared" si="42"/>
        <v>272.71831345325313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16.259963213433558</v>
      </c>
      <c r="DH45" s="23">
        <f>EXP(-LN(2)/2)*DH44+(1-EXP(-LN(2)/2))/(LN(2)/2)*DB45*DE45*VLOOKUP('Données projet'!$B$13,Paramètres!$A$1:$I$89,3,0)*0.475*44/12</f>
        <v>2.7295511981844331</v>
      </c>
      <c r="DI45" s="24">
        <f t="shared" si="15"/>
        <v>18.989514411617989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17.788000000000004</v>
      </c>
      <c r="DO45" s="13">
        <f>IF('Données projet'!$A$166&gt;35,DO44+DN45-DW44,IF(A45&lt;'Données projet'!$A$166,$DL$205^A45,IF(A45='Données projet'!$A$166,'Données projet'!$B$166,DO44+DN45-DW44)))</f>
        <v>299.10600000000011</v>
      </c>
      <c r="DP45" s="18">
        <f>DO45*VLOOKUP('Données projet'!$B$14,Paramètres!$A$1:$I$89,3,0)*VLOOKUP('Données projet'!$B$14,Paramètres!$A$1:$I$89,5,0)</f>
        <v>178.86538800000008</v>
      </c>
      <c r="DQ45" s="14">
        <f t="shared" si="43"/>
        <v>45.069663076563742</v>
      </c>
      <c r="DR45" s="22">
        <f t="shared" si="16"/>
        <v>390.02021395834862</v>
      </c>
      <c r="DS45" s="62">
        <f t="shared" si="17"/>
        <v>639.39888021898332</v>
      </c>
      <c r="DT45" s="62">
        <f ca="1">AVERAGE(OFFSET($DS$3,0,0,'Données projet'!$E$14+1,1))-AVERAGE(OFFSET($H$3,0,0,'Données projet'!$E$14+1,1))</f>
        <v>423.0896575168394</v>
      </c>
      <c r="DU45" s="62">
        <f t="shared" si="44"/>
        <v>305.98537395014284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18.244274770992881</v>
      </c>
      <c r="EC45" s="23">
        <f>EXP(-LN(2)/2)*EC44+(1-EXP(-LN(2)/2))/(LN(2)/2)*DW45*DZ45*VLOOKUP('Données projet'!$B$14,Paramètres!$A$1:$I$89,3,0)*0.475*44/12</f>
        <v>0.98555385782518967</v>
      </c>
      <c r="ED45" s="24">
        <f t="shared" si="18"/>
        <v>19.229828628818069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10.086</v>
      </c>
      <c r="EJ45" s="13">
        <f>IF('Données projet'!$A$192&gt;35,EJ44+EI45-ER44,IF(A45&lt;'Données projet'!$A$192,$EG$205^A45,IF(A45='Données projet'!$A$192,'Données projet'!$B$192,EJ44+EI45-ER44)))</f>
        <v>304.71200000000005</v>
      </c>
      <c r="EK45" s="18">
        <f>EJ45*VLOOKUP('Données projet'!$B$15,Paramètres!$A$1:$I$89,3,0)*VLOOKUP('Données projet'!$B$15,Paramètres!$A$1:$I$89,5,0)</f>
        <v>182.21777600000004</v>
      </c>
      <c r="EL45" s="14">
        <f t="shared" si="45"/>
        <v>45.815248260268916</v>
      </c>
      <c r="EM45" s="22">
        <f t="shared" si="19"/>
        <v>397.15751725330182</v>
      </c>
      <c r="EN45" s="62">
        <f t="shared" si="20"/>
        <v>646.53618351393652</v>
      </c>
      <c r="EO45" s="62">
        <f ca="1">AVERAGE(OFFSET($EN$3,0,0,'Données projet'!$E$15+1,1))-AVERAGE(OFFSET($H$3,0,0,'Données projet'!$E$15+1,1))</f>
        <v>281.21543175875604</v>
      </c>
      <c r="EP45" s="62">
        <f t="shared" si="46"/>
        <v>366.68536296857428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15.625433417575891</v>
      </c>
      <c r="EW45" s="23">
        <f>EXP(-LN(2)/25)*EW44+(1-EXP(-LN(2)/25))/(LN(2)/25)*Calculateur!ER45*Calculateur!ET45*VLOOKUP('Données projet'!$B$15,Paramètres!$A$1:$I$89,3,0)*0.475*44/12</f>
        <v>8.8068805118208822</v>
      </c>
      <c r="EX45" s="23">
        <f>EXP(-LN(2)/2)*EX44+(1-EXP(-LN(2)/2))/(LN(2)/2)*ER45*EU45*VLOOKUP('Données projet'!$B$15,Paramètres!$A$1:$I$89,3,0)*0.475*44/12</f>
        <v>0.28204059603080206</v>
      </c>
      <c r="EY45" s="24">
        <f t="shared" si="21"/>
        <v>24.714354525427577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13.968999999999999</v>
      </c>
      <c r="FE45" s="13">
        <f>IF('Données projet'!$A$218&gt;35,FE44+FD45-FM44,IF(A45&lt;'Données projet'!$A$218,$FB$205^A45,IF(A45='Données projet'!$A$218,'Données projet'!$B$218,FE44+FD45-FM44)))</f>
        <v>223.67299999999997</v>
      </c>
      <c r="FF45" s="18">
        <f>FE45*VLOOKUP('Données projet'!$B$16,Paramètres!$A$1:$I$89,3,0)*VLOOKUP('Données projet'!$B$16,Paramètres!$A$1:$I$89,5,0)</f>
        <v>125.03320699999999</v>
      </c>
      <c r="FG45" s="14">
        <f t="shared" si="47"/>
        <v>32.846090288288373</v>
      </c>
      <c r="FH45" s="22">
        <f t="shared" si="22"/>
        <v>274.97310944376892</v>
      </c>
      <c r="FI45" s="62">
        <f t="shared" si="23"/>
        <v>524.35177570440362</v>
      </c>
      <c r="FJ45" s="62">
        <f ca="1">AVERAGE(OFFSET($FI$3,0,0,'Données projet'!$E$16+1,1))-AVERAGE(OFFSET($H$3,0,0,'Données projet'!$E$16+1,1))</f>
        <v>280.9225643428145</v>
      </c>
      <c r="FK45" s="62">
        <f t="shared" si="48"/>
        <v>236.89414218053955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32.202064698429538</v>
      </c>
      <c r="FS45" s="23">
        <f>EXP(-LN(2)/2)*FS44+(1-EXP(-LN(2)/2))/(LN(2)/2)*FM45*FP45*VLOOKUP('Données projet'!$B$16,Paramètres!$A$1:$I$89,3,0)*0.475*44/12</f>
        <v>0.57349340849474084</v>
      </c>
      <c r="FT45" s="24">
        <f t="shared" si="24"/>
        <v>32.775558106924279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13.291999999999996</v>
      </c>
      <c r="FZ45" s="13">
        <f>IF('Données projet'!$A$244&gt;35,FZ44+FY45-GH44,IF(A45&lt;'Données projet'!$A$244,$FW$205^A45,IF(A45='Données projet'!$A$244,'Données projet'!$B$244,FZ44+FY45-GH44)))</f>
        <v>339.63399999999973</v>
      </c>
      <c r="GA45" s="18">
        <f>FZ45*VLOOKUP('Données projet'!$B$17,Paramètres!$A$1:$I$89,3,0)*VLOOKUP('Données projet'!$B$17,Paramètres!$A$1:$I$89,5,0)</f>
        <v>150.1182279999999</v>
      </c>
      <c r="GB45" s="14">
        <f t="shared" si="49"/>
        <v>38.605452125970778</v>
      </c>
      <c r="GC45" s="22">
        <f t="shared" si="25"/>
        <v>328.69374288606559</v>
      </c>
      <c r="GD45" s="62">
        <f t="shared" si="26"/>
        <v>578.07240914670035</v>
      </c>
      <c r="GE45" s="62">
        <f ca="1">AVERAGE(OFFSET($GD$3,0,0,'Données projet'!$E$17+1,1))-AVERAGE(OFFSET($H$3,0,0,'Données projet'!$E$17+1,1))</f>
        <v>325.67421864225201</v>
      </c>
      <c r="GF45" s="62">
        <f t="shared" si="50"/>
        <v>542.01920418736745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110.94029088696128</v>
      </c>
      <c r="GN45" s="23">
        <f>EXP(-LN(2)/2)*GN44+(1-EXP(-LN(2)/2))/(LN(2)/2)*GH45*GK45*VLOOKUP('Données projet'!$B$17,Paramètres!$A$1:$I$89,3,0)*0.475*44/12</f>
        <v>6.884265953783733</v>
      </c>
      <c r="GO45" s="23">
        <f t="shared" si="27"/>
        <v>117.82455684074502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2.8820000000000006</v>
      </c>
      <c r="GU45" s="13">
        <f>IF('Données projet'!$A$270&gt;35,GU44+GT45-HC44,IF(A45&lt;'Données projet'!$A$270,$GR$205^A45,IF(A45='Données projet'!$A$270,'Données projet'!$B$270,GU44+GT45-HC44)))</f>
        <v>47.663999999999987</v>
      </c>
      <c r="GV45" s="18">
        <f>GU45*VLOOKUP('Données projet'!$B$18,Paramètres!$A$1:$I$89,3,0)*VLOOKUP('Données projet'!$B$18,Paramètres!$A$1:$I$89,5,0)</f>
        <v>48.331295999999988</v>
      </c>
      <c r="GW45" s="14">
        <f t="shared" si="51"/>
        <v>14.181961929967251</v>
      </c>
      <c r="GX45" s="22">
        <f t="shared" si="28"/>
        <v>108.87725756135961</v>
      </c>
      <c r="GY45" s="62">
        <f t="shared" si="29"/>
        <v>358.25592382199432</v>
      </c>
      <c r="GZ45" s="62">
        <f ca="1">AVERAGE(OFFSET($GY$3,0,0,'Données projet'!$E$18+1,1))-AVERAGE(OFFSET($H$3,0,0,'Données projet'!$E$18+1,1))</f>
        <v>220.89224520315713</v>
      </c>
      <c r="HA45" s="62">
        <f t="shared" si="52"/>
        <v>141.82763623159096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1.0626666666666666</v>
      </c>
      <c r="N46" s="14">
        <f>IF('Données projet'!$A$36&gt;35,N45+M46-V45,IF(A46&lt;'Données projet'!$A$36,$K$205^A46,IF(A46='Données projet'!$A$36,'Données projet'!$B$36,N45+M46-V45)))</f>
        <v>18.341333333333331</v>
      </c>
      <c r="O46" s="14">
        <f>N46*VLOOKUP('Données projet'!$B$9,Paramètres!$A$1:$I$89,3,0)*VLOOKUP('Données projet'!$B$9,Paramètres!$A$1:$I$89,5,0)</f>
        <v>17.739737599999998</v>
      </c>
      <c r="P46" s="14">
        <f t="shared" si="33"/>
        <v>5.8495411891718536</v>
      </c>
      <c r="Q46" s="22">
        <f t="shared" si="53"/>
        <v>41.084660557807638</v>
      </c>
      <c r="R46" s="62">
        <f t="shared" si="0"/>
        <v>291.22584202423968</v>
      </c>
      <c r="S46" s="62">
        <f ca="1">AVERAGE(OFFSET($R$3,0,0,'Données projet'!$E$9+1,1))-AVERAGE(OFFSET($H$3,0,0,'Données projet'!$E$9+1,1))</f>
        <v>84.959354125980269</v>
      </c>
      <c r="T46" s="62">
        <f t="shared" si="34"/>
        <v>89.658970210276806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0.23911001778375596</v>
      </c>
      <c r="AC46" s="24">
        <f t="shared" si="3"/>
        <v>0.23911001778375596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6.5376666666666665</v>
      </c>
      <c r="AI46" s="14">
        <f>IF('Données projet'!$A$62&gt;35,AI45+AH46-AQ45,IF(A46&lt;'Données projet'!$A$62,$AF$205^A46,IF(A46='Données projet'!$A$62,'Données projet'!$B$62,AI45+AH46-AQ45)))</f>
        <v>127.55966666666669</v>
      </c>
      <c r="AJ46" s="14">
        <f>AI46*VLOOKUP('Données projet'!$B$10,Paramètres!$A$1:$I$89,3,0)*VLOOKUP('Données projet'!$B$10,Paramètres!$A$1:$I$89,5,0)</f>
        <v>121.38577880000003</v>
      </c>
      <c r="AK46" s="14">
        <f t="shared" si="35"/>
        <v>31.997993139607143</v>
      </c>
      <c r="AL46" s="22">
        <f t="shared" si="4"/>
        <v>267.14340279481576</v>
      </c>
      <c r="AM46" s="62">
        <f t="shared" si="5"/>
        <v>517.2845842612478</v>
      </c>
      <c r="AN46" s="62">
        <f ca="1">AVERAGE(OFFSET($AM$3,0,0,'Données projet'!$E$10+1,1))-AVERAGE(OFFSET($H$3,0,0,'Données projet'!$E$10+1,1))</f>
        <v>592.76231355549089</v>
      </c>
      <c r="AO46" s="62">
        <f t="shared" si="36"/>
        <v>200.66895551079014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3.2099770522900317</v>
      </c>
      <c r="AW46" s="23">
        <f>EXP(-LN(2)/2)*AW45+(1-EXP(-LN(2)/2))/(LN(2)/2)*AQ46*AT46*VLOOKUP('Données projet'!$B$10,Paramètres!$A$1:$I$89,3,0)*0.475*44/12</f>
        <v>5.5346425399630583E-2</v>
      </c>
      <c r="AX46" s="23">
        <f t="shared" si="6"/>
        <v>3.2653234776896625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4.6240000000000006</v>
      </c>
      <c r="BD46" s="13">
        <f>IF('Données projet'!$A$88&gt;35,BD45+BC46-BL45,IF(A46&lt;'Données projet'!$A$88,$BA$205^A46,IF(A46='Données projet'!$A$88,'Données projet'!$B$88,BD45+BC46-BL45)))</f>
        <v>76.50200000000001</v>
      </c>
      <c r="BE46" s="14">
        <f>BD46*VLOOKUP('Données projet'!$B$11,Paramètres!$A$1:$I$89,3,0)*VLOOKUP('Données projet'!$B$11,Paramètres!$A$1:$I$89,5,0)</f>
        <v>69.219009600000007</v>
      </c>
      <c r="BF46" s="14">
        <f t="shared" si="37"/>
        <v>19.479383666118782</v>
      </c>
      <c r="BG46" s="22">
        <f t="shared" si="7"/>
        <v>154.48303493849019</v>
      </c>
      <c r="BH46" s="62">
        <f t="shared" si="8"/>
        <v>404.62421640492221</v>
      </c>
      <c r="BI46" s="62">
        <f ca="1">AVERAGE(OFFSET($BH$3,0,0,'Données projet'!$E$11+1,1))-AVERAGE(OFFSET($H$3,0,0,'Données projet'!$E$11+1,1))</f>
        <v>316.71836722354374</v>
      </c>
      <c r="BJ46" s="62">
        <f t="shared" si="38"/>
        <v>164.34067012996618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1.723962149886622</v>
      </c>
      <c r="BS46" s="24">
        <f t="shared" si="9"/>
        <v>1.723962149886622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6.6720000000000006</v>
      </c>
      <c r="BY46" s="13">
        <f>IF('Données projet'!$A$114&gt;35,BY45+BX46-CG45,IF(A46&lt;'Données projet'!$A$114,$BV$205^A46,IF(A46='Données projet'!$A$114,'Données projet'!$B$114,BY45+BX46-CG45)))</f>
        <v>173.2059999999999</v>
      </c>
      <c r="BZ46" s="14">
        <f>BY46*VLOOKUP('Données projet'!$B$12,Paramètres!$A$1:$I$89,3,0)*VLOOKUP('Données projet'!$B$12,Paramètres!$A$1:$I$89,5,0)</f>
        <v>197.2469927999999</v>
      </c>
      <c r="CA46" s="14">
        <f t="shared" si="39"/>
        <v>49.138652864127728</v>
      </c>
      <c r="CB46" s="22">
        <f t="shared" si="10"/>
        <v>429.12166619835557</v>
      </c>
      <c r="CC46" s="62">
        <f t="shared" si="11"/>
        <v>679.26284766478761</v>
      </c>
      <c r="CD46" s="62">
        <f ca="1">AVERAGE(OFFSET($CC$3,0,0,'Données projet'!$E$12+1,1))-AVERAGE(OFFSET($H$3,0,0,'Données projet'!$E$12+1,1))</f>
        <v>454.9779384236806</v>
      </c>
      <c r="CE46" s="62">
        <f t="shared" si="40"/>
        <v>379.32753348721906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1.625922173686813</v>
      </c>
      <c r="CM46" s="23">
        <f>EXP(-LN(2)/2)*CM45+(1-EXP(-LN(2)/2))/(LN(2)/2)*CG46*CJ46*VLOOKUP('Données projet'!$B$12,Paramètres!$A$1:$I$89,3,0)*0.475*44/12</f>
        <v>0.15432706486365225</v>
      </c>
      <c r="CN46" s="24">
        <f t="shared" si="12"/>
        <v>1.7802492385504654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9.15</v>
      </c>
      <c r="CT46" s="13">
        <f>IF('Données projet'!$A$140&gt;35,CT45+CS46-DB45,IF(A46&lt;'Données projet'!$A$140,$CQ$205^A46,IF(A46='Données projet'!$A$140,'Données projet'!$B$140,CT45+CS46-DB45)))</f>
        <v>163.06</v>
      </c>
      <c r="CU46" s="18">
        <f>CT46*VLOOKUP('Données projet'!$B$13,Paramètres!$A$1:$I$89,3,0)*VLOOKUP('Données projet'!$B$13,Paramètres!$A$1:$I$89,5,0)</f>
        <v>127.18680000000001</v>
      </c>
      <c r="CV46" s="14">
        <f t="shared" si="41"/>
        <v>33.34548603888225</v>
      </c>
      <c r="CW46" s="22">
        <f t="shared" si="13"/>
        <v>279.59373151771996</v>
      </c>
      <c r="CX46" s="62">
        <f t="shared" si="14"/>
        <v>529.73491298415206</v>
      </c>
      <c r="CY46" s="62">
        <f ca="1">AVERAGE(OFFSET($CX$3,0,0,'Données projet'!$E$13+1,1))-AVERAGE(OFFSET($H$3,0,0,'Données projet'!$E$13+1,1))</f>
        <v>252.10592533338991</v>
      </c>
      <c r="CZ46" s="62">
        <f t="shared" si="42"/>
        <v>272.71831345325313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15.815333664287914</v>
      </c>
      <c r="DH46" s="23">
        <f>EXP(-LN(2)/2)*DH45+(1-EXP(-LN(2)/2))/(LN(2)/2)*DB46*DE46*VLOOKUP('Données projet'!$B$13,Paramètres!$A$1:$I$89,3,0)*0.475*44/12</f>
        <v>1.9300841618320788</v>
      </c>
      <c r="DI46" s="24">
        <f t="shared" si="15"/>
        <v>17.745417826119994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17.788000000000004</v>
      </c>
      <c r="DO46" s="13">
        <f>IF('Données projet'!$A$166&gt;35,DO45+DN46-DW45,IF(A46&lt;'Données projet'!$A$166,$DL$205^A46,IF(A46='Données projet'!$A$166,'Données projet'!$B$166,DO45+DN46-DW45)))</f>
        <v>316.89400000000012</v>
      </c>
      <c r="DP46" s="18">
        <f>DO46*VLOOKUP('Données projet'!$B$14,Paramètres!$A$1:$I$89,3,0)*VLOOKUP('Données projet'!$B$14,Paramètres!$A$1:$I$89,5,0)</f>
        <v>189.50261200000008</v>
      </c>
      <c r="DQ46" s="14">
        <f t="shared" si="43"/>
        <v>47.429970656015193</v>
      </c>
      <c r="DR46" s="22">
        <f t="shared" si="16"/>
        <v>412.65758145922655</v>
      </c>
      <c r="DS46" s="62">
        <f t="shared" si="17"/>
        <v>662.79876292565859</v>
      </c>
      <c r="DT46" s="62">
        <f ca="1">AVERAGE(OFFSET($DS$3,0,0,'Données projet'!$E$14+1,1))-AVERAGE(OFFSET($H$3,0,0,'Données projet'!$E$14+1,1))</f>
        <v>423.0896575168394</v>
      </c>
      <c r="DU46" s="62">
        <f t="shared" si="44"/>
        <v>305.98537395014284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17.745384117955368</v>
      </c>
      <c r="EC46" s="23">
        <f>EXP(-LN(2)/2)*EC45+(1-EXP(-LN(2)/2))/(LN(2)/2)*DW46*DZ46*VLOOKUP('Données projet'!$B$14,Paramètres!$A$1:$I$89,3,0)*0.475*44/12</f>
        <v>0.69689181609275419</v>
      </c>
      <c r="ED46" s="24">
        <f t="shared" si="18"/>
        <v>18.442275934048123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10.086</v>
      </c>
      <c r="EJ46" s="13">
        <f>IF('Données projet'!$A$192&gt;35,EJ45+EI46-ER45,IF(A46&lt;'Données projet'!$A$192,$EG$205^A46,IF(A46='Données projet'!$A$192,'Données projet'!$B$192,EJ45+EI46-ER45)))</f>
        <v>314.79800000000006</v>
      </c>
      <c r="EK46" s="18">
        <f>EJ46*VLOOKUP('Données projet'!$B$15,Paramètres!$A$1:$I$89,3,0)*VLOOKUP('Données projet'!$B$15,Paramètres!$A$1:$I$89,5,0)</f>
        <v>188.24920400000005</v>
      </c>
      <c r="EL46" s="14">
        <f t="shared" si="45"/>
        <v>47.152668410912696</v>
      </c>
      <c r="EM46" s="22">
        <f t="shared" si="19"/>
        <v>409.9915944490063</v>
      </c>
      <c r="EN46" s="62">
        <f t="shared" si="20"/>
        <v>660.13277591543829</v>
      </c>
      <c r="EO46" s="62">
        <f ca="1">AVERAGE(OFFSET($EN$3,0,0,'Données projet'!$E$15+1,1))-AVERAGE(OFFSET($H$3,0,0,'Données projet'!$E$15+1,1))</f>
        <v>281.21543175875604</v>
      </c>
      <c r="EP46" s="62">
        <f t="shared" si="46"/>
        <v>366.68536296857428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15.319028198830546</v>
      </c>
      <c r="EW46" s="23">
        <f>EXP(-LN(2)/25)*EW45+(1-EXP(-LN(2)/25))/(LN(2)/25)*Calculateur!ER46*Calculateur!ET46*VLOOKUP('Données projet'!$B$15,Paramètres!$A$1:$I$89,3,0)*0.475*44/12</f>
        <v>8.5660559010914223</v>
      </c>
      <c r="EX46" s="23">
        <f>EXP(-LN(2)/2)*EX45+(1-EXP(-LN(2)/2))/(LN(2)/2)*ER46*EU46*VLOOKUP('Données projet'!$B$15,Paramètres!$A$1:$I$89,3,0)*0.475*44/12</f>
        <v>0.19943281802327581</v>
      </c>
      <c r="EY46" s="24">
        <f t="shared" si="21"/>
        <v>24.084516917945244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13.968999999999999</v>
      </c>
      <c r="FE46" s="13">
        <f>IF('Données projet'!$A$218&gt;35,FE45+FD46-FM45,IF(A46&lt;'Données projet'!$A$218,$FB$205^A46,IF(A46='Données projet'!$A$218,'Données projet'!$B$218,FE45+FD46-FM45)))</f>
        <v>237.64199999999997</v>
      </c>
      <c r="FF46" s="18">
        <f>FE46*VLOOKUP('Données projet'!$B$16,Paramètres!$A$1:$I$89,3,0)*VLOOKUP('Données projet'!$B$16,Paramètres!$A$1:$I$89,5,0)</f>
        <v>132.84187799999998</v>
      </c>
      <c r="FG46" s="14">
        <f t="shared" si="47"/>
        <v>34.652205139204639</v>
      </c>
      <c r="FH46" s="22">
        <f t="shared" si="22"/>
        <v>291.71886146744805</v>
      </c>
      <c r="FI46" s="62">
        <f t="shared" si="23"/>
        <v>541.8600429338801</v>
      </c>
      <c r="FJ46" s="62">
        <f ca="1">AVERAGE(OFFSET($FI$3,0,0,'Données projet'!$E$16+1,1))-AVERAGE(OFFSET($H$3,0,0,'Données projet'!$E$16+1,1))</f>
        <v>280.9225643428145</v>
      </c>
      <c r="FK46" s="62">
        <f t="shared" si="48"/>
        <v>236.89414218053955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31.321497545817998</v>
      </c>
      <c r="FS46" s="23">
        <f>EXP(-LN(2)/2)*FS45+(1-EXP(-LN(2)/2))/(LN(2)/2)*FM46*FP46*VLOOKUP('Données projet'!$B$16,Paramètres!$A$1:$I$89,3,0)*0.475*44/12</f>
        <v>0.40552107811241805</v>
      </c>
      <c r="FT46" s="24">
        <f t="shared" si="24"/>
        <v>31.727018623930416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13.291999999999996</v>
      </c>
      <c r="FZ46" s="13">
        <f>IF('Données projet'!$A$244&gt;35,FZ45+FY46-GH45,IF(A46&lt;'Données projet'!$A$244,$FW$205^A46,IF(A46='Données projet'!$A$244,'Données projet'!$B$244,FZ45+FY46-GH45)))</f>
        <v>352.9259999999997</v>
      </c>
      <c r="GA46" s="18">
        <f>FZ46*VLOOKUP('Données projet'!$B$17,Paramètres!$A$1:$I$89,3,0)*VLOOKUP('Données projet'!$B$17,Paramètres!$A$1:$I$89,5,0)</f>
        <v>155.99329199999988</v>
      </c>
      <c r="GB46" s="14">
        <f t="shared" si="49"/>
        <v>39.937461670043739</v>
      </c>
      <c r="GC46" s="22">
        <f t="shared" si="25"/>
        <v>341.24606264199264</v>
      </c>
      <c r="GD46" s="62">
        <f t="shared" si="26"/>
        <v>591.38724410842474</v>
      </c>
      <c r="GE46" s="62">
        <f ca="1">AVERAGE(OFFSET($GD$3,0,0,'Données projet'!$E$17+1,1))-AVERAGE(OFFSET($H$3,0,0,'Données projet'!$E$17+1,1))</f>
        <v>325.67421864225201</v>
      </c>
      <c r="GF46" s="62">
        <f t="shared" si="50"/>
        <v>542.01920418736745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107.90662279856099</v>
      </c>
      <c r="GN46" s="23">
        <f>EXP(-LN(2)/2)*GN45+(1-EXP(-LN(2)/2))/(LN(2)/2)*GH46*GK46*VLOOKUP('Données projet'!$B$17,Paramètres!$A$1:$I$89,3,0)*0.475*44/12</f>
        <v>4.8679111394121533</v>
      </c>
      <c r="GO46" s="23">
        <f t="shared" si="27"/>
        <v>112.77453393797315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2.8820000000000006</v>
      </c>
      <c r="GU46" s="13">
        <f>IF('Données projet'!$A$270&gt;35,GU45+GT46-HC45,IF(A46&lt;'Données projet'!$A$270,$GR$205^A46,IF(A46='Données projet'!$A$270,'Données projet'!$B$270,GU45+GT46-HC45)))</f>
        <v>50.545999999999985</v>
      </c>
      <c r="GV46" s="18">
        <f>GU46*VLOOKUP('Données projet'!$B$18,Paramètres!$A$1:$I$89,3,0)*VLOOKUP('Données projet'!$B$18,Paramètres!$A$1:$I$89,5,0)</f>
        <v>51.253643999999994</v>
      </c>
      <c r="GW46" s="14">
        <f t="shared" si="51"/>
        <v>14.937050601185065</v>
      </c>
      <c r="GX46" s="22">
        <f t="shared" si="28"/>
        <v>115.2821264303973</v>
      </c>
      <c r="GY46" s="62">
        <f t="shared" si="29"/>
        <v>365.42330789682933</v>
      </c>
      <c r="GZ46" s="62">
        <f ca="1">AVERAGE(OFFSET($GY$3,0,0,'Données projet'!$E$18+1,1))-AVERAGE(OFFSET($H$3,0,0,'Données projet'!$E$18+1,1))</f>
        <v>220.89224520315713</v>
      </c>
      <c r="HA46" s="62">
        <f t="shared" si="52"/>
        <v>141.82763623159096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1.0626666666666666</v>
      </c>
      <c r="N47" s="14">
        <f>IF('Données projet'!$A$36&gt;35,N46+M47-V46,IF(A47&lt;'Données projet'!$A$36,$K$205^A47,IF(A47='Données projet'!$A$36,'Données projet'!$B$36,N46+M47-V46)))</f>
        <v>19.403999999999996</v>
      </c>
      <c r="O47" s="14">
        <f>N47*VLOOKUP('Données projet'!$B$9,Paramètres!$A$1:$I$89,3,0)*VLOOKUP('Données projet'!$B$9,Paramètres!$A$1:$I$89,5,0)</f>
        <v>18.767548799999997</v>
      </c>
      <c r="P47" s="14">
        <f t="shared" si="33"/>
        <v>6.1480158633570241</v>
      </c>
      <c r="Q47" s="22">
        <f t="shared" si="53"/>
        <v>43.394608455346805</v>
      </c>
      <c r="R47" s="62">
        <f t="shared" si="0"/>
        <v>294.28507719348426</v>
      </c>
      <c r="S47" s="62">
        <f ca="1">AVERAGE(OFFSET($R$3,0,0,'Données projet'!$E$9+1,1))-AVERAGE(OFFSET($H$3,0,0,'Données projet'!$E$9+1,1))</f>
        <v>84.959354125980269</v>
      </c>
      <c r="T47" s="62">
        <f t="shared" si="34"/>
        <v>89.658970210276806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0.16907631502452983</v>
      </c>
      <c r="AC47" s="24">
        <f t="shared" si="3"/>
        <v>0.16907631502452983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6.5376666666666665</v>
      </c>
      <c r="AI47" s="14">
        <f>IF('Données projet'!$A$62&gt;35,AI46+AH47-AQ46,IF(A47&lt;'Données projet'!$A$62,$AF$205^A47,IF(A47='Données projet'!$A$62,'Données projet'!$B$62,AI46+AH47-AQ46)))</f>
        <v>134.09733333333335</v>
      </c>
      <c r="AJ47" s="14">
        <f>AI47*VLOOKUP('Données projet'!$B$10,Paramètres!$A$1:$I$89,3,0)*VLOOKUP('Données projet'!$B$10,Paramètres!$A$1:$I$89,5,0)</f>
        <v>127.60702240000003</v>
      </c>
      <c r="AK47" s="14">
        <f t="shared" si="35"/>
        <v>33.442815988972903</v>
      </c>
      <c r="AL47" s="22">
        <f t="shared" si="4"/>
        <v>280.4951351941279</v>
      </c>
      <c r="AM47" s="62">
        <f t="shared" si="5"/>
        <v>531.38560393226533</v>
      </c>
      <c r="AN47" s="62">
        <f ca="1">AVERAGE(OFFSET($AM$3,0,0,'Données projet'!$E$10+1,1))-AVERAGE(OFFSET($H$3,0,0,'Données projet'!$E$10+1,1))</f>
        <v>592.76231355549089</v>
      </c>
      <c r="AO47" s="62">
        <f t="shared" si="36"/>
        <v>200.66895551079014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3.1222000609898042</v>
      </c>
      <c r="AW47" s="23">
        <f>EXP(-LN(2)/2)*AW46+(1-EXP(-LN(2)/2))/(LN(2)/2)*AQ47*AT47*VLOOKUP('Données projet'!$B$10,Paramètres!$A$1:$I$89,3,0)*0.475*44/12</f>
        <v>3.9135832714514159E-2</v>
      </c>
      <c r="AX47" s="23">
        <f t="shared" si="6"/>
        <v>3.1613358937043183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4.6240000000000006</v>
      </c>
      <c r="BD47" s="13">
        <f>IF('Données projet'!$A$88&gt;35,BD46+BC47-BL46,IF(A47&lt;'Données projet'!$A$88,$BA$205^A47,IF(A47='Données projet'!$A$88,'Données projet'!$B$88,BD46+BC47-BL46)))</f>
        <v>81.126000000000005</v>
      </c>
      <c r="BE47" s="14">
        <f>BD47*VLOOKUP('Données projet'!$B$11,Paramètres!$A$1:$I$89,3,0)*VLOOKUP('Données projet'!$B$11,Paramètres!$A$1:$I$89,5,0)</f>
        <v>73.402804799999998</v>
      </c>
      <c r="BF47" s="14">
        <f t="shared" si="37"/>
        <v>20.516145334570812</v>
      </c>
      <c r="BG47" s="22">
        <f t="shared" si="7"/>
        <v>163.57550481771082</v>
      </c>
      <c r="BH47" s="62">
        <f t="shared" si="8"/>
        <v>414.46597355584822</v>
      </c>
      <c r="BI47" s="62">
        <f ca="1">AVERAGE(OFFSET($BH$3,0,0,'Données projet'!$E$11+1,1))-AVERAGE(OFFSET($H$3,0,0,'Données projet'!$E$11+1,1))</f>
        <v>316.71836722354374</v>
      </c>
      <c r="BJ47" s="62">
        <f t="shared" si="38"/>
        <v>164.34067012996618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1.2190253266937698</v>
      </c>
      <c r="BS47" s="24">
        <f t="shared" si="9"/>
        <v>1.2190253266937698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6.6720000000000006</v>
      </c>
      <c r="BY47" s="13">
        <f>IF('Données projet'!$A$114&gt;35,BY46+BX47-CG46,IF(A47&lt;'Données projet'!$A$114,$BV$205^A47,IF(A47='Données projet'!$A$114,'Données projet'!$B$114,BY46+BX47-CG46)))</f>
        <v>179.8779999999999</v>
      </c>
      <c r="BZ47" s="14">
        <f>BY47*VLOOKUP('Données projet'!$B$12,Paramètres!$A$1:$I$89,3,0)*VLOOKUP('Données projet'!$B$12,Paramètres!$A$1:$I$89,5,0)</f>
        <v>204.84506639999989</v>
      </c>
      <c r="CA47" s="14">
        <f t="shared" si="39"/>
        <v>50.807478762420537</v>
      </c>
      <c r="CB47" s="22">
        <f t="shared" si="10"/>
        <v>445.26151615788223</v>
      </c>
      <c r="CC47" s="62">
        <f t="shared" si="11"/>
        <v>696.15198489601971</v>
      </c>
      <c r="CD47" s="62">
        <f ca="1">AVERAGE(OFFSET($CC$3,0,0,'Données projet'!$E$12+1,1))-AVERAGE(OFFSET($H$3,0,0,'Données projet'!$E$12+1,1))</f>
        <v>454.9779384236806</v>
      </c>
      <c r="CE47" s="62">
        <f t="shared" si="40"/>
        <v>379.32753348721906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1.581461246343816</v>
      </c>
      <c r="CM47" s="23">
        <f>EXP(-LN(2)/2)*CM46+(1-EXP(-LN(2)/2))/(LN(2)/2)*CG47*CJ47*VLOOKUP('Données projet'!$B$12,Paramètres!$A$1:$I$89,3,0)*0.475*44/12</f>
        <v>0.10912571408570468</v>
      </c>
      <c r="CN47" s="24">
        <f t="shared" si="12"/>
        <v>1.6905869604295207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9.15</v>
      </c>
      <c r="CT47" s="13">
        <f>IF('Données projet'!$A$140&gt;35,CT46+CS47-DB46,IF(A47&lt;'Données projet'!$A$140,$CQ$205^A47,IF(A47='Données projet'!$A$140,'Données projet'!$B$140,CT46+CS47-DB46)))</f>
        <v>172.21</v>
      </c>
      <c r="CU47" s="18">
        <f>CT47*VLOOKUP('Données projet'!$B$13,Paramètres!$A$1:$I$89,3,0)*VLOOKUP('Données projet'!$B$13,Paramètres!$A$1:$I$89,5,0)</f>
        <v>134.32380000000001</v>
      </c>
      <c r="CV47" s="14">
        <f t="shared" si="41"/>
        <v>34.993552091023822</v>
      </c>
      <c r="CW47" s="22">
        <f t="shared" si="13"/>
        <v>294.8943882251998</v>
      </c>
      <c r="CX47" s="62">
        <f t="shared" si="14"/>
        <v>545.78485696333723</v>
      </c>
      <c r="CY47" s="62">
        <f ca="1">AVERAGE(OFFSET($CX$3,0,0,'Données projet'!$E$13+1,1))-AVERAGE(OFFSET($H$3,0,0,'Données projet'!$E$13+1,1))</f>
        <v>252.10592533338991</v>
      </c>
      <c r="CZ47" s="62">
        <f t="shared" si="42"/>
        <v>272.71831345325313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15.38286253354571</v>
      </c>
      <c r="DH47" s="23">
        <f>EXP(-LN(2)/2)*DH46+(1-EXP(-LN(2)/2))/(LN(2)/2)*DB47*DE47*VLOOKUP('Données projet'!$B$13,Paramètres!$A$1:$I$89,3,0)*0.475*44/12</f>
        <v>1.3647755990922168</v>
      </c>
      <c r="DI47" s="24">
        <f t="shared" si="15"/>
        <v>16.747638132637928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17.788000000000004</v>
      </c>
      <c r="DO47" s="13">
        <f>IF('Données projet'!$A$166&gt;35,DO46+DN47-DW46,IF(A47&lt;'Données projet'!$A$166,$DL$205^A47,IF(A47='Données projet'!$A$166,'Données projet'!$B$166,DO46+DN47-DW46)))</f>
        <v>334.68200000000013</v>
      </c>
      <c r="DP47" s="18">
        <f>DO47*VLOOKUP('Données projet'!$B$14,Paramètres!$A$1:$I$89,3,0)*VLOOKUP('Données projet'!$B$14,Paramètres!$A$1:$I$89,5,0)</f>
        <v>200.13983600000009</v>
      </c>
      <c r="DQ47" s="14">
        <f t="shared" si="43"/>
        <v>49.774898195550087</v>
      </c>
      <c r="DR47" s="22">
        <f t="shared" si="16"/>
        <v>435.26816205724987</v>
      </c>
      <c r="DS47" s="62">
        <f t="shared" si="17"/>
        <v>686.15863079538735</v>
      </c>
      <c r="DT47" s="62">
        <f ca="1">AVERAGE(OFFSET($DS$3,0,0,'Données projet'!$E$14+1,1))-AVERAGE(OFFSET($H$3,0,0,'Données projet'!$E$14+1,1))</f>
        <v>423.0896575168394</v>
      </c>
      <c r="DU47" s="62">
        <f t="shared" si="44"/>
        <v>305.98537395014284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17.260135656060687</v>
      </c>
      <c r="EC47" s="23">
        <f>EXP(-LN(2)/2)*EC46+(1-EXP(-LN(2)/2))/(LN(2)/2)*DW47*DZ47*VLOOKUP('Données projet'!$B$14,Paramètres!$A$1:$I$89,3,0)*0.475*44/12</f>
        <v>0.49277692891259489</v>
      </c>
      <c r="ED47" s="24">
        <f t="shared" si="18"/>
        <v>17.752912584973281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10.086</v>
      </c>
      <c r="EJ47" s="13">
        <f>IF('Données projet'!$A$192&gt;35,EJ46+EI47-ER46,IF(A47&lt;'Données projet'!$A$192,$EG$205^A47,IF(A47='Données projet'!$A$192,'Données projet'!$B$192,EJ46+EI47-ER46)))</f>
        <v>324.88400000000007</v>
      </c>
      <c r="EK47" s="18">
        <f>EJ47*VLOOKUP('Données projet'!$B$15,Paramètres!$A$1:$I$89,3,0)*VLOOKUP('Données projet'!$B$15,Paramètres!$A$1:$I$89,5,0)</f>
        <v>194.28063200000005</v>
      </c>
      <c r="EL47" s="14">
        <f t="shared" si="45"/>
        <v>48.485109164359194</v>
      </c>
      <c r="EM47" s="22">
        <f t="shared" si="19"/>
        <v>422.81699919459237</v>
      </c>
      <c r="EN47" s="62">
        <f t="shared" si="20"/>
        <v>673.70746793272974</v>
      </c>
      <c r="EO47" s="62">
        <f ca="1">AVERAGE(OFFSET($EN$3,0,0,'Données projet'!$E$15+1,1))-AVERAGE(OFFSET($H$3,0,0,'Données projet'!$E$15+1,1))</f>
        <v>281.21543175875604</v>
      </c>
      <c r="EP47" s="62">
        <f t="shared" si="46"/>
        <v>366.68536296857428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15.018631399536067</v>
      </c>
      <c r="EW47" s="23">
        <f>EXP(-LN(2)/25)*EW46+(1-EXP(-LN(2)/25))/(LN(2)/25)*Calculateur!ER47*Calculateur!ET47*VLOOKUP('Données projet'!$B$15,Paramètres!$A$1:$I$89,3,0)*0.475*44/12</f>
        <v>8.3318166520067756</v>
      </c>
      <c r="EX47" s="23">
        <f>EXP(-LN(2)/2)*EX46+(1-EXP(-LN(2)/2))/(LN(2)/2)*ER47*EU47*VLOOKUP('Données projet'!$B$15,Paramètres!$A$1:$I$89,3,0)*0.475*44/12</f>
        <v>0.14102029801540106</v>
      </c>
      <c r="EY47" s="24">
        <f t="shared" si="21"/>
        <v>23.491468349558243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13.968999999999999</v>
      </c>
      <c r="FE47" s="13">
        <f>IF('Données projet'!$A$218&gt;35,FE46+FD47-FM46,IF(A47&lt;'Données projet'!$A$218,$FB$205^A47,IF(A47='Données projet'!$A$218,'Données projet'!$B$218,FE46+FD47-FM46)))</f>
        <v>251.61099999999996</v>
      </c>
      <c r="FF47" s="18">
        <f>FE47*VLOOKUP('Données projet'!$B$16,Paramètres!$A$1:$I$89,3,0)*VLOOKUP('Données projet'!$B$16,Paramètres!$A$1:$I$89,5,0)</f>
        <v>140.65054899999998</v>
      </c>
      <c r="FG47" s="14">
        <f t="shared" si="47"/>
        <v>36.445996900631847</v>
      </c>
      <c r="FH47" s="22">
        <f t="shared" si="22"/>
        <v>308.44315077693375</v>
      </c>
      <c r="FI47" s="62">
        <f t="shared" si="23"/>
        <v>559.33361951507118</v>
      </c>
      <c r="FJ47" s="62">
        <f ca="1">AVERAGE(OFFSET($FI$3,0,0,'Données projet'!$E$16+1,1))-AVERAGE(OFFSET($H$3,0,0,'Données projet'!$E$16+1,1))</f>
        <v>280.9225643428145</v>
      </c>
      <c r="FK47" s="62">
        <f t="shared" si="48"/>
        <v>236.89414218053955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30.465009548301634</v>
      </c>
      <c r="FS47" s="23">
        <f>EXP(-LN(2)/2)*FS46+(1-EXP(-LN(2)/2))/(LN(2)/2)*FM47*FP47*VLOOKUP('Données projet'!$B$16,Paramètres!$A$1:$I$89,3,0)*0.475*44/12</f>
        <v>0.28674670424737048</v>
      </c>
      <c r="FT47" s="24">
        <f t="shared" si="24"/>
        <v>30.751756252549004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13.291999999999996</v>
      </c>
      <c r="FZ47" s="13">
        <f>IF('Données projet'!$A$244&gt;35,FZ46+FY47-GH46,IF(A47&lt;'Données projet'!$A$244,$FW$205^A47,IF(A47='Données projet'!$A$244,'Données projet'!$B$244,FZ46+FY47-GH46)))</f>
        <v>366.21799999999968</v>
      </c>
      <c r="GA47" s="18">
        <f>FZ47*VLOOKUP('Données projet'!$B$17,Paramètres!$A$1:$I$89,3,0)*VLOOKUP('Données projet'!$B$17,Paramètres!$A$1:$I$89,5,0)</f>
        <v>161.86835599999989</v>
      </c>
      <c r="GB47" s="14">
        <f t="shared" si="49"/>
        <v>41.263643156283507</v>
      </c>
      <c r="GC47" s="22">
        <f t="shared" si="25"/>
        <v>353.78823186386029</v>
      </c>
      <c r="GD47" s="62">
        <f t="shared" si="26"/>
        <v>604.67870060199766</v>
      </c>
      <c r="GE47" s="62">
        <f ca="1">AVERAGE(OFFSET($GD$3,0,0,'Données projet'!$E$17+1,1))-AVERAGE(OFFSET($H$3,0,0,'Données projet'!$E$17+1,1))</f>
        <v>325.67421864225201</v>
      </c>
      <c r="GF47" s="62">
        <f t="shared" si="50"/>
        <v>542.01920418736745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104.95591052357167</v>
      </c>
      <c r="GN47" s="23">
        <f>EXP(-LN(2)/2)*GN46+(1-EXP(-LN(2)/2))/(LN(2)/2)*GH47*GK47*VLOOKUP('Données projet'!$B$17,Paramètres!$A$1:$I$89,3,0)*0.475*44/12</f>
        <v>3.4421329768918669</v>
      </c>
      <c r="GO47" s="23">
        <f t="shared" si="27"/>
        <v>108.39804350046354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2.8820000000000006</v>
      </c>
      <c r="GU47" s="13">
        <f>IF('Données projet'!$A$270&gt;35,GU46+GT47-HC46,IF(A47&lt;'Données projet'!$A$270,$GR$205^A47,IF(A47='Données projet'!$A$270,'Données projet'!$B$270,GU46+GT47-HC46)))</f>
        <v>53.427999999999983</v>
      </c>
      <c r="GV47" s="18">
        <f>GU47*VLOOKUP('Données projet'!$B$18,Paramètres!$A$1:$I$89,3,0)*VLOOKUP('Données projet'!$B$18,Paramètres!$A$1:$I$89,5,0)</f>
        <v>54.175991999999979</v>
      </c>
      <c r="GW47" s="14">
        <f t="shared" si="51"/>
        <v>15.687141618255525</v>
      </c>
      <c r="GX47" s="22">
        <f t="shared" si="28"/>
        <v>121.678291051795</v>
      </c>
      <c r="GY47" s="62">
        <f t="shared" si="29"/>
        <v>372.56875978993241</v>
      </c>
      <c r="GZ47" s="62">
        <f ca="1">AVERAGE(OFFSET($GY$3,0,0,'Données projet'!$E$18+1,1))-AVERAGE(OFFSET($H$3,0,0,'Données projet'!$E$18+1,1))</f>
        <v>220.89224520315713</v>
      </c>
      <c r="HA47" s="62">
        <f t="shared" si="52"/>
        <v>141.82763623159096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1.0626666666666666</v>
      </c>
      <c r="N48" s="14">
        <f>IF('Données projet'!$A$36&gt;35,N47+M48-V47,IF(A48&lt;'Données projet'!$A$36,$K$205^A48,IF(A48='Données projet'!$A$36,'Données projet'!$B$36,N47+M48-V47)))</f>
        <v>20.466666666666661</v>
      </c>
      <c r="O48" s="14">
        <f>N48*VLOOKUP('Données projet'!$B$9,Paramètres!$A$1:$I$89,3,0)*VLOOKUP('Données projet'!$B$9,Paramètres!$A$1:$I$89,5,0)</f>
        <v>19.795359999999995</v>
      </c>
      <c r="P48" s="14">
        <f t="shared" si="33"/>
        <v>6.4445929056438285</v>
      </c>
      <c r="Q48" s="22">
        <f t="shared" si="53"/>
        <v>45.70125131066299</v>
      </c>
      <c r="R48" s="62">
        <f t="shared" si="0"/>
        <v>297.3280088614971</v>
      </c>
      <c r="S48" s="62">
        <f ca="1">AVERAGE(OFFSET($R$3,0,0,'Données projet'!$E$9+1,1))-AVERAGE(OFFSET($H$3,0,0,'Données projet'!$E$9+1,1))</f>
        <v>84.959354125980269</v>
      </c>
      <c r="T48" s="62">
        <f t="shared" si="34"/>
        <v>89.658970210276806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0.11955500889187799</v>
      </c>
      <c r="AC48" s="24">
        <f t="shared" si="3"/>
        <v>0.11955500889187799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6.5376666666666665</v>
      </c>
      <c r="AI48" s="14">
        <f>IF('Données projet'!$A$62&gt;35,AI47+AH48-AQ47,IF(A48&lt;'Données projet'!$A$62,$AF$205^A48,IF(A48='Données projet'!$A$62,'Données projet'!$B$62,AI47+AH48-AQ47)))</f>
        <v>140.63500000000002</v>
      </c>
      <c r="AJ48" s="14">
        <f>AI48*VLOOKUP('Données projet'!$B$10,Paramètres!$A$1:$I$89,3,0)*VLOOKUP('Données projet'!$B$10,Paramètres!$A$1:$I$89,5,0)</f>
        <v>133.82826600000001</v>
      </c>
      <c r="AK48" s="14">
        <f t="shared" si="35"/>
        <v>34.879459461865778</v>
      </c>
      <c r="AL48" s="22">
        <f t="shared" si="4"/>
        <v>293.83262184608287</v>
      </c>
      <c r="AM48" s="62">
        <f t="shared" si="5"/>
        <v>545.45937939691703</v>
      </c>
      <c r="AN48" s="62">
        <f ca="1">AVERAGE(OFFSET($AM$3,0,0,'Données projet'!$E$10+1,1))-AVERAGE(OFFSET($H$3,0,0,'Données projet'!$E$10+1,1))</f>
        <v>592.76231355549089</v>
      </c>
      <c r="AO48" s="62">
        <f t="shared" si="36"/>
        <v>200.66895551079014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3.0368233361326729</v>
      </c>
      <c r="AW48" s="23">
        <f>EXP(-LN(2)/2)*AW47+(1-EXP(-LN(2)/2))/(LN(2)/2)*AQ48*AT48*VLOOKUP('Données projet'!$B$10,Paramètres!$A$1:$I$89,3,0)*0.475*44/12</f>
        <v>2.7673212699815292E-2</v>
      </c>
      <c r="AX48" s="23">
        <f t="shared" si="6"/>
        <v>3.064496548832488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85.75</v>
      </c>
      <c r="BB48" s="13">
        <f>VLOOKUP(A48,'Données projet'!$A$87:$I$107,9,0)</f>
        <v>4.6240000000000006</v>
      </c>
      <c r="BC48" s="13">
        <f t="array" ref="BC48">INDEX(BB:BB,MIN(IF(ISNUMBER(BB48:BB244),ROW(BB48:BB244),"")))</f>
        <v>4.6240000000000006</v>
      </c>
      <c r="BD48" s="13">
        <f>IF('Données projet'!$A$88&gt;35,BD47+BC48-BL47,IF(A48&lt;'Données projet'!$A$88,$BA$205^A48,IF(A48='Données projet'!$A$88,'Données projet'!$B$88,BD47+BC48-BL47)))</f>
        <v>85.75</v>
      </c>
      <c r="BE48" s="14">
        <f>BD48*VLOOKUP('Données projet'!$B$11,Paramètres!$A$1:$I$89,3,0)*VLOOKUP('Données projet'!$B$11,Paramètres!$A$1:$I$89,5,0)</f>
        <v>77.586600000000004</v>
      </c>
      <c r="BF48" s="14">
        <f t="shared" si="37"/>
        <v>21.546047414279755</v>
      </c>
      <c r="BG48" s="22">
        <f t="shared" si="7"/>
        <v>172.6560275798706</v>
      </c>
      <c r="BH48" s="62">
        <f t="shared" si="8"/>
        <v>424.28278513070472</v>
      </c>
      <c r="BI48" s="62">
        <f ca="1">AVERAGE(OFFSET($BH$3,0,0,'Données projet'!$E$11+1,1))-AVERAGE(OFFSET($H$3,0,0,'Données projet'!$E$11+1,1))</f>
        <v>316.71836722354374</v>
      </c>
      <c r="BJ48" s="62">
        <f t="shared" si="38"/>
        <v>164.34067012996618</v>
      </c>
      <c r="BK48" s="16">
        <f>IF(ISNA(VLOOKUP(A48,'Données projet'!$A$87:$I$107,3,0)),0,VLOOKUP(A48,'Données projet'!$A$87:$I$107,3,0))</f>
        <v>4</v>
      </c>
      <c r="BL48" s="16">
        <f>IF(ISNA(VLOOKUP(A48,'Données projet'!$A$87:$I$107,4,0)),0,VLOOKUP(A48,'Données projet'!$A$87:$I$107,4,0))</f>
        <v>22.87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0.3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6.7192384031134393</v>
      </c>
      <c r="BS48" s="24">
        <f t="shared" si="9"/>
        <v>6.7192384031134393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186.55</v>
      </c>
      <c r="BW48" s="13">
        <f>VLOOKUP(A48,'Données projet'!$A$113:$I$133,9,0)</f>
        <v>6.6720000000000006</v>
      </c>
      <c r="BX48" s="13">
        <f t="array" ref="BX48">INDEX(BW:BW,MIN(IF(ISNUMBER(BW48:BW244),ROW(BW48:BW244),"")))</f>
        <v>6.6720000000000006</v>
      </c>
      <c r="BY48" s="13">
        <f>IF('Données projet'!$A$114&gt;35,BY47+BX48-CG47,IF(A48&lt;'Données projet'!$A$114,$BV$205^A48,IF(A48='Données projet'!$A$114,'Données projet'!$B$114,BY47+BX48-CG47)))</f>
        <v>186.5499999999999</v>
      </c>
      <c r="BZ48" s="14">
        <f>BY48*VLOOKUP('Données projet'!$B$12,Paramètres!$A$1:$I$89,3,0)*VLOOKUP('Données projet'!$B$12,Paramètres!$A$1:$I$89,5,0)</f>
        <v>212.44313999999989</v>
      </c>
      <c r="CA48" s="14">
        <f t="shared" si="39"/>
        <v>52.46911331767258</v>
      </c>
      <c r="CB48" s="22">
        <f t="shared" si="10"/>
        <v>461.38884119494622</v>
      </c>
      <c r="CC48" s="62">
        <f t="shared" si="11"/>
        <v>713.01559874578038</v>
      </c>
      <c r="CD48" s="62">
        <f ca="1">AVERAGE(OFFSET($CC$3,0,0,'Données projet'!$E$12+1,1))-AVERAGE(OFFSET($H$3,0,0,'Données projet'!$E$12+1,1))</f>
        <v>454.9779384236806</v>
      </c>
      <c r="CE48" s="62">
        <f t="shared" si="40"/>
        <v>379.32753348721906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46.64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8.6000000000000007E-2</v>
      </c>
      <c r="CJ48" s="17">
        <f>IF(ISNA(VLOOKUP(A48,'Données projet'!$A$113:$I$133,7,0)),0%,VLOOKUP(A48,'Données projet'!$A$113:$I$133,7,0))</f>
        <v>0.2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6.5678711896491162</v>
      </c>
      <c r="CM48" s="23">
        <f>EXP(-LN(2)/2)*CM47+(1-EXP(-LN(2)/2))/(LN(2)/2)*CG48*CJ48*VLOOKUP('Données projet'!$B$12,Paramètres!$A$1:$I$89,3,0)*0.475*44/12</f>
        <v>10.099991797321028</v>
      </c>
      <c r="CN48" s="24">
        <f t="shared" si="12"/>
        <v>16.667862986970142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181.36</v>
      </c>
      <c r="CR48" s="13">
        <f>VLOOKUP(A48,'Données projet'!$A$139:$I$159,9,0)</f>
        <v>9.15</v>
      </c>
      <c r="CS48" s="13">
        <f t="array" ref="CS48">INDEX(CR:CR,MIN(IF(ISNUMBER(CR48:CR244),ROW(CR48:CR244),"")))</f>
        <v>9.15</v>
      </c>
      <c r="CT48" s="13">
        <f>IF('Données projet'!$A$140&gt;35,CT47+CS48-DB47,IF(A48&lt;'Données projet'!$A$140,$CQ$205^A48,IF(A48='Données projet'!$A$140,'Données projet'!$B$140,CT47+CS48-DB47)))</f>
        <v>181.36</v>
      </c>
      <c r="CU48" s="18">
        <f>CT48*VLOOKUP('Données projet'!$B$13,Paramètres!$A$1:$I$89,3,0)*VLOOKUP('Données projet'!$B$13,Paramètres!$A$1:$I$89,5,0)</f>
        <v>141.46080000000001</v>
      </c>
      <c r="CV48" s="14">
        <f t="shared" si="41"/>
        <v>36.631451822586229</v>
      </c>
      <c r="CW48" s="22">
        <f t="shared" si="13"/>
        <v>310.17733859100434</v>
      </c>
      <c r="CX48" s="62">
        <f t="shared" si="14"/>
        <v>561.8040961418385</v>
      </c>
      <c r="CY48" s="62">
        <f ca="1">AVERAGE(OFFSET($CX$3,0,0,'Données projet'!$E$13+1,1))-AVERAGE(OFFSET($H$3,0,0,'Données projet'!$E$13+1,1))</f>
        <v>252.10592533338991</v>
      </c>
      <c r="CZ48" s="62">
        <f t="shared" si="42"/>
        <v>272.71831345325313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33.28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0.30099999999999999</v>
      </c>
      <c r="DE48" s="17">
        <f>IF(ISNA(VLOOKUP(A48,'Données projet'!$A$139:$I$159,7,0)),0%,VLOOKUP(A48,'Données projet'!$A$139:$I$159,7,0))</f>
        <v>0.1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23.565776880878495</v>
      </c>
      <c r="DH48" s="23">
        <f>EXP(-LN(2)/2)*DH47+(1-EXP(-LN(2)/2))/(LN(2)/2)*DB48*DE48*VLOOKUP('Données projet'!$B$13,Paramètres!$A$1:$I$89,3,0)*0.475*44/12</f>
        <v>3.414286986925291</v>
      </c>
      <c r="DI48" s="24">
        <f t="shared" si="15"/>
        <v>26.980063867803786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352.47</v>
      </c>
      <c r="DM48" s="13">
        <f>VLOOKUP(A48,'Données projet'!$A$165:$I$185,9,0)</f>
        <v>17.788000000000004</v>
      </c>
      <c r="DN48" s="13">
        <f t="array" ref="DN48">INDEX(DM:DM,MIN(IF(ISNUMBER(DM48:DM244),ROW(DM48:DM244),"")))</f>
        <v>17.788000000000004</v>
      </c>
      <c r="DO48" s="13">
        <f>IF('Données projet'!$A$166&gt;35,DO47+DN48-DW47,IF(A48&lt;'Données projet'!$A$166,$DL$205^A48,IF(A48='Données projet'!$A$166,'Données projet'!$B$166,DO47+DN48-DW47)))</f>
        <v>352.47000000000014</v>
      </c>
      <c r="DP48" s="18">
        <f>DO48*VLOOKUP('Données projet'!$B$14,Paramètres!$A$1:$I$89,3,0)*VLOOKUP('Données projet'!$B$14,Paramètres!$A$1:$I$89,5,0)</f>
        <v>210.77706000000009</v>
      </c>
      <c r="DQ48" s="14">
        <f t="shared" si="43"/>
        <v>52.105356340005393</v>
      </c>
      <c r="DR48" s="22">
        <f t="shared" si="16"/>
        <v>457.85354179217615</v>
      </c>
      <c r="DS48" s="62">
        <f t="shared" si="17"/>
        <v>709.4802993430103</v>
      </c>
      <c r="DT48" s="62">
        <f ca="1">AVERAGE(OFFSET($DS$3,0,0,'Données projet'!$E$14+1,1))-AVERAGE(OFFSET($H$3,0,0,'Données projet'!$E$14+1,1))</f>
        <v>423.0896575168394</v>
      </c>
      <c r="DU48" s="62">
        <f t="shared" si="44"/>
        <v>305.98537395014284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112.79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0.36000000000000004</v>
      </c>
      <c r="DZ48" s="17">
        <f>IF(ISNA(VLOOKUP(A48,'Données projet'!$A$165:$I$185,7,0)),0%,VLOOKUP(A48,'Données projet'!$A$165:$I$185,7,0))</f>
        <v>0.2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48.872213374122062</v>
      </c>
      <c r="EC48" s="23">
        <f>EXP(-LN(2)/2)*EC47+(1-EXP(-LN(2)/2))/(LN(2)/2)*DW48*DZ48*VLOOKUP('Données projet'!$B$14,Paramètres!$A$1:$I$89,3,0)*0.475*44/12</f>
        <v>15.621901816272388</v>
      </c>
      <c r="ED48" s="24">
        <f t="shared" si="18"/>
        <v>64.494115190394453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10.086</v>
      </c>
      <c r="EJ48" s="13">
        <f>IF('Données projet'!$A$192&gt;35,EJ47+EI48-ER47,IF(A48&lt;'Données projet'!$A$192,$EG$205^A48,IF(A48='Données projet'!$A$192,'Données projet'!$B$192,EJ47+EI48-ER47)))</f>
        <v>334.97000000000008</v>
      </c>
      <c r="EK48" s="18">
        <f>EJ48*VLOOKUP('Données projet'!$B$15,Paramètres!$A$1:$I$89,3,0)*VLOOKUP('Données projet'!$B$15,Paramètres!$A$1:$I$89,5,0)</f>
        <v>200.31206000000006</v>
      </c>
      <c r="EL48" s="14">
        <f t="shared" si="45"/>
        <v>49.81274284404499</v>
      </c>
      <c r="EM48" s="22">
        <f t="shared" si="19"/>
        <v>435.63403162004511</v>
      </c>
      <c r="EN48" s="62">
        <f t="shared" si="20"/>
        <v>687.26078917087921</v>
      </c>
      <c r="EO48" s="62">
        <f ca="1">AVERAGE(OFFSET($EN$3,0,0,'Données projet'!$E$15+1,1))-AVERAGE(OFFSET($H$3,0,0,'Données projet'!$E$15+1,1))</f>
        <v>281.21543175875604</v>
      </c>
      <c r="EP48" s="62">
        <f t="shared" si="46"/>
        <v>366.68536296857428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14.724125198251798</v>
      </c>
      <c r="EW48" s="23">
        <f>EXP(-LN(2)/25)*EW47+(1-EXP(-LN(2)/25))/(LN(2)/25)*Calculateur!ER48*Calculateur!ET48*VLOOKUP('Données projet'!$B$15,Paramètres!$A$1:$I$89,3,0)*0.475*44/12</f>
        <v>8.1039826875064556</v>
      </c>
      <c r="EX48" s="23">
        <f>EXP(-LN(2)/2)*EX47+(1-EXP(-LN(2)/2))/(LN(2)/2)*ER48*EU48*VLOOKUP('Données projet'!$B$15,Paramètres!$A$1:$I$89,3,0)*0.475*44/12</f>
        <v>9.9716409011637919E-2</v>
      </c>
      <c r="EY48" s="24">
        <f t="shared" si="21"/>
        <v>22.927824294769891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265.58</v>
      </c>
      <c r="FC48" s="13">
        <f>VLOOKUP(A48,'Données projet'!$A$217:$I$237,9,0)</f>
        <v>13.968999999999999</v>
      </c>
      <c r="FD48" s="13">
        <f t="array" ref="FD48">INDEX(FC:FC,MIN(IF(ISNUMBER(FC48:FC244),ROW(FC48:FC244),"")))</f>
        <v>13.968999999999999</v>
      </c>
      <c r="FE48" s="13">
        <f>IF('Données projet'!$A$218&gt;35,FE47+FD48-FM47,IF(A48&lt;'Données projet'!$A$218,$FB$205^A48,IF(A48='Données projet'!$A$218,'Données projet'!$B$218,FE47+FD48-FM47)))</f>
        <v>265.58</v>
      </c>
      <c r="FF48" s="18">
        <f>FE48*VLOOKUP('Données projet'!$B$16,Paramètres!$A$1:$I$89,3,0)*VLOOKUP('Données projet'!$B$16,Paramètres!$A$1:$I$89,5,0)</f>
        <v>148.45921999999999</v>
      </c>
      <c r="FG48" s="14">
        <f t="shared" si="47"/>
        <v>38.228227706174572</v>
      </c>
      <c r="FH48" s="22">
        <f t="shared" si="22"/>
        <v>325.1473047549207</v>
      </c>
      <c r="FI48" s="62">
        <f t="shared" si="23"/>
        <v>576.7740623057548</v>
      </c>
      <c r="FJ48" s="62">
        <f ca="1">AVERAGE(OFFSET($FI$3,0,0,'Données projet'!$E$16+1,1))-AVERAGE(OFFSET($H$3,0,0,'Données projet'!$E$16+1,1))</f>
        <v>280.9225643428145</v>
      </c>
      <c r="FK48" s="62">
        <f t="shared" si="48"/>
        <v>236.89414218053955</v>
      </c>
      <c r="FL48" s="16">
        <f>IF(ISNA(VLOOKUP(A48,'Données projet'!$A$217:$I$237,3,0)),0,VLOOKUP(A48,'Données projet'!$A$217:$I$237,3,0))</f>
        <v>5</v>
      </c>
      <c r="FM48" s="16">
        <f>IF(ISNA(VLOOKUP(A48,'Données projet'!$A$217:$I$237,4,0)),0,VLOOKUP(A48,'Données projet'!$A$217:$I$237,4,0))</f>
        <v>63.74</v>
      </c>
      <c r="FN48" s="17">
        <f>IF(ISNA(VLOOKUP(A48,'Données projet'!$A$217:$I$237,5,0)),0%,VLOOKUP(A48,'Données projet'!$A$217:$I$237,5,0)*VLOOKUP('Données projet'!$B$16,Paramètres!$A$1:$I$89,7,0))</f>
        <v>0.38500000000000001</v>
      </c>
      <c r="FO48" s="17">
        <f>IF(ISNA(VLOOKUP(A48,'Données projet'!$A$217:$I$237,6,0)),0%,VLOOKUP(A48,'Données projet'!$A$217:$I$237,6,0)*VLOOKUP('Données projet'!$B$16,Paramètres!$A$1:$I$89,7,0))</f>
        <v>0.11000000000000001</v>
      </c>
      <c r="FP48" s="17">
        <f>IF(ISNA(VLOOKUP(A48,'Données projet'!$A$217:$I$237,7,0)),0%,VLOOKUP(A48,'Données projet'!$A$217:$I$237,7,0))</f>
        <v>0.1</v>
      </c>
      <c r="FQ48" s="23">
        <f>EXP(-LN(2)/35)*FQ47+(1-EXP(-LN(2)/35))/(LN(2)/35)*FM48*FN48*VLOOKUP('Données projet'!$B$16,Paramètres!$A$1:$I$89,3,0)*0.475*44/12</f>
        <v>18.197551325742793</v>
      </c>
      <c r="FR48" s="23">
        <f>EXP(-LN(2)/25)*FR47+(1-EXP(-LN(2)/25))/(LN(2)/25)*Calculateur!FM48*Calculateur!FO48*VLOOKUP('Données projet'!$B$16,Paramètres!$A$1:$I$89,3,0)*0.475*44/12</f>
        <v>34.810771012221728</v>
      </c>
      <c r="FS48" s="23">
        <f>EXP(-LN(2)/2)*FS47+(1-EXP(-LN(2)/2))/(LN(2)/2)*FM48*FP48*VLOOKUP('Données projet'!$B$16,Paramètres!$A$1:$I$89,3,0)*0.475*44/12</f>
        <v>4.2369789424746438</v>
      </c>
      <c r="FT48" s="24">
        <f t="shared" si="24"/>
        <v>57.245301280439165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379.51</v>
      </c>
      <c r="FX48" s="13">
        <f>VLOOKUP(A48,'Données projet'!$A$243:$I$263,9,0)</f>
        <v>13.291999999999996</v>
      </c>
      <c r="FY48" s="13">
        <f t="array" ref="FY48">INDEX(FX:FX,MIN(IF(ISNUMBER(FX48:FX244),ROW(FX48:FX244),"")))</f>
        <v>13.291999999999996</v>
      </c>
      <c r="FZ48" s="13">
        <f>IF('Données projet'!$A$244&gt;35,FZ47+FY48-GH47,IF(A48&lt;'Données projet'!$A$244,$FW$205^A48,IF(A48='Données projet'!$A$244,'Données projet'!$B$244,FZ47+FY48-GH47)))</f>
        <v>379.50999999999965</v>
      </c>
      <c r="GA48" s="18">
        <f>FZ48*VLOOKUP('Données projet'!$B$17,Paramètres!$A$1:$I$89,3,0)*VLOOKUP('Données projet'!$B$17,Paramètres!$A$1:$I$89,5,0)</f>
        <v>167.74341999999987</v>
      </c>
      <c r="GB48" s="14">
        <f t="shared" si="49"/>
        <v>42.584232345303811</v>
      </c>
      <c r="GC48" s="22">
        <f t="shared" si="25"/>
        <v>366.32066116807056</v>
      </c>
      <c r="GD48" s="62">
        <f t="shared" si="26"/>
        <v>617.94741871890471</v>
      </c>
      <c r="GE48" s="62">
        <f ca="1">AVERAGE(OFFSET($GD$3,0,0,'Données projet'!$E$17+1,1))-AVERAGE(OFFSET($H$3,0,0,'Données projet'!$E$17+1,1))</f>
        <v>325.67421864225201</v>
      </c>
      <c r="GF48" s="62">
        <f t="shared" si="50"/>
        <v>542.01920418736745</v>
      </c>
      <c r="GG48" s="16">
        <f>IF(ISNA(VLOOKUP(A48,'Données projet'!$A$243:$I$263,3,0)),0,VLOOKUP(A48,'Données projet'!$A$243:$I$263,3,0))</f>
        <v>6</v>
      </c>
      <c r="GH48" s="16">
        <f>IF(ISNA(VLOOKUP(A48,'Données projet'!$A$243:$I$263,4,0)),0,VLOOKUP(A48,'Données projet'!$A$243:$I$263,4,0))</f>
        <v>81.59</v>
      </c>
      <c r="GI48" s="17">
        <f>IF(ISNA(VLOOKUP(A48,'Données projet'!$A$243:$I$263,5,0)),0%,VLOOKUP(A48,'Données projet'!$A$243:$I$263,5,0)*VLOOKUP('Données projet'!$B$17,Paramètres!$A$1:$I$89,7,0))</f>
        <v>0.38500000000000001</v>
      </c>
      <c r="GJ48" s="17">
        <f>IF(ISNA(VLOOKUP(A48,'Données projet'!$A$243:$I$263,6,0)),0%,VLOOKUP(A48,'Données projet'!$A$243:$I$263,6,0)*VLOOKUP('Données projet'!$B$17,Paramètres!$A$1:$I$89,7,0))</f>
        <v>0.11000000000000001</v>
      </c>
      <c r="GK48" s="17">
        <f>IF(ISNA(VLOOKUP(A48,'Données projet'!$A$243:$I$263,7,0)),0%,VLOOKUP(A48,'Données projet'!$A$243:$I$263,7,0))</f>
        <v>0.1</v>
      </c>
      <c r="GL48" s="23">
        <f>EXP(-LN(2)/35)*GL47+(1-EXP(-LN(2)/35))/(LN(2)/35)*GH48*GI48*VLOOKUP('Données projet'!$B$17,Paramètres!$A$1:$I$89,3,0)*0.475*44/12</f>
        <v>18.418246813249343</v>
      </c>
      <c r="GM48" s="23">
        <f>EXP(-LN(2)/25)*GM47+(1-EXP(-LN(2)/25))/(LN(2)/25)*Calculateur!GH48*Calculateur!GJ48*VLOOKUP('Données projet'!$B$17,Paramètres!$A$1:$I$89,3,0)*0.475*44/12</f>
        <v>107.3275219616684</v>
      </c>
      <c r="GN48" s="23">
        <f>EXP(-LN(2)/2)*GN47+(1-EXP(-LN(2)/2))/(LN(2)/2)*GH48*GK48*VLOOKUP('Données projet'!$B$17,Paramètres!$A$1:$I$89,3,0)*0.475*44/12</f>
        <v>6.5170999951652258</v>
      </c>
      <c r="GO48" s="23">
        <f t="shared" si="27"/>
        <v>132.26286877008297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56.31</v>
      </c>
      <c r="GS48" s="13">
        <f>VLOOKUP(A48,'Données projet'!$A$269:$I$289,9,0)</f>
        <v>2.8820000000000006</v>
      </c>
      <c r="GT48" s="13">
        <f t="array" ref="GT48">INDEX(GS:GS,MIN(IF(ISNUMBER(GS48:GS244),ROW(GS48:GS244),"")))</f>
        <v>2.8820000000000006</v>
      </c>
      <c r="GU48" s="13">
        <f>IF('Données projet'!$A$270&gt;35,GU47+GT48-HC47,IF(A48&lt;'Données projet'!$A$270,$GR$205^A48,IF(A48='Données projet'!$A$270,'Données projet'!$B$270,GU47+GT48-HC47)))</f>
        <v>56.309999999999981</v>
      </c>
      <c r="GV48" s="18">
        <f>GU48*VLOOKUP('Données projet'!$B$18,Paramètres!$A$1:$I$89,3,0)*VLOOKUP('Données projet'!$B$18,Paramètres!$A$1:$I$89,5,0)</f>
        <v>57.098339999999979</v>
      </c>
      <c r="GW48" s="14">
        <f t="shared" si="51"/>
        <v>16.432535298816536</v>
      </c>
      <c r="GX48" s="22">
        <f t="shared" si="28"/>
        <v>128.06627447877207</v>
      </c>
      <c r="GY48" s="62">
        <f t="shared" si="29"/>
        <v>379.69303202960623</v>
      </c>
      <c r="GZ48" s="62">
        <f ca="1">AVERAGE(OFFSET($GY$3,0,0,'Données projet'!$E$18+1,1))-AVERAGE(OFFSET($H$3,0,0,'Données projet'!$E$18+1,1))</f>
        <v>220.89224520315713</v>
      </c>
      <c r="HA48" s="62">
        <f t="shared" si="52"/>
        <v>141.82763623159096</v>
      </c>
      <c r="HB48" s="16">
        <f>IF(ISNA(VLOOKUP(A48,'Données projet'!$A$269:$I$289,3,0)),0,VLOOKUP(A48,'Données projet'!$A$269:$I$289,3,0))</f>
        <v>4</v>
      </c>
      <c r="HC48" s="16">
        <f>IF(ISNA(VLOOKUP(A48,'Données projet'!$A$269:$I$289,4,0)),0,VLOOKUP(A48,'Données projet'!$A$269:$I$289,4,0))</f>
        <v>15.02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1.0626666666666666</v>
      </c>
      <c r="N49" s="14">
        <f>IF('Données projet'!$A$36&gt;35,N48+M49-V48,IF(A49&lt;'Données projet'!$A$36,$K$205^A49,IF(A49='Données projet'!$A$36,'Données projet'!$B$36,N48+M49-V48)))</f>
        <v>21.529333333333327</v>
      </c>
      <c r="O49" s="14">
        <f>N49*VLOOKUP('Données projet'!$B$9,Paramètres!$A$1:$I$89,3,0)*VLOOKUP('Données projet'!$B$9,Paramètres!$A$1:$I$89,5,0)</f>
        <v>20.823171199999994</v>
      </c>
      <c r="P49" s="14">
        <f t="shared" si="33"/>
        <v>6.7393820826498443</v>
      </c>
      <c r="Q49" s="22">
        <f t="shared" si="53"/>
        <v>48.004780300615131</v>
      </c>
      <c r="R49" s="62">
        <f t="shared" si="0"/>
        <v>300.35505369934077</v>
      </c>
      <c r="S49" s="62">
        <f ca="1">AVERAGE(OFFSET($R$3,0,0,'Données projet'!$E$9+1,1))-AVERAGE(OFFSET($H$3,0,0,'Données projet'!$E$9+1,1))</f>
        <v>84.959354125980269</v>
      </c>
      <c r="T49" s="62">
        <f t="shared" si="34"/>
        <v>89.658970210276806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8.4538157512264928E-2</v>
      </c>
      <c r="AC49" s="24">
        <f t="shared" si="3"/>
        <v>8.4538157512264928E-2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6.5376666666666665</v>
      </c>
      <c r="AI49" s="14">
        <f>IF('Données projet'!$A$62&gt;35,AI48+AH49-AQ48,IF(A49&lt;'Données projet'!$A$62,$AF$205^A49,IF(A49='Données projet'!$A$62,'Données projet'!$B$62,AI48+AH49-AQ48)))</f>
        <v>147.17266666666669</v>
      </c>
      <c r="AJ49" s="14">
        <f>AI49*VLOOKUP('Données projet'!$B$10,Paramètres!$A$1:$I$89,3,0)*VLOOKUP('Données projet'!$B$10,Paramètres!$A$1:$I$89,5,0)</f>
        <v>140.04950960000002</v>
      </c>
      <c r="AK49" s="14">
        <f t="shared" si="35"/>
        <v>36.308347215723707</v>
      </c>
      <c r="AL49" s="22">
        <f t="shared" si="4"/>
        <v>307.15660062071885</v>
      </c>
      <c r="AM49" s="62">
        <f t="shared" si="5"/>
        <v>559.50687401944447</v>
      </c>
      <c r="AN49" s="62">
        <f ca="1">AVERAGE(OFFSET($AM$3,0,0,'Données projet'!$E$10+1,1))-AVERAGE(OFFSET($H$3,0,0,'Données projet'!$E$10+1,1))</f>
        <v>592.76231355549089</v>
      </c>
      <c r="AO49" s="62">
        <f t="shared" si="36"/>
        <v>200.66895551079014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2.9537812423065266</v>
      </c>
      <c r="AW49" s="23">
        <f>EXP(-LN(2)/2)*AW48+(1-EXP(-LN(2)/2))/(LN(2)/2)*AQ49*AT49*VLOOKUP('Données projet'!$B$10,Paramètres!$A$1:$I$89,3,0)*0.475*44/12</f>
        <v>1.9567916357257079E-2</v>
      </c>
      <c r="AX49" s="23">
        <f t="shared" si="6"/>
        <v>2.9733491586637837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4.4620000000000006</v>
      </c>
      <c r="BD49" s="13">
        <f>IF('Données projet'!$A$88&gt;35,BD48+BC49-BL48,IF(A49&lt;'Données projet'!$A$88,$BA$205^A49,IF(A49='Données projet'!$A$88,'Données projet'!$B$88,BD48+BC49-BL48)))</f>
        <v>67.341999999999999</v>
      </c>
      <c r="BE49" s="14">
        <f>BD49*VLOOKUP('Données projet'!$B$11,Paramètres!$A$1:$I$89,3,0)*VLOOKUP('Données projet'!$B$11,Paramètres!$A$1:$I$89,5,0)</f>
        <v>60.931041599999993</v>
      </c>
      <c r="BF49" s="14">
        <f t="shared" si="37"/>
        <v>17.403454168976385</v>
      </c>
      <c r="BG49" s="22">
        <f t="shared" si="7"/>
        <v>136.43258013096718</v>
      </c>
      <c r="BH49" s="62">
        <f t="shared" si="8"/>
        <v>388.78285352969283</v>
      </c>
      <c r="BI49" s="62">
        <f ca="1">AVERAGE(OFFSET($BH$3,0,0,'Données projet'!$E$11+1,1))-AVERAGE(OFFSET($H$3,0,0,'Données projet'!$E$11+1,1))</f>
        <v>316.71836722354374</v>
      </c>
      <c r="BJ49" s="62">
        <f t="shared" si="38"/>
        <v>164.34067012996618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4.7512190392505822</v>
      </c>
      <c r="BS49" s="24">
        <f t="shared" si="9"/>
        <v>4.7512190392505822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6.5780000000000003</v>
      </c>
      <c r="BY49" s="13">
        <f>IF('Données projet'!$A$114&gt;35,BY48+BX49-CG48,IF(A49&lt;'Données projet'!$A$114,$BV$205^A49,IF(A49='Données projet'!$A$114,'Données projet'!$B$114,BY48+BX49-CG48)))</f>
        <v>146.48799999999989</v>
      </c>
      <c r="BZ49" s="14">
        <f>BY49*VLOOKUP('Données projet'!$B$12,Paramètres!$A$1:$I$89,3,0)*VLOOKUP('Données projet'!$B$12,Paramètres!$A$1:$I$89,5,0)</f>
        <v>166.82053439999987</v>
      </c>
      <c r="CA49" s="14">
        <f t="shared" si="39"/>
        <v>42.377148494683965</v>
      </c>
      <c r="CB49" s="22">
        <f t="shared" si="10"/>
        <v>364.3526310415744</v>
      </c>
      <c r="CC49" s="62">
        <f t="shared" si="11"/>
        <v>616.70290444030002</v>
      </c>
      <c r="CD49" s="62">
        <f ca="1">AVERAGE(OFFSET($CC$3,0,0,'Données projet'!$E$12+1,1))-AVERAGE(OFFSET($H$3,0,0,'Données projet'!$E$12+1,1))</f>
        <v>454.9779384236806</v>
      </c>
      <c r="CE49" s="62">
        <f t="shared" si="40"/>
        <v>379.32753348721906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6.3882724065788263</v>
      </c>
      <c r="CM49" s="23">
        <f>EXP(-LN(2)/2)*CM48+(1-EXP(-LN(2)/2))/(LN(2)/2)*CG49*CJ49*VLOOKUP('Données projet'!$B$12,Paramètres!$A$1:$I$89,3,0)*0.475*44/12</f>
        <v>7.1417726898142053</v>
      </c>
      <c r="CN49" s="24">
        <f t="shared" si="12"/>
        <v>13.530045096393032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8.863999999999999</v>
      </c>
      <c r="CT49" s="13">
        <f>IF('Données projet'!$A$140&gt;35,CT48+CS49-DB48,IF(A49&lt;'Données projet'!$A$140,$CQ$205^A49,IF(A49='Données projet'!$A$140,'Données projet'!$B$140,CT48+CS49-DB48)))</f>
        <v>156.94400000000002</v>
      </c>
      <c r="CU49" s="18">
        <f>CT49*VLOOKUP('Données projet'!$B$13,Paramètres!$A$1:$I$89,3,0)*VLOOKUP('Données projet'!$B$13,Paramètres!$A$1:$I$89,5,0)</f>
        <v>122.41632000000001</v>
      </c>
      <c r="CV49" s="14">
        <f t="shared" si="41"/>
        <v>32.237910697839446</v>
      </c>
      <c r="CW49" s="22">
        <f t="shared" si="13"/>
        <v>269.35611846540371</v>
      </c>
      <c r="CX49" s="62">
        <f t="shared" si="14"/>
        <v>521.70639186412939</v>
      </c>
      <c r="CY49" s="62">
        <f ca="1">AVERAGE(OFFSET($CX$3,0,0,'Données projet'!$E$13+1,1))-AVERAGE(OFFSET($H$3,0,0,'Données projet'!$E$13+1,1))</f>
        <v>252.10592533338991</v>
      </c>
      <c r="CZ49" s="62">
        <f t="shared" si="42"/>
        <v>272.71831345325313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22.921369472800528</v>
      </c>
      <c r="DH49" s="23">
        <f>EXP(-LN(2)/2)*DH48+(1-EXP(-LN(2)/2))/(LN(2)/2)*DB49*DE49*VLOOKUP('Données projet'!$B$13,Paramètres!$A$1:$I$89,3,0)*0.475*44/12</f>
        <v>2.4142654813718587</v>
      </c>
      <c r="DI49" s="24">
        <f t="shared" si="15"/>
        <v>25.335634954172388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18.184999999999995</v>
      </c>
      <c r="DO49" s="13">
        <f>IF('Données projet'!$A$166&gt;35,DO48+DN49-DW48,IF(A49&lt;'Données projet'!$A$166,$DL$205^A49,IF(A49='Données projet'!$A$166,'Données projet'!$B$166,DO48+DN49-DW48)))</f>
        <v>257.86500000000012</v>
      </c>
      <c r="DP49" s="18">
        <f>DO49*VLOOKUP('Données projet'!$B$14,Paramètres!$A$1:$I$89,3,0)*VLOOKUP('Données projet'!$B$14,Paramètres!$A$1:$I$89,5,0)</f>
        <v>154.20327000000009</v>
      </c>
      <c r="DQ49" s="14">
        <f t="shared" si="43"/>
        <v>39.532251999995502</v>
      </c>
      <c r="DR49" s="22">
        <f t="shared" si="16"/>
        <v>337.42270081665902</v>
      </c>
      <c r="DS49" s="62">
        <f t="shared" si="17"/>
        <v>589.77297421538469</v>
      </c>
      <c r="DT49" s="62">
        <f ca="1">AVERAGE(OFFSET($DS$3,0,0,'Données projet'!$E$14+1,1))-AVERAGE(OFFSET($H$3,0,0,'Données projet'!$E$14+1,1))</f>
        <v>423.0896575168394</v>
      </c>
      <c r="DU49" s="62">
        <f t="shared" si="44"/>
        <v>305.98537395014284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47.535800129328692</v>
      </c>
      <c r="EC49" s="23">
        <f>EXP(-LN(2)/2)*EC48+(1-EXP(-LN(2)/2))/(LN(2)/2)*DW49*DZ49*VLOOKUP('Données projet'!$B$14,Paramètres!$A$1:$I$89,3,0)*0.475*44/12</f>
        <v>11.046352709316649</v>
      </c>
      <c r="ED49" s="24">
        <f t="shared" si="18"/>
        <v>58.582152838645342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10.086</v>
      </c>
      <c r="EJ49" s="13">
        <f>IF('Données projet'!$A$192&gt;35,EJ48+EI49-ER48,IF(A49&lt;'Données projet'!$A$192,$EG$205^A49,IF(A49='Données projet'!$A$192,'Données projet'!$B$192,EJ48+EI49-ER48)))</f>
        <v>345.0560000000001</v>
      </c>
      <c r="EK49" s="18">
        <f>EJ49*VLOOKUP('Données projet'!$B$15,Paramètres!$A$1:$I$89,3,0)*VLOOKUP('Données projet'!$B$15,Paramètres!$A$1:$I$89,5,0)</f>
        <v>206.34348800000009</v>
      </c>
      <c r="EL49" s="14">
        <f t="shared" si="45"/>
        <v>51.135730806270395</v>
      </c>
      <c r="EM49" s="22">
        <f t="shared" si="19"/>
        <v>448.44297275425441</v>
      </c>
      <c r="EN49" s="62">
        <f t="shared" si="20"/>
        <v>700.79324615298003</v>
      </c>
      <c r="EO49" s="62">
        <f ca="1">AVERAGE(OFFSET($EN$3,0,0,'Données projet'!$E$15+1,1))-AVERAGE(OFFSET($H$3,0,0,'Données projet'!$E$15+1,1))</f>
        <v>281.21543175875604</v>
      </c>
      <c r="EP49" s="62">
        <f t="shared" si="46"/>
        <v>366.68536296857428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14.435394083943669</v>
      </c>
      <c r="EW49" s="23">
        <f>EXP(-LN(2)/25)*EW48+(1-EXP(-LN(2)/25))/(LN(2)/25)*Calculateur!ER49*Calculateur!ET49*VLOOKUP('Données projet'!$B$15,Paramètres!$A$1:$I$89,3,0)*0.475*44/12</f>
        <v>7.8823788547466638</v>
      </c>
      <c r="EX49" s="23">
        <f>EXP(-LN(2)/2)*EX48+(1-EXP(-LN(2)/2))/(LN(2)/2)*ER49*EU49*VLOOKUP('Données projet'!$B$15,Paramètres!$A$1:$I$89,3,0)*0.475*44/12</f>
        <v>7.0510149007700529E-2</v>
      </c>
      <c r="EY49" s="24">
        <f t="shared" si="21"/>
        <v>22.388283087698031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14.748000000000001</v>
      </c>
      <c r="FE49" s="13">
        <f>IF('Données projet'!$A$218&gt;35,FE48+FD49-FM48,IF(A49&lt;'Données projet'!$A$218,$FB$205^A49,IF(A49='Données projet'!$A$218,'Données projet'!$B$218,FE48+FD49-FM48)))</f>
        <v>216.58799999999997</v>
      </c>
      <c r="FF49" s="18">
        <f>FE49*VLOOKUP('Données projet'!$B$16,Paramètres!$A$1:$I$89,3,0)*VLOOKUP('Données projet'!$B$16,Paramètres!$A$1:$I$89,5,0)</f>
        <v>121.07269199999999</v>
      </c>
      <c r="FG49" s="14">
        <f t="shared" si="47"/>
        <v>31.925057356865896</v>
      </c>
      <c r="FH49" s="22">
        <f t="shared" si="22"/>
        <v>266.47108012987468</v>
      </c>
      <c r="FI49" s="62">
        <f t="shared" si="23"/>
        <v>518.8213535286003</v>
      </c>
      <c r="FJ49" s="62">
        <f ca="1">AVERAGE(OFFSET($FI$3,0,0,'Données projet'!$E$16+1,1))-AVERAGE(OFFSET($H$3,0,0,'Données projet'!$E$16+1,1))</f>
        <v>280.9225643428145</v>
      </c>
      <c r="FK49" s="62">
        <f t="shared" si="48"/>
        <v>236.89414218053955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17.840708443655309</v>
      </c>
      <c r="FR49" s="23">
        <f>EXP(-LN(2)/25)*FR48+(1-EXP(-LN(2)/25))/(LN(2)/25)*Calculateur!FM49*Calculateur!FO49*VLOOKUP('Données projet'!$B$16,Paramètres!$A$1:$I$89,3,0)*0.475*44/12</f>
        <v>33.858868648273642</v>
      </c>
      <c r="FS49" s="23">
        <f>EXP(-LN(2)/2)*FS48+(1-EXP(-LN(2)/2))/(LN(2)/2)*FM49*FP49*VLOOKUP('Données projet'!$B$16,Paramètres!$A$1:$I$89,3,0)*0.475*44/12</f>
        <v>2.9959965419684278</v>
      </c>
      <c r="FT49" s="24">
        <f t="shared" si="24"/>
        <v>54.695573633897382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10.706000000000007</v>
      </c>
      <c r="FZ49" s="13">
        <f>IF('Données projet'!$A$244&gt;35,FZ48+FY49-GH48,IF(A49&lt;'Données projet'!$A$244,$FW$205^A49,IF(A49='Données projet'!$A$244,'Données projet'!$B$244,FZ48+FY49-GH48)))</f>
        <v>308.62599999999964</v>
      </c>
      <c r="GA49" s="18">
        <f>FZ49*VLOOKUP('Données projet'!$B$17,Paramètres!$A$1:$I$89,3,0)*VLOOKUP('Données projet'!$B$17,Paramètres!$A$1:$I$89,5,0)</f>
        <v>136.41269199999985</v>
      </c>
      <c r="GB49" s="14">
        <f t="shared" si="49"/>
        <v>35.473966210526214</v>
      </c>
      <c r="GC49" s="22">
        <f t="shared" si="25"/>
        <v>299.36926304999957</v>
      </c>
      <c r="GD49" s="62">
        <f t="shared" si="26"/>
        <v>551.71953644872519</v>
      </c>
      <c r="GE49" s="62">
        <f ca="1">AVERAGE(OFFSET($GD$3,0,0,'Données projet'!$E$17+1,1))-AVERAGE(OFFSET($H$3,0,0,'Données projet'!$E$17+1,1))</f>
        <v>325.67421864225201</v>
      </c>
      <c r="GF49" s="62">
        <f t="shared" si="50"/>
        <v>542.01920418736745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18.057076227262812</v>
      </c>
      <c r="GM49" s="23">
        <f>EXP(-LN(2)/25)*GM48+(1-EXP(-LN(2)/25))/(LN(2)/25)*Calculateur!GH49*Calculateur!GJ49*VLOOKUP('Données projet'!$B$17,Paramètres!$A$1:$I$89,3,0)*0.475*44/12</f>
        <v>104.3926452295175</v>
      </c>
      <c r="GN49" s="23">
        <f>EXP(-LN(2)/2)*GN48+(1-EXP(-LN(2)/2))/(LN(2)/2)*GH49*GK49*VLOOKUP('Données projet'!$B$17,Paramètres!$A$1:$I$89,3,0)*0.475*44/12</f>
        <v>4.608285600252148</v>
      </c>
      <c r="GO49" s="23">
        <f t="shared" si="27"/>
        <v>127.05800705703246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2.8959999999999995</v>
      </c>
      <c r="GU49" s="13">
        <f>IF('Données projet'!$A$270&gt;35,GU48+GT49-HC48,IF(A49&lt;'Données projet'!$A$270,$GR$205^A49,IF(A49='Données projet'!$A$270,'Données projet'!$B$270,GU48+GT49-HC48)))</f>
        <v>44.185999999999979</v>
      </c>
      <c r="GV49" s="18">
        <f>GU49*VLOOKUP('Données projet'!$B$18,Paramètres!$A$1:$I$89,3,0)*VLOOKUP('Données projet'!$B$18,Paramètres!$A$1:$I$89,5,0)</f>
        <v>44.804603999999976</v>
      </c>
      <c r="GW49" s="14">
        <f t="shared" si="51"/>
        <v>13.263579731676312</v>
      </c>
      <c r="GX49" s="22">
        <f t="shared" si="28"/>
        <v>101.13541999933619</v>
      </c>
      <c r="GY49" s="62">
        <f t="shared" si="29"/>
        <v>353.48569339806181</v>
      </c>
      <c r="GZ49" s="62">
        <f ca="1">AVERAGE(OFFSET($GY$3,0,0,'Données projet'!$E$18+1,1))-AVERAGE(OFFSET($H$3,0,0,'Données projet'!$E$18+1,1))</f>
        <v>220.89224520315713</v>
      </c>
      <c r="HA49" s="62">
        <f t="shared" si="52"/>
        <v>141.82763623159096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1.0626666666666666</v>
      </c>
      <c r="N50" s="14">
        <f>IF('Données projet'!$A$36&gt;35,N49+M50-V49,IF(A50&lt;'Données projet'!$A$36,$K$205^A50,IF(A50='Données projet'!$A$36,'Données projet'!$B$36,N49+M50-V49)))</f>
        <v>22.591999999999992</v>
      </c>
      <c r="O50" s="14">
        <f>N50*VLOOKUP('Données projet'!$B$9,Paramètres!$A$1:$I$89,3,0)*VLOOKUP('Données projet'!$B$9,Paramètres!$A$1:$I$89,5,0)</f>
        <v>21.850982399999992</v>
      </c>
      <c r="P50" s="14">
        <f t="shared" si="33"/>
        <v>7.0324817128918982</v>
      </c>
      <c r="Q50" s="22">
        <f t="shared" si="53"/>
        <v>50.305366663286712</v>
      </c>
      <c r="R50" s="62">
        <f t="shared" si="0"/>
        <v>303.36660452748208</v>
      </c>
      <c r="S50" s="62">
        <f ca="1">AVERAGE(OFFSET($R$3,0,0,'Données projet'!$E$9+1,1))-AVERAGE(OFFSET($H$3,0,0,'Données projet'!$E$9+1,1))</f>
        <v>84.959354125980269</v>
      </c>
      <c r="T50" s="62">
        <f t="shared" si="34"/>
        <v>89.658970210276806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5.977750444593901E-2</v>
      </c>
      <c r="AC50" s="24">
        <f t="shared" si="3"/>
        <v>5.977750444593901E-2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6.5376666666666665</v>
      </c>
      <c r="AI50" s="14">
        <f>IF('Données projet'!$A$62&gt;35,AI49+AH50-AQ49,IF(A50&lt;'Données projet'!$A$62,$AF$205^A50,IF(A50='Données projet'!$A$62,'Données projet'!$B$62,AI49+AH50-AQ49)))</f>
        <v>153.71033333333335</v>
      </c>
      <c r="AJ50" s="14">
        <f>AI50*VLOOKUP('Données projet'!$B$10,Paramètres!$A$1:$I$89,3,0)*VLOOKUP('Données projet'!$B$10,Paramètres!$A$1:$I$89,5,0)</f>
        <v>146.2707532</v>
      </c>
      <c r="AK50" s="14">
        <f t="shared" si="35"/>
        <v>37.729863140729627</v>
      </c>
      <c r="AL50" s="22">
        <f t="shared" si="4"/>
        <v>320.46774012677076</v>
      </c>
      <c r="AM50" s="62">
        <f t="shared" si="5"/>
        <v>573.52897799096615</v>
      </c>
      <c r="AN50" s="62">
        <f ca="1">AVERAGE(OFFSET($AM$3,0,0,'Données projet'!$E$10+1,1))-AVERAGE(OFFSET($H$3,0,0,'Données projet'!$E$10+1,1))</f>
        <v>592.76231355549089</v>
      </c>
      <c r="AO50" s="62">
        <f t="shared" si="36"/>
        <v>200.66895551079014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2.8730099389030501</v>
      </c>
      <c r="AW50" s="23">
        <f>EXP(-LN(2)/2)*AW49+(1-EXP(-LN(2)/2))/(LN(2)/2)*AQ50*AT50*VLOOKUP('Données projet'!$B$10,Paramètres!$A$1:$I$89,3,0)*0.475*44/12</f>
        <v>1.3836606349907646E-2</v>
      </c>
      <c r="AX50" s="23">
        <f t="shared" si="6"/>
        <v>2.8868465452529577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4.4620000000000006</v>
      </c>
      <c r="BD50" s="13">
        <f>IF('Données projet'!$A$88&gt;35,BD49+BC50-BL49,IF(A50&lt;'Données projet'!$A$88,$BA$205^A50,IF(A50='Données projet'!$A$88,'Données projet'!$B$88,BD49+BC50-BL49)))</f>
        <v>71.804000000000002</v>
      </c>
      <c r="BE50" s="14">
        <f>BD50*VLOOKUP('Données projet'!$B$11,Paramètres!$A$1:$I$89,3,0)*VLOOKUP('Données projet'!$B$11,Paramètres!$A$1:$I$89,5,0)</f>
        <v>64.968259199999991</v>
      </c>
      <c r="BF50" s="14">
        <f t="shared" si="37"/>
        <v>18.418526015355571</v>
      </c>
      <c r="BG50" s="22">
        <f t="shared" si="7"/>
        <v>145.2319842500776</v>
      </c>
      <c r="BH50" s="62">
        <f t="shared" si="8"/>
        <v>398.29322211427302</v>
      </c>
      <c r="BI50" s="62">
        <f ca="1">AVERAGE(OFFSET($BH$3,0,0,'Données projet'!$E$11+1,1))-AVERAGE(OFFSET($H$3,0,0,'Données projet'!$E$11+1,1))</f>
        <v>316.71836722354374</v>
      </c>
      <c r="BJ50" s="62">
        <f t="shared" si="38"/>
        <v>164.34067012996618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3.3596192015567201</v>
      </c>
      <c r="BS50" s="24">
        <f t="shared" si="9"/>
        <v>3.3596192015567201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6.5780000000000003</v>
      </c>
      <c r="BY50" s="13">
        <f>IF('Données projet'!$A$114&gt;35,BY49+BX50-CG49,IF(A50&lt;'Données projet'!$A$114,$BV$205^A50,IF(A50='Données projet'!$A$114,'Données projet'!$B$114,BY49+BX50-CG49)))</f>
        <v>153.06599999999989</v>
      </c>
      <c r="BZ50" s="14">
        <f>BY50*VLOOKUP('Données projet'!$B$12,Paramètres!$A$1:$I$89,3,0)*VLOOKUP('Données projet'!$B$12,Paramètres!$A$1:$I$89,5,0)</f>
        <v>174.31156079999988</v>
      </c>
      <c r="CA50" s="14">
        <f t="shared" si="39"/>
        <v>44.054257685967485</v>
      </c>
      <c r="CB50" s="22">
        <f t="shared" si="10"/>
        <v>380.32046719639311</v>
      </c>
      <c r="CC50" s="62">
        <f t="shared" si="11"/>
        <v>633.3817050605885</v>
      </c>
      <c r="CD50" s="62">
        <f ca="1">AVERAGE(OFFSET($CC$3,0,0,'Données projet'!$E$12+1,1))-AVERAGE(OFFSET($H$3,0,0,'Données projet'!$E$12+1,1))</f>
        <v>454.9779384236806</v>
      </c>
      <c r="CE50" s="62">
        <f t="shared" si="40"/>
        <v>379.32753348721906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6.2135847616762829</v>
      </c>
      <c r="CM50" s="23">
        <f>EXP(-LN(2)/2)*CM49+(1-EXP(-LN(2)/2))/(LN(2)/2)*CG50*CJ50*VLOOKUP('Données projet'!$B$12,Paramètres!$A$1:$I$89,3,0)*0.475*44/12</f>
        <v>5.0499958986605149</v>
      </c>
      <c r="CN50" s="24">
        <f t="shared" si="12"/>
        <v>11.263580660336798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8.863999999999999</v>
      </c>
      <c r="CT50" s="13">
        <f>IF('Données projet'!$A$140&gt;35,CT49+CS50-DB49,IF(A50&lt;'Données projet'!$A$140,$CQ$205^A50,IF(A50='Données projet'!$A$140,'Données projet'!$B$140,CT49+CS50-DB49)))</f>
        <v>165.80800000000002</v>
      </c>
      <c r="CU50" s="18">
        <f>CT50*VLOOKUP('Données projet'!$B$13,Paramètres!$A$1:$I$89,3,0)*VLOOKUP('Données projet'!$B$13,Paramètres!$A$1:$I$89,5,0)</f>
        <v>129.33024000000003</v>
      </c>
      <c r="CV50" s="14">
        <f t="shared" si="41"/>
        <v>33.841550966985345</v>
      </c>
      <c r="CW50" s="22">
        <f t="shared" si="13"/>
        <v>284.19086926749952</v>
      </c>
      <c r="CX50" s="62">
        <f t="shared" si="14"/>
        <v>537.25210713169486</v>
      </c>
      <c r="CY50" s="62">
        <f ca="1">AVERAGE(OFFSET($CX$3,0,0,'Données projet'!$E$13+1,1))-AVERAGE(OFFSET($H$3,0,0,'Données projet'!$E$13+1,1))</f>
        <v>252.10592533338991</v>
      </c>
      <c r="CZ50" s="62">
        <f t="shared" si="42"/>
        <v>272.71831345325313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22.294583419184363</v>
      </c>
      <c r="DH50" s="23">
        <f>EXP(-LN(2)/2)*DH49+(1-EXP(-LN(2)/2))/(LN(2)/2)*DB50*DE50*VLOOKUP('Données projet'!$B$13,Paramètres!$A$1:$I$89,3,0)*0.475*44/12</f>
        <v>1.7071434934626459</v>
      </c>
      <c r="DI50" s="24">
        <f t="shared" si="15"/>
        <v>24.001726912647008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18.184999999999995</v>
      </c>
      <c r="DO50" s="13">
        <f>IF('Données projet'!$A$166&gt;35,DO49+DN50-DW49,IF(A50&lt;'Données projet'!$A$166,$DL$205^A50,IF(A50='Données projet'!$A$166,'Données projet'!$B$166,DO49+DN50-DW49)))</f>
        <v>276.05000000000013</v>
      </c>
      <c r="DP50" s="18">
        <f>DO50*VLOOKUP('Données projet'!$B$14,Paramètres!$A$1:$I$89,3,0)*VLOOKUP('Données projet'!$B$14,Paramètres!$A$1:$I$89,5,0)</f>
        <v>165.07790000000008</v>
      </c>
      <c r="DQ50" s="14">
        <f t="shared" si="43"/>
        <v>41.985758968046987</v>
      </c>
      <c r="DR50" s="22">
        <f t="shared" si="16"/>
        <v>360.63587270268198</v>
      </c>
      <c r="DS50" s="62">
        <f t="shared" si="17"/>
        <v>613.69711056687743</v>
      </c>
      <c r="DT50" s="62">
        <f ca="1">AVERAGE(OFFSET($DS$3,0,0,'Données projet'!$E$14+1,1))-AVERAGE(OFFSET($H$3,0,0,'Données projet'!$E$14+1,1))</f>
        <v>423.0896575168394</v>
      </c>
      <c r="DU50" s="62">
        <f t="shared" si="44"/>
        <v>305.98537395014284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46.235931174993112</v>
      </c>
      <c r="EC50" s="23">
        <f>EXP(-LN(2)/2)*EC49+(1-EXP(-LN(2)/2))/(LN(2)/2)*DW50*DZ50*VLOOKUP('Données projet'!$B$14,Paramètres!$A$1:$I$89,3,0)*0.475*44/12</f>
        <v>7.8109509081361947</v>
      </c>
      <c r="ED50" s="24">
        <f t="shared" si="18"/>
        <v>54.046882083129304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10.086</v>
      </c>
      <c r="EJ50" s="13">
        <f>IF('Données projet'!$A$192&gt;35,EJ49+EI50-ER49,IF(A50&lt;'Données projet'!$A$192,$EG$205^A50,IF(A50='Données projet'!$A$192,'Données projet'!$B$192,EJ49+EI50-ER49)))</f>
        <v>355.14200000000011</v>
      </c>
      <c r="EK50" s="18">
        <f>EJ50*VLOOKUP('Données projet'!$B$15,Paramètres!$A$1:$I$89,3,0)*VLOOKUP('Données projet'!$B$15,Paramètres!$A$1:$I$89,5,0)</f>
        <v>212.37491600000007</v>
      </c>
      <c r="EL50" s="14">
        <f t="shared" si="45"/>
        <v>52.454224438102912</v>
      </c>
      <c r="EM50" s="22">
        <f t="shared" si="19"/>
        <v>461.24408626302937</v>
      </c>
      <c r="EN50" s="62">
        <f t="shared" si="20"/>
        <v>714.30532412722482</v>
      </c>
      <c r="EO50" s="62">
        <f ca="1">AVERAGE(OFFSET($EN$3,0,0,'Données projet'!$E$15+1,1))-AVERAGE(OFFSET($H$3,0,0,'Données projet'!$E$15+1,1))</f>
        <v>281.21543175875604</v>
      </c>
      <c r="EP50" s="62">
        <f t="shared" si="46"/>
        <v>366.68536296857428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14.152324810678531</v>
      </c>
      <c r="EW50" s="23">
        <f>EXP(-LN(2)/25)*EW49+(1-EXP(-LN(2)/25))/(LN(2)/25)*Calculateur!ER50*Calculateur!ET50*VLOOKUP('Données projet'!$B$15,Paramètres!$A$1:$I$89,3,0)*0.475*44/12</f>
        <v>7.6668347904473277</v>
      </c>
      <c r="EX50" s="23">
        <f>EXP(-LN(2)/2)*EX49+(1-EXP(-LN(2)/2))/(LN(2)/2)*ER50*EU50*VLOOKUP('Données projet'!$B$15,Paramètres!$A$1:$I$89,3,0)*0.475*44/12</f>
        <v>4.9858204505818959E-2</v>
      </c>
      <c r="EY50" s="24">
        <f t="shared" si="21"/>
        <v>21.869017805631678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14.748000000000001</v>
      </c>
      <c r="FE50" s="13">
        <f>IF('Données projet'!$A$218&gt;35,FE49+FD50-FM49,IF(A50&lt;'Données projet'!$A$218,$FB$205^A50,IF(A50='Données projet'!$A$218,'Données projet'!$B$218,FE49+FD50-FM49)))</f>
        <v>231.33599999999996</v>
      </c>
      <c r="FF50" s="18">
        <f>FE50*VLOOKUP('Données projet'!$B$16,Paramètres!$A$1:$I$89,3,0)*VLOOKUP('Données projet'!$B$16,Paramètres!$A$1:$I$89,5,0)</f>
        <v>129.316824</v>
      </c>
      <c r="FG50" s="14">
        <f t="shared" si="47"/>
        <v>33.838449040120956</v>
      </c>
      <c r="FH50" s="22">
        <f t="shared" si="22"/>
        <v>284.16210054487732</v>
      </c>
      <c r="FI50" s="62">
        <f t="shared" si="23"/>
        <v>537.22333840907277</v>
      </c>
      <c r="FJ50" s="62">
        <f ca="1">AVERAGE(OFFSET($FI$3,0,0,'Données projet'!$E$16+1,1))-AVERAGE(OFFSET($H$3,0,0,'Données projet'!$E$16+1,1))</f>
        <v>280.9225643428145</v>
      </c>
      <c r="FK50" s="62">
        <f t="shared" si="48"/>
        <v>236.89414218053955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17.490863032832895</v>
      </c>
      <c r="FR50" s="23">
        <f>EXP(-LN(2)/25)*FR49+(1-EXP(-LN(2)/25))/(LN(2)/25)*Calculateur!FM50*Calculateur!FO50*VLOOKUP('Données projet'!$B$16,Paramètres!$A$1:$I$89,3,0)*0.475*44/12</f>
        <v>32.932996104526083</v>
      </c>
      <c r="FS50" s="23">
        <f>EXP(-LN(2)/2)*FS49+(1-EXP(-LN(2)/2))/(LN(2)/2)*FM50*FP50*VLOOKUP('Données projet'!$B$16,Paramètres!$A$1:$I$89,3,0)*0.475*44/12</f>
        <v>2.1184894712373223</v>
      </c>
      <c r="FT50" s="24">
        <f t="shared" si="24"/>
        <v>52.542348608596299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10.706000000000007</v>
      </c>
      <c r="FZ50" s="13">
        <f>IF('Données projet'!$A$244&gt;35,FZ49+FY50-GH49,IF(A50&lt;'Données projet'!$A$244,$FW$205^A50,IF(A50='Données projet'!$A$244,'Données projet'!$B$244,FZ49+FY50-GH49)))</f>
        <v>319.33199999999965</v>
      </c>
      <c r="GA50" s="18">
        <f>FZ50*VLOOKUP('Données projet'!$B$17,Paramètres!$A$1:$I$89,3,0)*VLOOKUP('Données projet'!$B$17,Paramètres!$A$1:$I$89,5,0)</f>
        <v>141.14474399999986</v>
      </c>
      <c r="GB50" s="14">
        <f t="shared" si="49"/>
        <v>36.559125849761188</v>
      </c>
      <c r="GC50" s="22">
        <f t="shared" si="25"/>
        <v>309.50090665500045</v>
      </c>
      <c r="GD50" s="62">
        <f t="shared" si="26"/>
        <v>562.56214451919584</v>
      </c>
      <c r="GE50" s="62">
        <f ca="1">AVERAGE(OFFSET($GD$3,0,0,'Données projet'!$E$17+1,1))-AVERAGE(OFFSET($H$3,0,0,'Données projet'!$E$17+1,1))</f>
        <v>325.67421864225201</v>
      </c>
      <c r="GF50" s="62">
        <f t="shared" si="50"/>
        <v>542.01920418736745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17.702987976175169</v>
      </c>
      <c r="GM50" s="23">
        <f>EXP(-LN(2)/25)*GM49+(1-EXP(-LN(2)/25))/(LN(2)/25)*Calculateur!GH50*Calculateur!GJ50*VLOOKUP('Données projet'!$B$17,Paramètres!$A$1:$I$89,3,0)*0.475*44/12</f>
        <v>101.53802285594573</v>
      </c>
      <c r="GN50" s="23">
        <f>EXP(-LN(2)/2)*GN49+(1-EXP(-LN(2)/2))/(LN(2)/2)*GH50*GK50*VLOOKUP('Données projet'!$B$17,Paramètres!$A$1:$I$89,3,0)*0.475*44/12</f>
        <v>3.2585499975826138</v>
      </c>
      <c r="GO50" s="23">
        <f t="shared" si="27"/>
        <v>122.49956082970351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2.8959999999999995</v>
      </c>
      <c r="GU50" s="13">
        <f>IF('Données projet'!$A$270&gt;35,GU49+GT50-HC49,IF(A50&lt;'Données projet'!$A$270,$GR$205^A50,IF(A50='Données projet'!$A$270,'Données projet'!$B$270,GU49+GT50-HC49)))</f>
        <v>47.081999999999979</v>
      </c>
      <c r="GV50" s="18">
        <f>GU50*VLOOKUP('Données projet'!$B$18,Paramètres!$A$1:$I$89,3,0)*VLOOKUP('Données projet'!$B$18,Paramètres!$A$1:$I$89,5,0)</f>
        <v>47.741147999999981</v>
      </c>
      <c r="GW50" s="14">
        <f t="shared" si="51"/>
        <v>14.028841036952219</v>
      </c>
      <c r="GX50" s="22">
        <f t="shared" si="28"/>
        <v>107.58273090602508</v>
      </c>
      <c r="GY50" s="62">
        <f t="shared" si="29"/>
        <v>360.64396877022045</v>
      </c>
      <c r="GZ50" s="62">
        <f ca="1">AVERAGE(OFFSET($GY$3,0,0,'Données projet'!$E$18+1,1))-AVERAGE(OFFSET($H$3,0,0,'Données projet'!$E$18+1,1))</f>
        <v>220.89224520315713</v>
      </c>
      <c r="HA50" s="62">
        <f t="shared" si="52"/>
        <v>141.82763623159096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1.0626666666666666</v>
      </c>
      <c r="N51" s="14">
        <f>IF('Données projet'!$A$36&gt;35,N50+M51-V50,IF(A51&lt;'Données projet'!$A$36,$K$205^A51,IF(A51='Données projet'!$A$36,'Données projet'!$B$36,N50+M51-V50)))</f>
        <v>23.654666666666657</v>
      </c>
      <c r="O51" s="14">
        <f>N51*VLOOKUP('Données projet'!$B$9,Paramètres!$A$1:$I$89,3,0)*VLOOKUP('Données projet'!$B$9,Paramètres!$A$1:$I$89,5,0)</f>
        <v>22.878793599999991</v>
      </c>
      <c r="P51" s="14">
        <f t="shared" si="33"/>
        <v>7.3239803429295121</v>
      </c>
      <c r="Q51" s="22">
        <f t="shared" si="53"/>
        <v>52.603164617268881</v>
      </c>
      <c r="R51" s="62">
        <f t="shared" si="0"/>
        <v>306.36303330293657</v>
      </c>
      <c r="S51" s="62">
        <f ca="1">AVERAGE(OFFSET($R$3,0,0,'Données projet'!$E$9+1,1))-AVERAGE(OFFSET($H$3,0,0,'Données projet'!$E$9+1,1))</f>
        <v>84.959354125980269</v>
      </c>
      <c r="T51" s="62">
        <f t="shared" si="34"/>
        <v>89.658970210276806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4.2269078756132471E-2</v>
      </c>
      <c r="AC51" s="24">
        <f t="shared" si="3"/>
        <v>4.2269078756132471E-2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6.5376666666666665</v>
      </c>
      <c r="AI51" s="14">
        <f>IF('Données projet'!$A$62&gt;35,AI50+AH51-AQ50,IF(A51&lt;'Données projet'!$A$62,$AF$205^A51,IF(A51='Données projet'!$A$62,'Données projet'!$B$62,AI50+AH51-AQ50)))</f>
        <v>160.24800000000002</v>
      </c>
      <c r="AJ51" s="14">
        <f>AI51*VLOOKUP('Données projet'!$B$10,Paramètres!$A$1:$I$89,3,0)*VLOOKUP('Données projet'!$B$10,Paramètres!$A$1:$I$89,5,0)</f>
        <v>152.49199680000001</v>
      </c>
      <c r="AK51" s="14">
        <f t="shared" si="35"/>
        <v>39.144356624441528</v>
      </c>
      <c r="AL51" s="22">
        <f t="shared" si="4"/>
        <v>333.76664888090232</v>
      </c>
      <c r="AM51" s="62">
        <f t="shared" si="5"/>
        <v>587.52651756656996</v>
      </c>
      <c r="AN51" s="62">
        <f ca="1">AVERAGE(OFFSET($AM$3,0,0,'Données projet'!$E$10+1,1))-AVERAGE(OFFSET($H$3,0,0,'Données projet'!$E$10+1,1))</f>
        <v>592.76231355549089</v>
      </c>
      <c r="AO51" s="62">
        <f t="shared" si="36"/>
        <v>200.66895551079014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2.7944473310387199</v>
      </c>
      <c r="AW51" s="23">
        <f>EXP(-LN(2)/2)*AW50+(1-EXP(-LN(2)/2))/(LN(2)/2)*AQ51*AT51*VLOOKUP('Données projet'!$B$10,Paramètres!$A$1:$I$89,3,0)*0.475*44/12</f>
        <v>9.7839581786285396E-3</v>
      </c>
      <c r="AX51" s="23">
        <f t="shared" si="6"/>
        <v>2.8042312892173484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4.4620000000000006</v>
      </c>
      <c r="BD51" s="13">
        <f>IF('Données projet'!$A$88&gt;35,BD50+BC51-BL50,IF(A51&lt;'Données projet'!$A$88,$BA$205^A51,IF(A51='Données projet'!$A$88,'Données projet'!$B$88,BD50+BC51-BL50)))</f>
        <v>76.266000000000005</v>
      </c>
      <c r="BE51" s="14">
        <f>BD51*VLOOKUP('Données projet'!$B$11,Paramètres!$A$1:$I$89,3,0)*VLOOKUP('Données projet'!$B$11,Paramètres!$A$1:$I$89,5,0)</f>
        <v>69.005476799999997</v>
      </c>
      <c r="BF51" s="14">
        <f t="shared" si="37"/>
        <v>19.42627710392561</v>
      </c>
      <c r="BG51" s="22">
        <f t="shared" si="7"/>
        <v>154.01863804933711</v>
      </c>
      <c r="BH51" s="62">
        <f t="shared" si="8"/>
        <v>407.77850673500484</v>
      </c>
      <c r="BI51" s="62">
        <f ca="1">AVERAGE(OFFSET($BH$3,0,0,'Données projet'!$E$11+1,1))-AVERAGE(OFFSET($H$3,0,0,'Données projet'!$E$11+1,1))</f>
        <v>316.71836722354374</v>
      </c>
      <c r="BJ51" s="62">
        <f t="shared" si="38"/>
        <v>164.34067012996618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2.3756095196252915</v>
      </c>
      <c r="BS51" s="24">
        <f t="shared" si="9"/>
        <v>2.3756095196252915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6.5780000000000003</v>
      </c>
      <c r="BY51" s="13">
        <f>IF('Données projet'!$A$114&gt;35,BY50+BX51-CG50,IF(A51&lt;'Données projet'!$A$114,$BV$205^A51,IF(A51='Données projet'!$A$114,'Données projet'!$B$114,BY50+BX51-CG50)))</f>
        <v>159.64399999999989</v>
      </c>
      <c r="BZ51" s="14">
        <f>BY51*VLOOKUP('Données projet'!$B$12,Paramètres!$A$1:$I$89,3,0)*VLOOKUP('Données projet'!$B$12,Paramètres!$A$1:$I$89,5,0)</f>
        <v>181.80258719999986</v>
      </c>
      <c r="CA51" s="14">
        <f t="shared" si="39"/>
        <v>45.722995732177267</v>
      </c>
      <c r="CB51" s="22">
        <f t="shared" si="10"/>
        <v>396.27372360687514</v>
      </c>
      <c r="CC51" s="62">
        <f t="shared" si="11"/>
        <v>650.03359229254283</v>
      </c>
      <c r="CD51" s="62">
        <f ca="1">AVERAGE(OFFSET($CC$3,0,0,'Données projet'!$E$12+1,1))-AVERAGE(OFFSET($H$3,0,0,'Données projet'!$E$12+1,1))</f>
        <v>454.9779384236806</v>
      </c>
      <c r="CE51" s="62">
        <f t="shared" si="40"/>
        <v>379.32753348721906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6.0436739596100235</v>
      </c>
      <c r="CM51" s="23">
        <f>EXP(-LN(2)/2)*CM50+(1-EXP(-LN(2)/2))/(LN(2)/2)*CG51*CJ51*VLOOKUP('Données projet'!$B$12,Paramètres!$A$1:$I$89,3,0)*0.475*44/12</f>
        <v>3.5708863449071035</v>
      </c>
      <c r="CN51" s="24">
        <f t="shared" si="12"/>
        <v>9.6145603045171271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8.863999999999999</v>
      </c>
      <c r="CT51" s="13">
        <f>IF('Données projet'!$A$140&gt;35,CT50+CS51-DB50,IF(A51&lt;'Données projet'!$A$140,$CQ$205^A51,IF(A51='Données projet'!$A$140,'Données projet'!$B$140,CT50+CS51-DB50)))</f>
        <v>174.67200000000003</v>
      </c>
      <c r="CU51" s="18">
        <f>CT51*VLOOKUP('Données projet'!$B$13,Paramètres!$A$1:$I$89,3,0)*VLOOKUP('Données projet'!$B$13,Paramètres!$A$1:$I$89,5,0)</f>
        <v>136.24416000000002</v>
      </c>
      <c r="CV51" s="14">
        <f t="shared" si="41"/>
        <v>35.435238279962164</v>
      </c>
      <c r="CW51" s="22">
        <f t="shared" si="13"/>
        <v>299.0082853376008</v>
      </c>
      <c r="CX51" s="62">
        <f t="shared" si="14"/>
        <v>552.76815402326849</v>
      </c>
      <c r="CY51" s="62">
        <f ca="1">AVERAGE(OFFSET($CX$3,0,0,'Données projet'!$E$13+1,1))-AVERAGE(OFFSET($H$3,0,0,'Données projet'!$E$13+1,1))</f>
        <v>252.10592533338991</v>
      </c>
      <c r="CZ51" s="62">
        <f t="shared" si="42"/>
        <v>272.71831345325313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21.684936863165579</v>
      </c>
      <c r="DH51" s="23">
        <f>EXP(-LN(2)/2)*DH50+(1-EXP(-LN(2)/2))/(LN(2)/2)*DB51*DE51*VLOOKUP('Données projet'!$B$13,Paramètres!$A$1:$I$89,3,0)*0.475*44/12</f>
        <v>1.2071327406859296</v>
      </c>
      <c r="DI51" s="24">
        <f t="shared" si="15"/>
        <v>22.892069603851507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18.184999999999995</v>
      </c>
      <c r="DO51" s="13">
        <f>IF('Données projet'!$A$166&gt;35,DO50+DN51-DW50,IF(A51&lt;'Données projet'!$A$166,$DL$205^A51,IF(A51='Données projet'!$A$166,'Données projet'!$B$166,DO50+DN51-DW50)))</f>
        <v>294.23500000000013</v>
      </c>
      <c r="DP51" s="18">
        <f>DO51*VLOOKUP('Données projet'!$B$14,Paramètres!$A$1:$I$89,3,0)*VLOOKUP('Données projet'!$B$14,Paramètres!$A$1:$I$89,5,0)</f>
        <v>175.95253000000011</v>
      </c>
      <c r="DQ51" s="14">
        <f t="shared" si="43"/>
        <v>44.420510230013136</v>
      </c>
      <c r="DR51" s="22">
        <f t="shared" si="16"/>
        <v>383.81637840060642</v>
      </c>
      <c r="DS51" s="62">
        <f t="shared" si="17"/>
        <v>637.57624708627418</v>
      </c>
      <c r="DT51" s="62">
        <f ca="1">AVERAGE(OFFSET($DS$3,0,0,'Données projet'!$E$14+1,1))-AVERAGE(OFFSET($H$3,0,0,'Données projet'!$E$14+1,1))</f>
        <v>423.0896575168394</v>
      </c>
      <c r="DU51" s="62">
        <f t="shared" si="44"/>
        <v>305.98537395014284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44.971607205570976</v>
      </c>
      <c r="EC51" s="23">
        <f>EXP(-LN(2)/2)*EC50+(1-EXP(-LN(2)/2))/(LN(2)/2)*DW51*DZ51*VLOOKUP('Données projet'!$B$14,Paramètres!$A$1:$I$89,3,0)*0.475*44/12</f>
        <v>5.5231763546583252</v>
      </c>
      <c r="ED51" s="24">
        <f t="shared" si="18"/>
        <v>50.494783560229301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10.086</v>
      </c>
      <c r="EJ51" s="13">
        <f>IF('Données projet'!$A$192&gt;35,EJ50+EI51-ER50,IF(A51&lt;'Données projet'!$A$192,$EG$205^A51,IF(A51='Données projet'!$A$192,'Données projet'!$B$192,EJ50+EI51-ER50)))</f>
        <v>365.22800000000012</v>
      </c>
      <c r="EK51" s="18">
        <f>EJ51*VLOOKUP('Données projet'!$B$15,Paramètres!$A$1:$I$89,3,0)*VLOOKUP('Données projet'!$B$15,Paramètres!$A$1:$I$89,5,0)</f>
        <v>218.4063440000001</v>
      </c>
      <c r="EL51" s="14">
        <f t="shared" si="45"/>
        <v>53.768366038732381</v>
      </c>
      <c r="EM51" s="22">
        <f t="shared" si="19"/>
        <v>474.03761998412574</v>
      </c>
      <c r="EN51" s="62">
        <f t="shared" si="20"/>
        <v>727.79748866979344</v>
      </c>
      <c r="EO51" s="62">
        <f ca="1">AVERAGE(OFFSET($EN$3,0,0,'Données projet'!$E$15+1,1))-AVERAGE(OFFSET($H$3,0,0,'Données projet'!$E$15+1,1))</f>
        <v>281.21543175875604</v>
      </c>
      <c r="EP51" s="62">
        <f t="shared" si="46"/>
        <v>366.68536296857428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13.874806353206914</v>
      </c>
      <c r="EW51" s="23">
        <f>EXP(-LN(2)/25)*EW50+(1-EXP(-LN(2)/25))/(LN(2)/25)*Calculateur!ER51*Calculateur!ET51*VLOOKUP('Données projet'!$B$15,Paramètres!$A$1:$I$89,3,0)*0.475*44/12</f>
        <v>7.4571847899212269</v>
      </c>
      <c r="EX51" s="23">
        <f>EXP(-LN(2)/2)*EX50+(1-EXP(-LN(2)/2))/(LN(2)/2)*ER51*EU51*VLOOKUP('Données projet'!$B$15,Paramètres!$A$1:$I$89,3,0)*0.475*44/12</f>
        <v>3.5255074503850264E-2</v>
      </c>
      <c r="EY51" s="24">
        <f t="shared" si="21"/>
        <v>21.367246217631994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14.748000000000001</v>
      </c>
      <c r="FE51" s="13">
        <f>IF('Données projet'!$A$218&gt;35,FE50+FD51-FM50,IF(A51&lt;'Données projet'!$A$218,$FB$205^A51,IF(A51='Données projet'!$A$218,'Données projet'!$B$218,FE50+FD51-FM50)))</f>
        <v>246.08399999999995</v>
      </c>
      <c r="FF51" s="18">
        <f>FE51*VLOOKUP('Données projet'!$B$16,Paramètres!$A$1:$I$89,3,0)*VLOOKUP('Données projet'!$B$16,Paramètres!$A$1:$I$89,5,0)</f>
        <v>137.56095599999998</v>
      </c>
      <c r="FG51" s="14">
        <f t="shared" si="47"/>
        <v>35.737684514791937</v>
      </c>
      <c r="FH51" s="22">
        <f t="shared" si="22"/>
        <v>301.82846556326257</v>
      </c>
      <c r="FI51" s="62">
        <f t="shared" si="23"/>
        <v>555.58833424893032</v>
      </c>
      <c r="FJ51" s="62">
        <f ca="1">AVERAGE(OFFSET($FI$3,0,0,'Données projet'!$E$16+1,1))-AVERAGE(OFFSET($H$3,0,0,'Données projet'!$E$16+1,1))</f>
        <v>280.9225643428145</v>
      </c>
      <c r="FK51" s="62">
        <f t="shared" si="48"/>
        <v>236.89414218053955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17.147877877132078</v>
      </c>
      <c r="FR51" s="23">
        <f>EXP(-LN(2)/25)*FR50+(1-EXP(-LN(2)/25))/(LN(2)/25)*Calculateur!FM51*Calculateur!FO51*VLOOKUP('Données projet'!$B$16,Paramètres!$A$1:$I$89,3,0)*0.475*44/12</f>
        <v>32.032441594176824</v>
      </c>
      <c r="FS51" s="23">
        <f>EXP(-LN(2)/2)*FS50+(1-EXP(-LN(2)/2))/(LN(2)/2)*FM51*FP51*VLOOKUP('Données projet'!$B$16,Paramètres!$A$1:$I$89,3,0)*0.475*44/12</f>
        <v>1.4979982709842141</v>
      </c>
      <c r="FT51" s="24">
        <f t="shared" si="24"/>
        <v>50.678317742293117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10.706000000000007</v>
      </c>
      <c r="FZ51" s="13">
        <f>IF('Données projet'!$A$244&gt;35,FZ50+FY51-GH50,IF(A51&lt;'Données projet'!$A$244,$FW$205^A51,IF(A51='Données projet'!$A$244,'Données projet'!$B$244,FZ50+FY51-GH50)))</f>
        <v>330.03799999999967</v>
      </c>
      <c r="GA51" s="18">
        <f>FZ51*VLOOKUP('Données projet'!$B$17,Paramètres!$A$1:$I$89,3,0)*VLOOKUP('Données projet'!$B$17,Paramètres!$A$1:$I$89,5,0)</f>
        <v>145.87679599999987</v>
      </c>
      <c r="GB51" s="14">
        <f t="shared" si="49"/>
        <v>37.64005811923132</v>
      </c>
      <c r="GC51" s="22">
        <f t="shared" si="25"/>
        <v>319.6251875909943</v>
      </c>
      <c r="GD51" s="62">
        <f t="shared" si="26"/>
        <v>573.385056276662</v>
      </c>
      <c r="GE51" s="62">
        <f ca="1">AVERAGE(OFFSET($GD$3,0,0,'Données projet'!$E$17+1,1))-AVERAGE(OFFSET($H$3,0,0,'Données projet'!$E$17+1,1))</f>
        <v>325.67421864225201</v>
      </c>
      <c r="GF51" s="62">
        <f t="shared" si="50"/>
        <v>542.01920418736745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17.35584317971885</v>
      </c>
      <c r="GM51" s="23">
        <f>EXP(-LN(2)/25)*GM50+(1-EXP(-LN(2)/25))/(LN(2)/25)*Calculateur!GH51*Calculateur!GJ51*VLOOKUP('Données projet'!$B$17,Paramètres!$A$1:$I$89,3,0)*0.475*44/12</f>
        <v>98.761460281297332</v>
      </c>
      <c r="GN51" s="23">
        <f>EXP(-LN(2)/2)*GN50+(1-EXP(-LN(2)/2))/(LN(2)/2)*GH51*GK51*VLOOKUP('Données projet'!$B$17,Paramètres!$A$1:$I$89,3,0)*0.475*44/12</f>
        <v>2.3041428001260744</v>
      </c>
      <c r="GO51" s="23">
        <f t="shared" si="27"/>
        <v>118.42144626114225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2.8959999999999995</v>
      </c>
      <c r="GU51" s="13">
        <f>IF('Données projet'!$A$270&gt;35,GU50+GT51-HC50,IF(A51&lt;'Données projet'!$A$270,$GR$205^A51,IF(A51='Données projet'!$A$270,'Données projet'!$B$270,GU50+GT51-HC50)))</f>
        <v>49.97799999999998</v>
      </c>
      <c r="GV51" s="18">
        <f>GU51*VLOOKUP('Données projet'!$B$18,Paramètres!$A$1:$I$89,3,0)*VLOOKUP('Données projet'!$B$18,Paramètres!$A$1:$I$89,5,0)</f>
        <v>50.677691999999979</v>
      </c>
      <c r="GW51" s="14">
        <f t="shared" si="51"/>
        <v>14.788639209907506</v>
      </c>
      <c r="GX51" s="22">
        <f t="shared" si="28"/>
        <v>114.02052685725552</v>
      </c>
      <c r="GY51" s="62">
        <f t="shared" si="29"/>
        <v>367.7803955429232</v>
      </c>
      <c r="GZ51" s="62">
        <f ca="1">AVERAGE(OFFSET($GY$3,0,0,'Données projet'!$E$18+1,1))-AVERAGE(OFFSET($H$3,0,0,'Données projet'!$E$18+1,1))</f>
        <v>220.89224520315713</v>
      </c>
      <c r="HA51" s="62">
        <f t="shared" si="52"/>
        <v>141.82763623159096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1.0626666666666666</v>
      </c>
      <c r="N52" s="14">
        <f>IF('Données projet'!$A$36&gt;35,N51+M52-V51,IF(A52&lt;'Données projet'!$A$36,$K$205^A52,IF(A52='Données projet'!$A$36,'Données projet'!$B$36,N51+M52-V51)))</f>
        <v>24.717333333333322</v>
      </c>
      <c r="O52" s="14">
        <f>N52*VLOOKUP('Données projet'!$B$9,Paramètres!$A$1:$I$89,3,0)*VLOOKUP('Données projet'!$B$9,Paramètres!$A$1:$I$89,5,0)</f>
        <v>23.90660479999999</v>
      </c>
      <c r="P52" s="14">
        <f t="shared" si="33"/>
        <v>7.6139581138010346</v>
      </c>
      <c r="Q52" s="22">
        <f t="shared" si="53"/>
        <v>54.898313741536775</v>
      </c>
      <c r="R52" s="62">
        <f t="shared" si="0"/>
        <v>309.34469356582872</v>
      </c>
      <c r="S52" s="62">
        <f ca="1">AVERAGE(OFFSET($R$3,0,0,'Données projet'!$E$9+1,1))-AVERAGE(OFFSET($H$3,0,0,'Données projet'!$E$9+1,1))</f>
        <v>84.959354125980269</v>
      </c>
      <c r="T52" s="62">
        <f t="shared" si="34"/>
        <v>89.658970210276806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2.9888752222969509E-2</v>
      </c>
      <c r="AC52" s="24">
        <f t="shared" si="3"/>
        <v>2.9888752222969509E-2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6.5376666666666665</v>
      </c>
      <c r="AI52" s="14">
        <f>IF('Données projet'!$A$62&gt;35,AI51+AH52-AQ51,IF(A52&lt;'Données projet'!$A$62,$AF$205^A52,IF(A52='Données projet'!$A$62,'Données projet'!$B$62,AI51+AH52-AQ51)))</f>
        <v>166.78566666666669</v>
      </c>
      <c r="AJ52" s="14">
        <f>AI52*VLOOKUP('Données projet'!$B$10,Paramètres!$A$1:$I$89,3,0)*VLOOKUP('Données projet'!$B$10,Paramètres!$A$1:$I$89,5,0)</f>
        <v>158.71324040000002</v>
      </c>
      <c r="AK52" s="14">
        <f t="shared" si="35"/>
        <v>40.552146933098733</v>
      </c>
      <c r="AL52" s="22">
        <f t="shared" si="4"/>
        <v>347.05388293848029</v>
      </c>
      <c r="AM52" s="62">
        <f t="shared" si="5"/>
        <v>601.50026276277231</v>
      </c>
      <c r="AN52" s="62">
        <f ca="1">AVERAGE(OFFSET($AM$3,0,0,'Données projet'!$E$10+1,1))-AVERAGE(OFFSET($H$3,0,0,'Données projet'!$E$10+1,1))</f>
        <v>592.76231355549089</v>
      </c>
      <c r="AO52" s="62">
        <f t="shared" si="36"/>
        <v>200.66895551079014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2.7180330218178677</v>
      </c>
      <c r="AW52" s="23">
        <f>EXP(-LN(2)/2)*AW51+(1-EXP(-LN(2)/2))/(LN(2)/2)*AQ52*AT52*VLOOKUP('Données projet'!$B$10,Paramètres!$A$1:$I$89,3,0)*0.475*44/12</f>
        <v>6.9183031749538229E-3</v>
      </c>
      <c r="AX52" s="23">
        <f t="shared" si="6"/>
        <v>2.7249513249928214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4.4620000000000006</v>
      </c>
      <c r="BD52" s="13">
        <f>IF('Données projet'!$A$88&gt;35,BD51+BC52-BL51,IF(A52&lt;'Données projet'!$A$88,$BA$205^A52,IF(A52='Données projet'!$A$88,'Données projet'!$B$88,BD51+BC52-BL51)))</f>
        <v>80.728000000000009</v>
      </c>
      <c r="BE52" s="14">
        <f>BD52*VLOOKUP('Données projet'!$B$11,Paramètres!$A$1:$I$89,3,0)*VLOOKUP('Données projet'!$B$11,Paramètres!$A$1:$I$89,5,0)</f>
        <v>73.042694400000002</v>
      </c>
      <c r="BF52" s="14">
        <f t="shared" si="37"/>
        <v>20.427184531511653</v>
      </c>
      <c r="BG52" s="22">
        <f t="shared" si="7"/>
        <v>162.7933724723828</v>
      </c>
      <c r="BH52" s="62">
        <f t="shared" si="8"/>
        <v>417.23975229667474</v>
      </c>
      <c r="BI52" s="62">
        <f ca="1">AVERAGE(OFFSET($BH$3,0,0,'Données projet'!$E$11+1,1))-AVERAGE(OFFSET($H$3,0,0,'Données projet'!$E$11+1,1))</f>
        <v>316.71836722354374</v>
      </c>
      <c r="BJ52" s="62">
        <f t="shared" si="38"/>
        <v>164.34067012996618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1.6798096007783605</v>
      </c>
      <c r="BS52" s="24">
        <f t="shared" si="9"/>
        <v>1.6798096007783605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6.5780000000000003</v>
      </c>
      <c r="BY52" s="13">
        <f>IF('Données projet'!$A$114&gt;35,BY51+BX52-CG51,IF(A52&lt;'Données projet'!$A$114,$BV$205^A52,IF(A52='Données projet'!$A$114,'Données projet'!$B$114,BY51+BX52-CG51)))</f>
        <v>166.22199999999989</v>
      </c>
      <c r="BZ52" s="14">
        <f>BY52*VLOOKUP('Données projet'!$B$12,Paramètres!$A$1:$I$89,3,0)*VLOOKUP('Données projet'!$B$12,Paramètres!$A$1:$I$89,5,0)</f>
        <v>189.29361359999987</v>
      </c>
      <c r="CA52" s="14">
        <f t="shared" si="39"/>
        <v>47.383747008691167</v>
      </c>
      <c r="CB52" s="22">
        <f t="shared" si="10"/>
        <v>412.2130697268035</v>
      </c>
      <c r="CC52" s="62">
        <f t="shared" si="11"/>
        <v>666.65944955109546</v>
      </c>
      <c r="CD52" s="62">
        <f ca="1">AVERAGE(OFFSET($CC$3,0,0,'Données projet'!$E$12+1,1))-AVERAGE(OFFSET($H$3,0,0,'Données projet'!$E$12+1,1))</f>
        <v>454.9779384236806</v>
      </c>
      <c r="CE52" s="62">
        <f t="shared" si="40"/>
        <v>379.32753348721906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5.8784093773614865</v>
      </c>
      <c r="CM52" s="23">
        <f>EXP(-LN(2)/2)*CM51+(1-EXP(-LN(2)/2))/(LN(2)/2)*CG52*CJ52*VLOOKUP('Données projet'!$B$12,Paramètres!$A$1:$I$89,3,0)*0.475*44/12</f>
        <v>2.5249979493302579</v>
      </c>
      <c r="CN52" s="24">
        <f t="shared" si="12"/>
        <v>8.4034073266917453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8.863999999999999</v>
      </c>
      <c r="CT52" s="13">
        <f>IF('Données projet'!$A$140&gt;35,CT51+CS52-DB51,IF(A52&lt;'Données projet'!$A$140,$CQ$205^A52,IF(A52='Données projet'!$A$140,'Données projet'!$B$140,CT51+CS52-DB51)))</f>
        <v>183.53600000000003</v>
      </c>
      <c r="CU52" s="18">
        <f>CT52*VLOOKUP('Données projet'!$B$13,Paramètres!$A$1:$I$89,3,0)*VLOOKUP('Données projet'!$B$13,Paramètres!$A$1:$I$89,5,0)</f>
        <v>143.15808000000004</v>
      </c>
      <c r="CV52" s="14">
        <f t="shared" si="41"/>
        <v>37.019535338740674</v>
      </c>
      <c r="CW52" s="22">
        <f t="shared" si="13"/>
        <v>313.8093467149734</v>
      </c>
      <c r="CX52" s="62">
        <f t="shared" si="14"/>
        <v>568.25572653926542</v>
      </c>
      <c r="CY52" s="62">
        <f ca="1">AVERAGE(OFFSET($CX$3,0,0,'Données projet'!$E$13+1,1))-AVERAGE(OFFSET($H$3,0,0,'Données projet'!$E$13+1,1))</f>
        <v>252.10592533338991</v>
      </c>
      <c r="CZ52" s="62">
        <f t="shared" si="42"/>
        <v>272.71831345325313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21.091961124281049</v>
      </c>
      <c r="DH52" s="23">
        <f>EXP(-LN(2)/2)*DH51+(1-EXP(-LN(2)/2))/(LN(2)/2)*DB52*DE52*VLOOKUP('Données projet'!$B$13,Paramètres!$A$1:$I$89,3,0)*0.475*44/12</f>
        <v>0.85357174673132308</v>
      </c>
      <c r="DI52" s="24">
        <f t="shared" si="15"/>
        <v>21.945532871012372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18.184999999999995</v>
      </c>
      <c r="DO52" s="13">
        <f>IF('Données projet'!$A$166&gt;35,DO51+DN52-DW51,IF(A52&lt;'Données projet'!$A$166,$DL$205^A52,IF(A52='Données projet'!$A$166,'Données projet'!$B$166,DO51+DN52-DW51)))</f>
        <v>312.42000000000013</v>
      </c>
      <c r="DP52" s="18">
        <f>DO52*VLOOKUP('Données projet'!$B$14,Paramètres!$A$1:$I$89,3,0)*VLOOKUP('Données projet'!$B$14,Paramètres!$A$1:$I$89,5,0)</f>
        <v>186.82716000000008</v>
      </c>
      <c r="DQ52" s="14">
        <f t="shared" si="43"/>
        <v>46.837796949189077</v>
      </c>
      <c r="DR52" s="22">
        <f t="shared" si="16"/>
        <v>406.96646668650448</v>
      </c>
      <c r="DS52" s="62">
        <f t="shared" si="17"/>
        <v>661.4128465107965</v>
      </c>
      <c r="DT52" s="62">
        <f ca="1">AVERAGE(OFFSET($DS$3,0,0,'Données projet'!$E$14+1,1))-AVERAGE(OFFSET($H$3,0,0,'Données projet'!$E$14+1,1))</f>
        <v>423.0896575168394</v>
      </c>
      <c r="DU52" s="62">
        <f t="shared" si="44"/>
        <v>305.98537395014284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43.741856241580599</v>
      </c>
      <c r="EC52" s="23">
        <f>EXP(-LN(2)/2)*EC51+(1-EXP(-LN(2)/2))/(LN(2)/2)*DW52*DZ52*VLOOKUP('Données projet'!$B$14,Paramètres!$A$1:$I$89,3,0)*0.475*44/12</f>
        <v>3.9054754540680978</v>
      </c>
      <c r="ED52" s="24">
        <f t="shared" si="18"/>
        <v>47.647331695648695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10.086</v>
      </c>
      <c r="EJ52" s="13">
        <f>IF('Données projet'!$A$192&gt;35,EJ51+EI52-ER51,IF(A52&lt;'Données projet'!$A$192,$EG$205^A52,IF(A52='Données projet'!$A$192,'Données projet'!$B$192,EJ51+EI52-ER51)))</f>
        <v>375.31400000000014</v>
      </c>
      <c r="EK52" s="18">
        <f>EJ52*VLOOKUP('Données projet'!$B$15,Paramètres!$A$1:$I$89,3,0)*VLOOKUP('Données projet'!$B$15,Paramètres!$A$1:$I$89,5,0)</f>
        <v>224.43777200000008</v>
      </c>
      <c r="EL52" s="14">
        <f t="shared" si="45"/>
        <v>55.078289600732361</v>
      </c>
      <c r="EM52" s="22">
        <f t="shared" si="19"/>
        <v>486.8238072879422</v>
      </c>
      <c r="EN52" s="62">
        <f t="shared" si="20"/>
        <v>741.27018711223423</v>
      </c>
      <c r="EO52" s="62">
        <f ca="1">AVERAGE(OFFSET($EN$3,0,0,'Données projet'!$E$15+1,1))-AVERAGE(OFFSET($H$3,0,0,'Données projet'!$E$15+1,1))</f>
        <v>281.21543175875604</v>
      </c>
      <c r="EP52" s="62">
        <f t="shared" si="46"/>
        <v>366.68536296857428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13.602729863416769</v>
      </c>
      <c r="EW52" s="23">
        <f>EXP(-LN(2)/25)*EW51+(1-EXP(-LN(2)/25))/(LN(2)/25)*Calculateur!ER52*Calculateur!ET52*VLOOKUP('Données projet'!$B$15,Paramètres!$A$1:$I$89,3,0)*0.475*44/12</f>
        <v>7.2532676796845266</v>
      </c>
      <c r="EX52" s="23">
        <f>EXP(-LN(2)/2)*EX51+(1-EXP(-LN(2)/2))/(LN(2)/2)*ER52*EU52*VLOOKUP('Données projet'!$B$15,Paramètres!$A$1:$I$89,3,0)*0.475*44/12</f>
        <v>2.492910225290948E-2</v>
      </c>
      <c r="EY52" s="24">
        <f t="shared" si="21"/>
        <v>20.880926645354204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14.748000000000001</v>
      </c>
      <c r="FE52" s="13">
        <f>IF('Données projet'!$A$218&gt;35,FE51+FD52-FM51,IF(A52&lt;'Données projet'!$A$218,$FB$205^A52,IF(A52='Données projet'!$A$218,'Données projet'!$B$218,FE51+FD52-FM51)))</f>
        <v>260.83199999999994</v>
      </c>
      <c r="FF52" s="18">
        <f>FE52*VLOOKUP('Données projet'!$B$16,Paramètres!$A$1:$I$89,3,0)*VLOOKUP('Données projet'!$B$16,Paramètres!$A$1:$I$89,5,0)</f>
        <v>145.80508799999996</v>
      </c>
      <c r="FG52" s="14">
        <f t="shared" si="47"/>
        <v>37.623708794751863</v>
      </c>
      <c r="FH52" s="22">
        <f t="shared" si="22"/>
        <v>319.47182108419275</v>
      </c>
      <c r="FI52" s="62">
        <f t="shared" si="23"/>
        <v>573.91820090848478</v>
      </c>
      <c r="FJ52" s="62">
        <f ca="1">AVERAGE(OFFSET($FI$3,0,0,'Données projet'!$E$16+1,1))-AVERAGE(OFFSET($H$3,0,0,'Données projet'!$E$16+1,1))</f>
        <v>280.9225643428145</v>
      </c>
      <c r="FK52" s="62">
        <f t="shared" si="48"/>
        <v>236.89414218053955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16.811618451134265</v>
      </c>
      <c r="FR52" s="23">
        <f>EXP(-LN(2)/25)*FR51+(1-EXP(-LN(2)/25))/(LN(2)/25)*Calculateur!FM52*Calculateur!FO52*VLOOKUP('Données projet'!$B$16,Paramètres!$A$1:$I$89,3,0)*0.475*44/12</f>
        <v>31.156512794271165</v>
      </c>
      <c r="FS52" s="23">
        <f>EXP(-LN(2)/2)*FS51+(1-EXP(-LN(2)/2))/(LN(2)/2)*FM52*FP52*VLOOKUP('Données projet'!$B$16,Paramètres!$A$1:$I$89,3,0)*0.475*44/12</f>
        <v>1.0592447356186614</v>
      </c>
      <c r="FT52" s="24">
        <f t="shared" si="24"/>
        <v>49.027375981024093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10.706000000000007</v>
      </c>
      <c r="FZ52" s="13">
        <f>IF('Données projet'!$A$244&gt;35,FZ51+FY52-GH51,IF(A52&lt;'Données projet'!$A$244,$FW$205^A52,IF(A52='Données projet'!$A$244,'Données projet'!$B$244,FZ51+FY52-GH51)))</f>
        <v>340.74399999999969</v>
      </c>
      <c r="GA52" s="18">
        <f>FZ52*VLOOKUP('Données projet'!$B$17,Paramètres!$A$1:$I$89,3,0)*VLOOKUP('Données projet'!$B$17,Paramètres!$A$1:$I$89,5,0)</f>
        <v>150.60884799999988</v>
      </c>
      <c r="GB52" s="14">
        <f t="shared" si="49"/>
        <v>38.716915877003011</v>
      </c>
      <c r="GC52" s="22">
        <f t="shared" si="25"/>
        <v>329.74237208578</v>
      </c>
      <c r="GD52" s="62">
        <f t="shared" si="26"/>
        <v>584.18875191007191</v>
      </c>
      <c r="GE52" s="62">
        <f ca="1">AVERAGE(OFFSET($GD$3,0,0,'Données projet'!$E$17+1,1))-AVERAGE(OFFSET($H$3,0,0,'Données projet'!$E$17+1,1))</f>
        <v>325.67421864225201</v>
      </c>
      <c r="GF52" s="62">
        <f t="shared" si="50"/>
        <v>542.01920418736745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17.015505680983619</v>
      </c>
      <c r="GM52" s="23">
        <f>EXP(-LN(2)/25)*GM51+(1-EXP(-LN(2)/25))/(LN(2)/25)*Calculateur!GH52*Calculateur!GJ52*VLOOKUP('Données projet'!$B$17,Paramètres!$A$1:$I$89,3,0)*0.475*44/12</f>
        <v>96.060822956265781</v>
      </c>
      <c r="GN52" s="23">
        <f>EXP(-LN(2)/2)*GN51+(1-EXP(-LN(2)/2))/(LN(2)/2)*GH52*GK52*VLOOKUP('Données projet'!$B$17,Paramètres!$A$1:$I$89,3,0)*0.475*44/12</f>
        <v>1.6292749987913071</v>
      </c>
      <c r="GO52" s="23">
        <f t="shared" si="27"/>
        <v>114.70560363604071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2.8959999999999995</v>
      </c>
      <c r="GU52" s="13">
        <f>IF('Données projet'!$A$270&gt;35,GU51+GT52-HC51,IF(A52&lt;'Données projet'!$A$270,$GR$205^A52,IF(A52='Données projet'!$A$270,'Données projet'!$B$270,GU51+GT52-HC51)))</f>
        <v>52.873999999999981</v>
      </c>
      <c r="GV52" s="18">
        <f>GU52*VLOOKUP('Données projet'!$B$18,Paramètres!$A$1:$I$89,3,0)*VLOOKUP('Données projet'!$B$18,Paramètres!$A$1:$I$89,5,0)</f>
        <v>53.614235999999991</v>
      </c>
      <c r="GW52" s="14">
        <f t="shared" si="51"/>
        <v>15.543326879168367</v>
      </c>
      <c r="GX52" s="22">
        <f t="shared" si="28"/>
        <v>120.44942201455153</v>
      </c>
      <c r="GY52" s="62">
        <f t="shared" si="29"/>
        <v>374.89580183884351</v>
      </c>
      <c r="GZ52" s="62">
        <f ca="1">AVERAGE(OFFSET($GY$3,0,0,'Données projet'!$E$18+1,1))-AVERAGE(OFFSET($H$3,0,0,'Données projet'!$E$18+1,1))</f>
        <v>220.89224520315713</v>
      </c>
      <c r="HA52" s="62">
        <f t="shared" si="52"/>
        <v>141.82763623159096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25.78</v>
      </c>
      <c r="L53" s="13">
        <f>VLOOKUP(A53,'Données projet'!$A$35:$I$55,9,0)</f>
        <v>1.0626666666666666</v>
      </c>
      <c r="M53" s="13">
        <f t="array" ref="M53">INDEX(L:L,MIN(IF(ISNUMBER(L53:L249),ROW(L53:L249),"")))</f>
        <v>1.0626666666666666</v>
      </c>
      <c r="N53" s="14">
        <f>IF('Données projet'!$A$36&gt;35,N52+M53-V52,IF(A53&lt;'Données projet'!$A$36,$K$205^A53,IF(A53='Données projet'!$A$36,'Données projet'!$B$36,N52+M53-V52)))</f>
        <v>25.779999999999987</v>
      </c>
      <c r="O53" s="14">
        <f>N53*VLOOKUP('Données projet'!$B$9,Paramètres!$A$1:$I$89,3,0)*VLOOKUP('Données projet'!$B$9,Paramètres!$A$1:$I$89,5,0)</f>
        <v>24.934415999999988</v>
      </c>
      <c r="P53" s="14">
        <f t="shared" si="33"/>
        <v>7.9024878858442413</v>
      </c>
      <c r="Q53" s="22">
        <f t="shared" si="53"/>
        <v>57.190940934512035</v>
      </c>
      <c r="R53" s="62">
        <f t="shared" si="0"/>
        <v>312.31192246398211</v>
      </c>
      <c r="S53" s="62">
        <f ca="1">AVERAGE(OFFSET($R$3,0,0,'Données projet'!$E$9+1,1))-AVERAGE(OFFSET($H$3,0,0,'Données projet'!$E$9+1,1))</f>
        <v>84.959354125980269</v>
      </c>
      <c r="T53" s="62">
        <f t="shared" si="34"/>
        <v>89.658970210276806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15.47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0.25800000000000001</v>
      </c>
      <c r="Y53" s="17">
        <f>IF(ISNA(VLOOKUP(A53,'Données projet'!$A$35:$I$55,7,0)),0%,VLOOKUP(A53,'Données projet'!$A$35:$I$55,7,0))</f>
        <v>0.1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4.2506961314082821</v>
      </c>
      <c r="AB53" s="23">
        <f>EXP(-LN(2)/2)*AB52+(1-EXP(-LN(2)/2))/(LN(2)/2)*V53*Y53*VLOOKUP('Données projet'!$B$9,Paramètres!$A$1:$I$89,3,0)*0.475*44/12</f>
        <v>1.432894610982461</v>
      </c>
      <c r="AC53" s="24">
        <f t="shared" si="3"/>
        <v>5.6835907423907432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6.5376666666666665</v>
      </c>
      <c r="AI53" s="14">
        <f>IF('Données projet'!$A$62&gt;35,AI52+AH53-AQ52,IF(A53&lt;'Données projet'!$A$62,$AF$205^A53,IF(A53='Données projet'!$A$62,'Données projet'!$B$62,AI52+AH53-AQ52)))</f>
        <v>173.32333333333335</v>
      </c>
      <c r="AJ53" s="14">
        <f>AI53*VLOOKUP('Données projet'!$B$10,Paramètres!$A$1:$I$89,3,0)*VLOOKUP('Données projet'!$B$10,Paramètres!$A$1:$I$89,5,0)</f>
        <v>164.93448400000003</v>
      </c>
      <c r="AK53" s="14">
        <f t="shared" si="35"/>
        <v>41.953526886646131</v>
      </c>
      <c r="AL53" s="22">
        <f t="shared" si="4"/>
        <v>360.32995229424205</v>
      </c>
      <c r="AM53" s="62">
        <f t="shared" si="5"/>
        <v>615.45093382371215</v>
      </c>
      <c r="AN53" s="62">
        <f ca="1">AVERAGE(OFFSET($AM$3,0,0,'Données projet'!$E$10+1,1))-AVERAGE(OFFSET($H$3,0,0,'Données projet'!$E$10+1,1))</f>
        <v>592.76231355549089</v>
      </c>
      <c r="AO53" s="62">
        <f t="shared" si="36"/>
        <v>200.66895551079014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2.6437082659011137</v>
      </c>
      <c r="AW53" s="23">
        <f>EXP(-LN(2)/2)*AW52+(1-EXP(-LN(2)/2))/(LN(2)/2)*AQ53*AT53*VLOOKUP('Données projet'!$B$10,Paramètres!$A$1:$I$89,3,0)*0.475*44/12</f>
        <v>4.8919790893142698E-3</v>
      </c>
      <c r="AX53" s="23">
        <f t="shared" si="6"/>
        <v>2.648600244990428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4.4620000000000006</v>
      </c>
      <c r="BD53" s="13">
        <f>IF('Données projet'!$A$88&gt;35,BD52+BC53-BL52,IF(A53&lt;'Données projet'!$A$88,$BA$205^A53,IF(A53='Données projet'!$A$88,'Données projet'!$B$88,BD52+BC53-BL52)))</f>
        <v>85.190000000000012</v>
      </c>
      <c r="BE53" s="14">
        <f>BD53*VLOOKUP('Données projet'!$B$11,Paramètres!$A$1:$I$89,3,0)*VLOOKUP('Données projet'!$B$11,Paramètres!$A$1:$I$89,5,0)</f>
        <v>77.079912000000007</v>
      </c>
      <c r="BF53" s="14">
        <f t="shared" si="37"/>
        <v>21.421669676032799</v>
      </c>
      <c r="BG53" s="22">
        <f t="shared" si="7"/>
        <v>171.55692141909046</v>
      </c>
      <c r="BH53" s="62">
        <f t="shared" si="8"/>
        <v>426.67790294856059</v>
      </c>
      <c r="BI53" s="62">
        <f ca="1">AVERAGE(OFFSET($BH$3,0,0,'Données projet'!$E$11+1,1))-AVERAGE(OFFSET($H$3,0,0,'Données projet'!$E$11+1,1))</f>
        <v>316.71836722354374</v>
      </c>
      <c r="BJ53" s="62">
        <f t="shared" si="38"/>
        <v>164.34067012996618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1.187804759812646</v>
      </c>
      <c r="BS53" s="24">
        <f t="shared" si="9"/>
        <v>1.187804759812646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6.5780000000000003</v>
      </c>
      <c r="BY53" s="13">
        <f>IF('Données projet'!$A$114&gt;35,BY52+BX53-CG52,IF(A53&lt;'Données projet'!$A$114,$BV$205^A53,IF(A53='Données projet'!$A$114,'Données projet'!$B$114,BY52+BX53-CG52)))</f>
        <v>172.7999999999999</v>
      </c>
      <c r="BZ53" s="14">
        <f>BY53*VLOOKUP('Données projet'!$B$12,Paramètres!$A$1:$I$89,3,0)*VLOOKUP('Données projet'!$B$12,Paramètres!$A$1:$I$89,5,0)</f>
        <v>196.78463999999988</v>
      </c>
      <c r="CA53" s="14">
        <f t="shared" si="39"/>
        <v>49.036863746442833</v>
      </c>
      <c r="CB53" s="22">
        <f t="shared" si="10"/>
        <v>428.13911902505441</v>
      </c>
      <c r="CC53" s="62">
        <f t="shared" si="11"/>
        <v>683.26010055452457</v>
      </c>
      <c r="CD53" s="62">
        <f ca="1">AVERAGE(OFFSET($CC$3,0,0,'Données projet'!$E$12+1,1))-AVERAGE(OFFSET($H$3,0,0,'Données projet'!$E$12+1,1))</f>
        <v>454.9779384236806</v>
      </c>
      <c r="CE53" s="62">
        <f t="shared" si="40"/>
        <v>379.32753348721906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5.717663963805423</v>
      </c>
      <c r="CM53" s="23">
        <f>EXP(-LN(2)/2)*CM52+(1-EXP(-LN(2)/2))/(LN(2)/2)*CG53*CJ53*VLOOKUP('Données projet'!$B$12,Paramètres!$A$1:$I$89,3,0)*0.475*44/12</f>
        <v>1.785443172453552</v>
      </c>
      <c r="CN53" s="24">
        <f t="shared" si="12"/>
        <v>7.5031071362589747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192.4</v>
      </c>
      <c r="CR53" s="13">
        <f>VLOOKUP(A53,'Données projet'!$A$139:$I$159,9,0)</f>
        <v>8.863999999999999</v>
      </c>
      <c r="CS53" s="13">
        <f t="array" ref="CS53">INDEX(CR:CR,MIN(IF(ISNUMBER(CR53:CR249),ROW(CR53:CR249),"")))</f>
        <v>8.863999999999999</v>
      </c>
      <c r="CT53" s="13">
        <f>IF('Données projet'!$A$140&gt;35,CT52+CS53-DB52,IF(A53&lt;'Données projet'!$A$140,$CQ$205^A53,IF(A53='Données projet'!$A$140,'Données projet'!$B$140,CT52+CS53-DB52)))</f>
        <v>192.40000000000003</v>
      </c>
      <c r="CU53" s="18">
        <f>CT53*VLOOKUP('Données projet'!$B$13,Paramètres!$A$1:$I$89,3,0)*VLOOKUP('Données projet'!$B$13,Paramètres!$A$1:$I$89,5,0)</f>
        <v>150.07200000000003</v>
      </c>
      <c r="CV53" s="14">
        <f t="shared" si="41"/>
        <v>38.594947422201457</v>
      </c>
      <c r="CW53" s="22">
        <f t="shared" si="13"/>
        <v>328.59493342700091</v>
      </c>
      <c r="CX53" s="62">
        <f t="shared" si="14"/>
        <v>583.71591495647101</v>
      </c>
      <c r="CY53" s="62">
        <f ca="1">AVERAGE(OFFSET($CX$3,0,0,'Données projet'!$E$13+1,1))-AVERAGE(OFFSET($H$3,0,0,'Données projet'!$E$13+1,1))</f>
        <v>252.10592533338991</v>
      </c>
      <c r="CZ53" s="62">
        <f t="shared" si="42"/>
        <v>272.71831345325313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32.43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0.30099999999999999</v>
      </c>
      <c r="DE53" s="17">
        <f>IF(ISNA(VLOOKUP(A53,'Données projet'!$A$139:$I$159,7,0)),0%,VLOOKUP(A53,'Données projet'!$A$139:$I$159,7,0))</f>
        <v>0.1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28.899017514579697</v>
      </c>
      <c r="DH53" s="23">
        <f>EXP(-LN(2)/2)*DH52+(1-EXP(-LN(2)/2))/(LN(2)/2)*DB53*DE53*VLOOKUP('Données projet'!$B$13,Paramètres!$A$1:$I$89,3,0)*0.475*44/12</f>
        <v>2.9902554419138792</v>
      </c>
      <c r="DI53" s="24">
        <f t="shared" si="15"/>
        <v>31.889272956493578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18.184999999999995</v>
      </c>
      <c r="DO53" s="13">
        <f>IF('Données projet'!$A$166&gt;35,DO52+DN53-DW52,IF(A53&lt;'Données projet'!$A$166,$DL$205^A53,IF(A53='Données projet'!$A$166,'Données projet'!$B$166,DO52+DN53-DW52)))</f>
        <v>330.60500000000013</v>
      </c>
      <c r="DP53" s="18">
        <f>DO53*VLOOKUP('Données projet'!$B$14,Paramètres!$A$1:$I$89,3,0)*VLOOKUP('Données projet'!$B$14,Paramètres!$A$1:$I$89,5,0)</f>
        <v>197.7017900000001</v>
      </c>
      <c r="DQ53" s="14">
        <f t="shared" si="43"/>
        <v>49.238751489052923</v>
      </c>
      <c r="DR53" s="22">
        <f t="shared" si="16"/>
        <v>430.08810976010068</v>
      </c>
      <c r="DS53" s="62">
        <f t="shared" si="17"/>
        <v>685.20909128957078</v>
      </c>
      <c r="DT53" s="62">
        <f ca="1">AVERAGE(OFFSET($DS$3,0,0,'Données projet'!$E$14+1,1))-AVERAGE(OFFSET($H$3,0,0,'Données projet'!$E$14+1,1))</f>
        <v>423.0896575168394</v>
      </c>
      <c r="DU53" s="62">
        <f t="shared" si="44"/>
        <v>305.98537395014284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42.545732882370331</v>
      </c>
      <c r="EC53" s="23">
        <f>EXP(-LN(2)/2)*EC52+(1-EXP(-LN(2)/2))/(LN(2)/2)*DW53*DZ53*VLOOKUP('Données projet'!$B$14,Paramètres!$A$1:$I$89,3,0)*0.475*44/12</f>
        <v>2.7615881773291631</v>
      </c>
      <c r="ED53" s="24">
        <f t="shared" si="18"/>
        <v>45.307321059699497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10.086</v>
      </c>
      <c r="EJ53" s="13">
        <f>IF('Données projet'!$A$192&gt;35,EJ52+EI53-ER52,IF(A53&lt;'Données projet'!$A$192,$EG$205^A53,IF(A53='Données projet'!$A$192,'Données projet'!$B$192,EJ52+EI53-ER52)))</f>
        <v>385.40000000000015</v>
      </c>
      <c r="EK53" s="18">
        <f>EJ53*VLOOKUP('Données projet'!$B$15,Paramètres!$A$1:$I$89,3,0)*VLOOKUP('Données projet'!$B$15,Paramètres!$A$1:$I$89,5,0)</f>
        <v>230.46920000000011</v>
      </c>
      <c r="EL53" s="14">
        <f t="shared" si="45"/>
        <v>56.38412150497895</v>
      </c>
      <c r="EM53" s="22">
        <f t="shared" si="19"/>
        <v>499.60286828783848</v>
      </c>
      <c r="EN53" s="62">
        <f t="shared" si="20"/>
        <v>754.72384981730852</v>
      </c>
      <c r="EO53" s="62">
        <f ca="1">AVERAGE(OFFSET($EN$3,0,0,'Données projet'!$E$15+1,1))-AVERAGE(OFFSET($H$3,0,0,'Données projet'!$E$15+1,1))</f>
        <v>281.21543175875604</v>
      </c>
      <c r="EP53" s="62">
        <f t="shared" si="46"/>
        <v>366.68536296857428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13.335988627641138</v>
      </c>
      <c r="EW53" s="23">
        <f>EXP(-LN(2)/25)*EW52+(1-EXP(-LN(2)/25))/(LN(2)/25)*Calculateur!ER53*Calculateur!ET53*VLOOKUP('Données projet'!$B$15,Paramètres!$A$1:$I$89,3,0)*0.475*44/12</f>
        <v>7.0549266935507831</v>
      </c>
      <c r="EX53" s="23">
        <f>EXP(-LN(2)/2)*EX52+(1-EXP(-LN(2)/2))/(LN(2)/2)*ER53*EU53*VLOOKUP('Données projet'!$B$15,Paramètres!$A$1:$I$89,3,0)*0.475*44/12</f>
        <v>1.7627537251925132E-2</v>
      </c>
      <c r="EY53" s="24">
        <f t="shared" si="21"/>
        <v>20.408542858443845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275.58</v>
      </c>
      <c r="FC53" s="13">
        <f>VLOOKUP(A53,'Données projet'!$A$217:$I$237,9,0)</f>
        <v>14.748000000000001</v>
      </c>
      <c r="FD53" s="13">
        <f t="array" ref="FD53">INDEX(FC:FC,MIN(IF(ISNUMBER(FC53:FC249),ROW(FC53:FC249),"")))</f>
        <v>14.748000000000001</v>
      </c>
      <c r="FE53" s="13">
        <f>IF('Données projet'!$A$218&gt;35,FE52+FD53-FM52,IF(A53&lt;'Données projet'!$A$218,$FB$205^A53,IF(A53='Données projet'!$A$218,'Données projet'!$B$218,FE52+FD53-FM52)))</f>
        <v>275.57999999999993</v>
      </c>
      <c r="FF53" s="18">
        <f>FE53*VLOOKUP('Données projet'!$B$16,Paramètres!$A$1:$I$89,3,0)*VLOOKUP('Données projet'!$B$16,Paramètres!$A$1:$I$89,5,0)</f>
        <v>154.04921999999996</v>
      </c>
      <c r="FG53" s="14">
        <f t="shared" si="47"/>
        <v>39.497353991736361</v>
      </c>
      <c r="FH53" s="22">
        <f t="shared" si="22"/>
        <v>337.09361636894073</v>
      </c>
      <c r="FI53" s="62">
        <f t="shared" si="23"/>
        <v>592.21459789841083</v>
      </c>
      <c r="FJ53" s="62">
        <f ca="1">AVERAGE(OFFSET($FI$3,0,0,'Données projet'!$E$16+1,1))-AVERAGE(OFFSET($H$3,0,0,'Données projet'!$E$16+1,1))</f>
        <v>280.9225643428145</v>
      </c>
      <c r="FK53" s="62">
        <f t="shared" si="48"/>
        <v>236.89414218053955</v>
      </c>
      <c r="FL53" s="16">
        <f>IF(ISNA(VLOOKUP(A53,'Données projet'!$A$217:$I$237,3,0)),0,VLOOKUP(A53,'Données projet'!$A$217:$I$237,3,0))</f>
        <v>6</v>
      </c>
      <c r="FM53" s="16">
        <f>IF(ISNA(VLOOKUP(A53,'Données projet'!$A$217:$I$237,4,0)),0,VLOOKUP(A53,'Données projet'!$A$217:$I$237,4,0))</f>
        <v>57.6</v>
      </c>
      <c r="FN53" s="17">
        <f>IF(ISNA(VLOOKUP(A53,'Données projet'!$A$217:$I$237,5,0)),0%,VLOOKUP(A53,'Données projet'!$A$217:$I$237,5,0)*VLOOKUP('Données projet'!$B$16,Paramètres!$A$1:$I$89,7,0))</f>
        <v>0.38500000000000001</v>
      </c>
      <c r="FO53" s="17">
        <f>IF(ISNA(VLOOKUP(A53,'Données projet'!$A$217:$I$237,6,0)),0%,VLOOKUP(A53,'Données projet'!$A$217:$I$237,6,0)*VLOOKUP('Données projet'!$B$16,Paramètres!$A$1:$I$89,7,0))</f>
        <v>0.11000000000000001</v>
      </c>
      <c r="FP53" s="17">
        <f>IF(ISNA(VLOOKUP(A53,'Données projet'!$A$217:$I$237,7,0)),0%,VLOOKUP(A53,'Données projet'!$A$217:$I$237,7,0))</f>
        <v>0.1</v>
      </c>
      <c r="FQ53" s="23">
        <f>EXP(-LN(2)/35)*FQ52+(1-EXP(-LN(2)/35))/(LN(2)/35)*FM53*FN53*VLOOKUP('Données projet'!$B$16,Paramètres!$A$1:$I$89,3,0)*0.475*44/12</f>
        <v>32.926555257761699</v>
      </c>
      <c r="FR53" s="23">
        <f>EXP(-LN(2)/25)*FR52+(1-EXP(-LN(2)/25))/(LN(2)/25)*Calculateur!FM53*Calculateur!FO53*VLOOKUP('Données projet'!$B$16,Paramètres!$A$1:$I$89,3,0)*0.475*44/12</f>
        <v>34.984494520571666</v>
      </c>
      <c r="FS53" s="23">
        <f>EXP(-LN(2)/2)*FS52+(1-EXP(-LN(2)/2))/(LN(2)/2)*FM53*FP53*VLOOKUP('Données projet'!$B$16,Paramètres!$A$1:$I$89,3,0)*0.475*44/12</f>
        <v>4.3946059763597241</v>
      </c>
      <c r="FT53" s="24">
        <f t="shared" si="24"/>
        <v>72.305655754693092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351.45</v>
      </c>
      <c r="FX53" s="13">
        <f>VLOOKUP(A53,'Données projet'!$A$243:$I$263,9,0)</f>
        <v>10.706000000000007</v>
      </c>
      <c r="FY53" s="13">
        <f t="array" ref="FY53">INDEX(FX:FX,MIN(IF(ISNUMBER(FX53:FX249),ROW(FX53:FX249),"")))</f>
        <v>10.706000000000007</v>
      </c>
      <c r="FZ53" s="13">
        <f>IF('Données projet'!$A$244&gt;35,FZ52+FY53-GH52,IF(A53&lt;'Données projet'!$A$244,$FW$205^A53,IF(A53='Données projet'!$A$244,'Données projet'!$B$244,FZ52+FY53-GH52)))</f>
        <v>351.4499999999997</v>
      </c>
      <c r="GA53" s="18">
        <f>FZ53*VLOOKUP('Données projet'!$B$17,Paramètres!$A$1:$I$89,3,0)*VLOOKUP('Données projet'!$B$17,Paramètres!$A$1:$I$89,5,0)</f>
        <v>155.34089999999989</v>
      </c>
      <c r="GB53" s="14">
        <f t="shared" si="49"/>
        <v>39.789841830159219</v>
      </c>
      <c r="GC53" s="22">
        <f t="shared" si="25"/>
        <v>339.85270868752713</v>
      </c>
      <c r="GD53" s="62">
        <f t="shared" si="26"/>
        <v>594.97369021699728</v>
      </c>
      <c r="GE53" s="62">
        <f ca="1">AVERAGE(OFFSET($GD$3,0,0,'Données projet'!$E$17+1,1))-AVERAGE(OFFSET($H$3,0,0,'Données projet'!$E$17+1,1))</f>
        <v>325.67421864225201</v>
      </c>
      <c r="GF53" s="62">
        <f t="shared" si="50"/>
        <v>542.01920418736745</v>
      </c>
      <c r="GG53" s="16">
        <f>IF(ISNA(VLOOKUP(A53,'Données projet'!$A$243:$I$263,3,0)),0,VLOOKUP(A53,'Données projet'!$A$243:$I$263,3,0))</f>
        <v>7</v>
      </c>
      <c r="GH53" s="16">
        <f>IF(ISNA(VLOOKUP(A53,'Données projet'!$A$243:$I$263,4,0)),0,VLOOKUP(A53,'Données projet'!$A$243:$I$263,4,0))</f>
        <v>66.42</v>
      </c>
      <c r="GI53" s="17">
        <f>IF(ISNA(VLOOKUP(A53,'Données projet'!$A$243:$I$263,5,0)),0%,VLOOKUP(A53,'Données projet'!$A$243:$I$263,5,0)*VLOOKUP('Données projet'!$B$17,Paramètres!$A$1:$I$89,7,0))</f>
        <v>0.38500000000000001</v>
      </c>
      <c r="GJ53" s="17">
        <f>IF(ISNA(VLOOKUP(A53,'Données projet'!$A$243:$I$263,6,0)),0%,VLOOKUP(A53,'Données projet'!$A$243:$I$263,6,0)*VLOOKUP('Données projet'!$B$17,Paramètres!$A$1:$I$89,7,0))</f>
        <v>0.11000000000000001</v>
      </c>
      <c r="GK53" s="17">
        <f>IF(ISNA(VLOOKUP(A53,'Données projet'!$A$243:$I$263,7,0)),0%,VLOOKUP(A53,'Données projet'!$A$243:$I$263,7,0))</f>
        <v>0.1</v>
      </c>
      <c r="GL53" s="23">
        <f>EXP(-LN(2)/35)*GL52+(1-EXP(-LN(2)/35))/(LN(2)/35)*GH53*GI53*VLOOKUP('Données projet'!$B$17,Paramètres!$A$1:$I$89,3,0)*0.475*44/12</f>
        <v>31.675590655055387</v>
      </c>
      <c r="GM53" s="23">
        <f>EXP(-LN(2)/25)*GM52+(1-EXP(-LN(2)/25))/(LN(2)/25)*Calculateur!GH53*Calculateur!GJ53*VLOOKUP('Données projet'!$B$17,Paramètres!$A$1:$I$89,3,0)*0.475*44/12</f>
        <v>97.70109543247716</v>
      </c>
      <c r="GN53" s="23">
        <f>EXP(-LN(2)/2)*GN52+(1-EXP(-LN(2)/2))/(LN(2)/2)*GH53*GK53*VLOOKUP('Données projet'!$B$17,Paramètres!$A$1:$I$89,3,0)*0.475*44/12</f>
        <v>4.4760382187785259</v>
      </c>
      <c r="GO53" s="23">
        <f t="shared" si="27"/>
        <v>133.85272430631107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2.8959999999999995</v>
      </c>
      <c r="GU53" s="13">
        <f>IF('Données projet'!$A$270&gt;35,GU52+GT53-HC52,IF(A53&lt;'Données projet'!$A$270,$GR$205^A53,IF(A53='Données projet'!$A$270,'Données projet'!$B$270,GU52+GT53-HC52)))</f>
        <v>55.769999999999982</v>
      </c>
      <c r="GV53" s="18">
        <f>GU53*VLOOKUP('Données projet'!$B$18,Paramètres!$A$1:$I$89,3,0)*VLOOKUP('Données projet'!$B$18,Paramètres!$A$1:$I$89,5,0)</f>
        <v>56.550779999999982</v>
      </c>
      <c r="GW53" s="14">
        <f t="shared" si="51"/>
        <v>16.29321586356193</v>
      </c>
      <c r="GX53" s="22">
        <f t="shared" si="28"/>
        <v>126.86995946237033</v>
      </c>
      <c r="GY53" s="62">
        <f t="shared" si="29"/>
        <v>381.99094099184043</v>
      </c>
      <c r="GZ53" s="62">
        <f ca="1">AVERAGE(OFFSET($GY$3,0,0,'Données projet'!$E$18+1,1))-AVERAGE(OFFSET($H$3,0,0,'Données projet'!$E$18+1,1))</f>
        <v>220.89224520315713</v>
      </c>
      <c r="HA53" s="62">
        <f t="shared" si="52"/>
        <v>141.82763623159096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1.2759999999999998</v>
      </c>
      <c r="N54" s="14">
        <f>IF('Données projet'!$A$36&gt;35,N53+M54-V53,IF(A54&lt;'Données projet'!$A$36,$K$205^A54,IF(A54='Données projet'!$A$36,'Données projet'!$B$36,N53+M54-V53)))</f>
        <v>11.585999999999986</v>
      </c>
      <c r="O54" s="14">
        <f>N54*VLOOKUP('Données projet'!$B$9,Paramètres!$A$1:$I$89,3,0)*VLOOKUP('Données projet'!$B$9,Paramètres!$A$1:$I$89,5,0)</f>
        <v>11.205979199999987</v>
      </c>
      <c r="P54" s="14">
        <f t="shared" si="33"/>
        <v>3.8980366558851389</v>
      </c>
      <c r="Q54" s="22">
        <f t="shared" si="53"/>
        <v>26.306160948999928</v>
      </c>
      <c r="R54" s="62">
        <f t="shared" si="0"/>
        <v>282.09004135224677</v>
      </c>
      <c r="S54" s="62">
        <f ca="1">AVERAGE(OFFSET($R$3,0,0,'Données projet'!$E$9+1,1))-AVERAGE(OFFSET($H$3,0,0,'Données projet'!$E$9+1,1))</f>
        <v>84.959354125980269</v>
      </c>
      <c r="T54" s="62">
        <f t="shared" si="34"/>
        <v>89.658970210276806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4.1344606221605282</v>
      </c>
      <c r="AB54" s="23">
        <f>EXP(-LN(2)/2)*AB53+(1-EXP(-LN(2)/2))/(LN(2)/2)*V54*Y54*VLOOKUP('Données projet'!$B$9,Paramètres!$A$1:$I$89,3,0)*0.475*44/12</f>
        <v>1.0132094961513582</v>
      </c>
      <c r="AC54" s="24">
        <f t="shared" si="3"/>
        <v>5.1476701183118863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6.5376666666666665</v>
      </c>
      <c r="AI54" s="14">
        <f>IF('Données projet'!$A$62&gt;35,AI53+AH54-AQ53,IF(A54&lt;'Données projet'!$A$62,$AF$205^A54,IF(A54='Données projet'!$A$62,'Données projet'!$B$62,AI53+AH54-AQ53)))</f>
        <v>179.86100000000002</v>
      </c>
      <c r="AJ54" s="14">
        <f>AI54*VLOOKUP('Données projet'!$B$10,Paramètres!$A$1:$I$89,3,0)*VLOOKUP('Données projet'!$B$10,Paramètres!$A$1:$I$89,5,0)</f>
        <v>171.15572760000003</v>
      </c>
      <c r="AK54" s="14">
        <f t="shared" si="35"/>
        <v>43.348765963686574</v>
      </c>
      <c r="AL54" s="22">
        <f t="shared" si="4"/>
        <v>373.59532629008748</v>
      </c>
      <c r="AM54" s="62">
        <f t="shared" si="5"/>
        <v>629.37920669333425</v>
      </c>
      <c r="AN54" s="62">
        <f ca="1">AVERAGE(OFFSET($AM$3,0,0,'Données projet'!$E$10+1,1))-AVERAGE(OFFSET($H$3,0,0,'Données projet'!$E$10+1,1))</f>
        <v>592.76231355549089</v>
      </c>
      <c r="AO54" s="62">
        <f t="shared" si="36"/>
        <v>200.66895551079014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2.5714159243434724</v>
      </c>
      <c r="AW54" s="23">
        <f>EXP(-LN(2)/2)*AW53+(1-EXP(-LN(2)/2))/(LN(2)/2)*AQ54*AT54*VLOOKUP('Données projet'!$B$10,Paramètres!$A$1:$I$89,3,0)*0.475*44/12</f>
        <v>3.4591515874769115E-3</v>
      </c>
      <c r="AX54" s="23">
        <f t="shared" si="6"/>
        <v>2.5748750759309496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4.4620000000000006</v>
      </c>
      <c r="BD54" s="13">
        <f>IF('Données projet'!$A$88&gt;35,BD53+BC54-BL53,IF(A54&lt;'Données projet'!$A$88,$BA$205^A54,IF(A54='Données projet'!$A$88,'Données projet'!$B$88,BD53+BC54-BL53)))</f>
        <v>89.652000000000015</v>
      </c>
      <c r="BE54" s="14">
        <f>BD54*VLOOKUP('Données projet'!$B$11,Paramètres!$A$1:$I$89,3,0)*VLOOKUP('Données projet'!$B$11,Paramètres!$A$1:$I$89,5,0)</f>
        <v>81.117129600000013</v>
      </c>
      <c r="BF54" s="14">
        <f t="shared" si="37"/>
        <v>22.410107281251811</v>
      </c>
      <c r="BG54" s="22">
        <f t="shared" si="7"/>
        <v>180.30993756818023</v>
      </c>
      <c r="BH54" s="62">
        <f t="shared" si="8"/>
        <v>436.09381797142703</v>
      </c>
      <c r="BI54" s="62">
        <f ca="1">AVERAGE(OFFSET($BH$3,0,0,'Données projet'!$E$11+1,1))-AVERAGE(OFFSET($H$3,0,0,'Données projet'!$E$11+1,1))</f>
        <v>316.71836722354374</v>
      </c>
      <c r="BJ54" s="62">
        <f t="shared" si="38"/>
        <v>164.34067012996618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0.83990480038918036</v>
      </c>
      <c r="BS54" s="24">
        <f t="shared" si="9"/>
        <v>0.83990480038918036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6.5780000000000003</v>
      </c>
      <c r="BY54" s="13">
        <f>IF('Données projet'!$A$114&gt;35,BY53+BX54-CG53,IF(A54&lt;'Données projet'!$A$114,$BV$205^A54,IF(A54='Données projet'!$A$114,'Données projet'!$B$114,BY53+BX54-CG53)))</f>
        <v>179.3779999999999</v>
      </c>
      <c r="BZ54" s="14">
        <f>BY54*VLOOKUP('Données projet'!$B$12,Paramètres!$A$1:$I$89,3,0)*VLOOKUP('Données projet'!$B$12,Paramètres!$A$1:$I$89,5,0)</f>
        <v>204.27566639999989</v>
      </c>
      <c r="CA54" s="14">
        <f t="shared" si="39"/>
        <v>50.682669840648003</v>
      </c>
      <c r="CB54" s="22">
        <f t="shared" si="10"/>
        <v>444.0524356191284</v>
      </c>
      <c r="CC54" s="62">
        <f t="shared" si="11"/>
        <v>699.83631602237529</v>
      </c>
      <c r="CD54" s="62">
        <f ca="1">AVERAGE(OFFSET($CC$3,0,0,'Données projet'!$E$12+1,1))-AVERAGE(OFFSET($H$3,0,0,'Données projet'!$E$12+1,1))</f>
        <v>454.9779384236806</v>
      </c>
      <c r="CE54" s="62">
        <f t="shared" si="40"/>
        <v>379.32753348721906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5.5613141420362835</v>
      </c>
      <c r="CM54" s="23">
        <f>EXP(-LN(2)/2)*CM53+(1-EXP(-LN(2)/2))/(LN(2)/2)*CG54*CJ54*VLOOKUP('Données projet'!$B$12,Paramètres!$A$1:$I$89,3,0)*0.475*44/12</f>
        <v>1.2624989746651292</v>
      </c>
      <c r="CN54" s="24">
        <f t="shared" si="12"/>
        <v>6.8238131167014124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8.4519999999999982</v>
      </c>
      <c r="CT54" s="13">
        <f>IF('Données projet'!$A$140&gt;35,CT53+CS54-DB53,IF(A54&lt;'Données projet'!$A$140,$CQ$205^A54,IF(A54='Données projet'!$A$140,'Données projet'!$B$140,CT53+CS54-DB53)))</f>
        <v>168.42200000000003</v>
      </c>
      <c r="CU54" s="18">
        <f>CT54*VLOOKUP('Données projet'!$B$13,Paramètres!$A$1:$I$89,3,0)*VLOOKUP('Données projet'!$B$13,Paramètres!$A$1:$I$89,5,0)</f>
        <v>131.36916000000002</v>
      </c>
      <c r="CV54" s="14">
        <f t="shared" si="41"/>
        <v>34.312538840110115</v>
      </c>
      <c r="CW54" s="22">
        <f t="shared" si="13"/>
        <v>288.56229214652512</v>
      </c>
      <c r="CX54" s="62">
        <f t="shared" si="14"/>
        <v>544.34617254977195</v>
      </c>
      <c r="CY54" s="62">
        <f ca="1">AVERAGE(OFFSET($CX$3,0,0,'Données projet'!$E$13+1,1))-AVERAGE(OFFSET($H$3,0,0,'Données projet'!$E$13+1,1))</f>
        <v>252.10592533338991</v>
      </c>
      <c r="CZ54" s="62">
        <f t="shared" si="42"/>
        <v>272.71831345325313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28.108772360910233</v>
      </c>
      <c r="DH54" s="23">
        <f>EXP(-LN(2)/2)*DH53+(1-EXP(-LN(2)/2))/(LN(2)/2)*DB54*DE54*VLOOKUP('Données projet'!$B$13,Paramètres!$A$1:$I$89,3,0)*0.475*44/12</f>
        <v>2.1144299004572806</v>
      </c>
      <c r="DI54" s="24">
        <f t="shared" si="15"/>
        <v>30.223202261367515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18.184999999999995</v>
      </c>
      <c r="DO54" s="13">
        <f>IF('Données projet'!$A$166&gt;35,DO53+DN54-DW53,IF(A54&lt;'Données projet'!$A$166,$DL$205^A54,IF(A54='Données projet'!$A$166,'Données projet'!$B$166,DO53+DN54-DW53)))</f>
        <v>348.79000000000013</v>
      </c>
      <c r="DP54" s="18">
        <f>DO54*VLOOKUP('Données projet'!$B$14,Paramètres!$A$1:$I$89,3,0)*VLOOKUP('Données projet'!$B$14,Paramètres!$A$1:$I$89,5,0)</f>
        <v>208.57642000000013</v>
      </c>
      <c r="DQ54" s="14">
        <f t="shared" si="43"/>
        <v>51.624374605682632</v>
      </c>
      <c r="DR54" s="22">
        <f t="shared" si="16"/>
        <v>453.18305060489746</v>
      </c>
      <c r="DS54" s="62">
        <f t="shared" si="17"/>
        <v>708.96693100814423</v>
      </c>
      <c r="DT54" s="62">
        <f ca="1">AVERAGE(OFFSET($DS$3,0,0,'Données projet'!$E$14+1,1))-AVERAGE(OFFSET($H$3,0,0,'Données projet'!$E$14+1,1))</f>
        <v>423.0896575168394</v>
      </c>
      <c r="DU54" s="62">
        <f t="shared" si="44"/>
        <v>305.98537395014284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41.382317579319064</v>
      </c>
      <c r="EC54" s="23">
        <f>EXP(-LN(2)/2)*EC53+(1-EXP(-LN(2)/2))/(LN(2)/2)*DW54*DZ54*VLOOKUP('Données projet'!$B$14,Paramètres!$A$1:$I$89,3,0)*0.475*44/12</f>
        <v>1.9527377270340494</v>
      </c>
      <c r="ED54" s="24">
        <f t="shared" si="18"/>
        <v>43.335055306353112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10.086</v>
      </c>
      <c r="EJ54" s="13">
        <f>IF('Données projet'!$A$192&gt;35,EJ53+EI54-ER53,IF(A54&lt;'Données projet'!$A$192,$EG$205^A54,IF(A54='Données projet'!$A$192,'Données projet'!$B$192,EJ53+EI54-ER53)))</f>
        <v>395.48600000000016</v>
      </c>
      <c r="EK54" s="18">
        <f>EJ54*VLOOKUP('Données projet'!$B$15,Paramètres!$A$1:$I$89,3,0)*VLOOKUP('Données projet'!$B$15,Paramètres!$A$1:$I$89,5,0)</f>
        <v>236.50062800000012</v>
      </c>
      <c r="EL54" s="14">
        <f t="shared" si="45"/>
        <v>57.685981140778068</v>
      </c>
      <c r="EM54" s="22">
        <f t="shared" si="19"/>
        <v>512.37501092018863</v>
      </c>
      <c r="EN54" s="62">
        <f t="shared" si="20"/>
        <v>768.15889132343545</v>
      </c>
      <c r="EO54" s="62">
        <f ca="1">AVERAGE(OFFSET($EN$3,0,0,'Données projet'!$E$15+1,1))-AVERAGE(OFFSET($H$3,0,0,'Données projet'!$E$15+1,1))</f>
        <v>281.21543175875604</v>
      </c>
      <c r="EP54" s="62">
        <f t="shared" si="46"/>
        <v>366.68536296857428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13.074478024802977</v>
      </c>
      <c r="EW54" s="23">
        <f>EXP(-LN(2)/25)*EW53+(1-EXP(-LN(2)/25))/(LN(2)/25)*Calculateur!ER54*Calculateur!ET54*VLOOKUP('Données projet'!$B$15,Paramètres!$A$1:$I$89,3,0)*0.475*44/12</f>
        <v>6.8620093521131666</v>
      </c>
      <c r="EX54" s="23">
        <f>EXP(-LN(2)/2)*EX53+(1-EXP(-LN(2)/2))/(LN(2)/2)*ER54*EU54*VLOOKUP('Données projet'!$B$15,Paramètres!$A$1:$I$89,3,0)*0.475*44/12</f>
        <v>1.246455112645474E-2</v>
      </c>
      <c r="EY54" s="24">
        <f t="shared" si="21"/>
        <v>19.9489519280426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14.028000000000002</v>
      </c>
      <c r="FE54" s="13">
        <f>IF('Données projet'!$A$218&gt;35,FE53+FD54-FM53,IF(A54&lt;'Données projet'!$A$218,$FB$205^A54,IF(A54='Données projet'!$A$218,'Données projet'!$B$218,FE53+FD54-FM53)))</f>
        <v>232.00799999999995</v>
      </c>
      <c r="FF54" s="18">
        <f>FE54*VLOOKUP('Données projet'!$B$16,Paramètres!$A$1:$I$89,3,0)*VLOOKUP('Données projet'!$B$16,Paramètres!$A$1:$I$89,5,0)</f>
        <v>129.69247199999998</v>
      </c>
      <c r="FG54" s="14">
        <f t="shared" si="47"/>
        <v>33.92528884868247</v>
      </c>
      <c r="FH54" s="22">
        <f t="shared" si="22"/>
        <v>284.96760014478861</v>
      </c>
      <c r="FI54" s="62">
        <f t="shared" si="23"/>
        <v>540.75148054803549</v>
      </c>
      <c r="FJ54" s="62">
        <f ca="1">AVERAGE(OFFSET($FI$3,0,0,'Données projet'!$E$16+1,1))-AVERAGE(OFFSET($H$3,0,0,'Données projet'!$E$16+1,1))</f>
        <v>280.9225643428145</v>
      </c>
      <c r="FK54" s="62">
        <f t="shared" si="48"/>
        <v>236.89414218053955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32.280885592372648</v>
      </c>
      <c r="FR54" s="23">
        <f>EXP(-LN(2)/25)*FR53+(1-EXP(-LN(2)/25))/(LN(2)/25)*Calculateur!FM54*Calculateur!FO54*VLOOKUP('Données projet'!$B$16,Paramètres!$A$1:$I$89,3,0)*0.475*44/12</f>
        <v>34.027841678152022</v>
      </c>
      <c r="FS54" s="23">
        <f>EXP(-LN(2)/2)*FS53+(1-EXP(-LN(2)/2))/(LN(2)/2)*FM54*FP54*VLOOKUP('Données projet'!$B$16,Paramètres!$A$1:$I$89,3,0)*0.475*44/12</f>
        <v>3.1074556865268899</v>
      </c>
      <c r="FT54" s="24">
        <f t="shared" si="24"/>
        <v>69.416182957051561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8.8080000000000034</v>
      </c>
      <c r="FZ54" s="13">
        <f>IF('Données projet'!$A$244&gt;35,FZ53+FY54-GH53,IF(A54&lt;'Données projet'!$A$244,$FW$205^A54,IF(A54='Données projet'!$A$244,'Données projet'!$B$244,FZ53+FY54-GH53)))</f>
        <v>293.83799999999968</v>
      </c>
      <c r="GA54" s="18">
        <f>FZ54*VLOOKUP('Données projet'!$B$17,Paramètres!$A$1:$I$89,3,0)*VLOOKUP('Données projet'!$B$17,Paramètres!$A$1:$I$89,5,0)</f>
        <v>129.87639599999989</v>
      </c>
      <c r="GB54" s="14">
        <f t="shared" si="49"/>
        <v>33.967796496011388</v>
      </c>
      <c r="GC54" s="22">
        <f t="shared" si="25"/>
        <v>285.36196859721957</v>
      </c>
      <c r="GD54" s="62">
        <f t="shared" si="26"/>
        <v>541.14584900046634</v>
      </c>
      <c r="GE54" s="62">
        <f ca="1">AVERAGE(OFFSET($GD$3,0,0,'Données projet'!$E$17+1,1))-AVERAGE(OFFSET($H$3,0,0,'Données projet'!$E$17+1,1))</f>
        <v>325.67421864225201</v>
      </c>
      <c r="GF54" s="62">
        <f t="shared" si="50"/>
        <v>542.01920418736745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31.05445164251234</v>
      </c>
      <c r="GM54" s="23">
        <f>EXP(-LN(2)/25)*GM53+(1-EXP(-LN(2)/25))/(LN(2)/25)*Calculateur!GH54*Calculateur!GJ54*VLOOKUP('Données projet'!$B$17,Paramètres!$A$1:$I$89,3,0)*0.475*44/12</f>
        <v>95.029453839998766</v>
      </c>
      <c r="GN54" s="23">
        <f>EXP(-LN(2)/2)*GN53+(1-EXP(-LN(2)/2))/(LN(2)/2)*GH54*GK54*VLOOKUP('Données projet'!$B$17,Paramètres!$A$1:$I$89,3,0)*0.475*44/12</f>
        <v>3.1650369773484512</v>
      </c>
      <c r="GO54" s="23">
        <f t="shared" si="27"/>
        <v>129.24894245985956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2.8959999999999995</v>
      </c>
      <c r="GU54" s="13">
        <f>IF('Données projet'!$A$270&gt;35,GU53+GT54-HC53,IF(A54&lt;'Données projet'!$A$270,$GR$205^A54,IF(A54='Données projet'!$A$270,'Données projet'!$B$270,GU53+GT54-HC53)))</f>
        <v>58.665999999999983</v>
      </c>
      <c r="GV54" s="18">
        <f>GU54*VLOOKUP('Données projet'!$B$18,Paramètres!$A$1:$I$89,3,0)*VLOOKUP('Données projet'!$B$18,Paramètres!$A$1:$I$89,5,0)</f>
        <v>59.487323999999987</v>
      </c>
      <c r="GW54" s="14">
        <f t="shared" si="51"/>
        <v>17.03858376883765</v>
      </c>
      <c r="GX54" s="22">
        <f t="shared" si="28"/>
        <v>133.28262269739221</v>
      </c>
      <c r="GY54" s="62">
        <f t="shared" si="29"/>
        <v>389.06650310063901</v>
      </c>
      <c r="GZ54" s="62">
        <f ca="1">AVERAGE(OFFSET($GY$3,0,0,'Données projet'!$E$18+1,1))-AVERAGE(OFFSET($H$3,0,0,'Données projet'!$E$18+1,1))</f>
        <v>220.89224520315713</v>
      </c>
      <c r="HA54" s="62">
        <f t="shared" si="52"/>
        <v>141.82763623159096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1.2759999999999998</v>
      </c>
      <c r="N55" s="14">
        <f>IF('Données projet'!$A$36&gt;35,N54+M55-V54,IF(A55&lt;'Données projet'!$A$36,$K$205^A55,IF(A55='Données projet'!$A$36,'Données projet'!$B$36,N54+M55-V54)))</f>
        <v>12.861999999999986</v>
      </c>
      <c r="O55" s="14">
        <f>N55*VLOOKUP('Données projet'!$B$9,Paramètres!$A$1:$I$89,3,0)*VLOOKUP('Données projet'!$B$9,Paramètres!$A$1:$I$89,5,0)</f>
        <v>12.440126399999988</v>
      </c>
      <c r="P55" s="14">
        <f t="shared" si="33"/>
        <v>4.2750308398397046</v>
      </c>
      <c r="Q55" s="22">
        <f t="shared" si="53"/>
        <v>29.112232192720796</v>
      </c>
      <c r="R55" s="62">
        <f t="shared" si="0"/>
        <v>285.54751165630415</v>
      </c>
      <c r="S55" s="62">
        <f ca="1">AVERAGE(OFFSET($R$3,0,0,'Données projet'!$E$9+1,1))-AVERAGE(OFFSET($H$3,0,0,'Données projet'!$E$9+1,1))</f>
        <v>84.959354125980269</v>
      </c>
      <c r="T55" s="62">
        <f t="shared" si="34"/>
        <v>89.658970210276806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4.0214035790257139</v>
      </c>
      <c r="AB55" s="23">
        <f>EXP(-LN(2)/2)*AB54+(1-EXP(-LN(2)/2))/(LN(2)/2)*V55*Y55*VLOOKUP('Données projet'!$B$9,Paramètres!$A$1:$I$89,3,0)*0.475*44/12</f>
        <v>0.71644730549123059</v>
      </c>
      <c r="AC55" s="24">
        <f t="shared" si="3"/>
        <v>4.7378508845169449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6.5376666666666665</v>
      </c>
      <c r="AI55" s="14">
        <f>IF('Données projet'!$A$62&gt;35,AI54+AH55-AQ54,IF(A55&lt;'Données projet'!$A$62,$AF$205^A55,IF(A55='Données projet'!$A$62,'Données projet'!$B$62,AI54+AH55-AQ54)))</f>
        <v>186.39866666666668</v>
      </c>
      <c r="AJ55" s="14">
        <f>AI55*VLOOKUP('Données projet'!$B$10,Paramètres!$A$1:$I$89,3,0)*VLOOKUP('Données projet'!$B$10,Paramètres!$A$1:$I$89,5,0)</f>
        <v>177.37697120000004</v>
      </c>
      <c r="AK55" s="14">
        <f t="shared" si="35"/>
        <v>44.738112942304802</v>
      </c>
      <c r="AL55" s="22">
        <f t="shared" si="4"/>
        <v>386.85043821451427</v>
      </c>
      <c r="AM55" s="62">
        <f t="shared" si="5"/>
        <v>643.28571767809763</v>
      </c>
      <c r="AN55" s="62">
        <f ca="1">AVERAGE(OFFSET($AM$3,0,0,'Données projet'!$E$10+1,1))-AVERAGE(OFFSET($H$3,0,0,'Données projet'!$E$10+1,1))</f>
        <v>592.76231355549089</v>
      </c>
      <c r="AO55" s="62">
        <f t="shared" si="36"/>
        <v>200.66895551079014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2.5011004206674139</v>
      </c>
      <c r="AW55" s="23">
        <f>EXP(-LN(2)/2)*AW54+(1-EXP(-LN(2)/2))/(LN(2)/2)*AQ55*AT55*VLOOKUP('Données projet'!$B$10,Paramètres!$A$1:$I$89,3,0)*0.475*44/12</f>
        <v>2.4459895446571349E-3</v>
      </c>
      <c r="AX55" s="23">
        <f t="shared" si="6"/>
        <v>2.503546410212071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4.4620000000000006</v>
      </c>
      <c r="BD55" s="13">
        <f>IF('Données projet'!$A$88&gt;35,BD54+BC55-BL54,IF(A55&lt;'Données projet'!$A$88,$BA$205^A55,IF(A55='Données projet'!$A$88,'Données projet'!$B$88,BD54+BC55-BL54)))</f>
        <v>94.114000000000019</v>
      </c>
      <c r="BE55" s="14">
        <f>BD55*VLOOKUP('Données projet'!$B$11,Paramètres!$A$1:$I$89,3,0)*VLOOKUP('Données projet'!$B$11,Paramètres!$A$1:$I$89,5,0)</f>
        <v>85.154347200000018</v>
      </c>
      <c r="BF55" s="14">
        <f t="shared" si="37"/>
        <v>23.392832681543393</v>
      </c>
      <c r="BG55" s="22">
        <f t="shared" si="7"/>
        <v>189.05300496035477</v>
      </c>
      <c r="BH55" s="62">
        <f t="shared" si="8"/>
        <v>445.48828442393813</v>
      </c>
      <c r="BI55" s="62">
        <f ca="1">AVERAGE(OFFSET($BH$3,0,0,'Données projet'!$E$11+1,1))-AVERAGE(OFFSET($H$3,0,0,'Données projet'!$E$11+1,1))</f>
        <v>316.71836722354374</v>
      </c>
      <c r="BJ55" s="62">
        <f t="shared" si="38"/>
        <v>164.34067012996618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0.59390237990632311</v>
      </c>
      <c r="BS55" s="24">
        <f t="shared" si="9"/>
        <v>0.59390237990632311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6.5780000000000003</v>
      </c>
      <c r="BY55" s="13">
        <f>IF('Données projet'!$A$114&gt;35,BY54+BX55-CG54,IF(A55&lt;'Données projet'!$A$114,$BV$205^A55,IF(A55='Données projet'!$A$114,'Données projet'!$B$114,BY54+BX55-CG54)))</f>
        <v>185.9559999999999</v>
      </c>
      <c r="BZ55" s="14">
        <f>BY55*VLOOKUP('Données projet'!$B$12,Paramètres!$A$1:$I$89,3,0)*VLOOKUP('Données projet'!$B$12,Paramètres!$A$1:$I$89,5,0)</f>
        <v>211.7666927999999</v>
      </c>
      <c r="CA55" s="14">
        <f t="shared" si="39"/>
        <v>52.321464085145678</v>
      </c>
      <c r="CB55" s="22">
        <f t="shared" si="10"/>
        <v>459.95353990829517</v>
      </c>
      <c r="CC55" s="62">
        <f t="shared" si="11"/>
        <v>716.38881937187853</v>
      </c>
      <c r="CD55" s="62">
        <f ca="1">AVERAGE(OFFSET($CC$3,0,0,'Données projet'!$E$12+1,1))-AVERAGE(OFFSET($H$3,0,0,'Données projet'!$E$12+1,1))</f>
        <v>454.9779384236806</v>
      </c>
      <c r="CE55" s="62">
        <f t="shared" si="40"/>
        <v>379.32753348721906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5.4092397143655013</v>
      </c>
      <c r="CM55" s="23">
        <f>EXP(-LN(2)/2)*CM54+(1-EXP(-LN(2)/2))/(LN(2)/2)*CG55*CJ55*VLOOKUP('Données projet'!$B$12,Paramètres!$A$1:$I$89,3,0)*0.475*44/12</f>
        <v>0.89272158622677611</v>
      </c>
      <c r="CN55" s="24">
        <f t="shared" si="12"/>
        <v>6.3019613005922777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8.4519999999999982</v>
      </c>
      <c r="CT55" s="13">
        <f>IF('Données projet'!$A$140&gt;35,CT54+CS55-DB54,IF(A55&lt;'Données projet'!$A$140,$CQ$205^A55,IF(A55='Données projet'!$A$140,'Données projet'!$B$140,CT54+CS55-DB54)))</f>
        <v>176.87400000000002</v>
      </c>
      <c r="CU55" s="18">
        <f>CT55*VLOOKUP('Données projet'!$B$13,Paramètres!$A$1:$I$89,3,0)*VLOOKUP('Données projet'!$B$13,Paramètres!$A$1:$I$89,5,0)</f>
        <v>137.96172000000001</v>
      </c>
      <c r="CV55" s="14">
        <f t="shared" si="41"/>
        <v>35.829666350103984</v>
      </c>
      <c r="CW55" s="22">
        <f t="shared" si="13"/>
        <v>302.68666455976444</v>
      </c>
      <c r="CX55" s="62">
        <f t="shared" si="14"/>
        <v>559.12194402334785</v>
      </c>
      <c r="CY55" s="62">
        <f ca="1">AVERAGE(OFFSET($CX$3,0,0,'Données projet'!$E$13+1,1))-AVERAGE(OFFSET($H$3,0,0,'Données projet'!$E$13+1,1))</f>
        <v>252.10592533338991</v>
      </c>
      <c r="CZ55" s="62">
        <f t="shared" si="42"/>
        <v>272.71831345325313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27.340136502525048</v>
      </c>
      <c r="DH55" s="23">
        <f>EXP(-LN(2)/2)*DH54+(1-EXP(-LN(2)/2))/(LN(2)/2)*DB55*DE55*VLOOKUP('Données projet'!$B$13,Paramètres!$A$1:$I$89,3,0)*0.475*44/12</f>
        <v>1.4951277209569398</v>
      </c>
      <c r="DI55" s="24">
        <f t="shared" si="15"/>
        <v>28.835264223481989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18.184999999999995</v>
      </c>
      <c r="DO55" s="13">
        <f>IF('Données projet'!$A$166&gt;35,DO54+DN55-DW54,IF(A55&lt;'Données projet'!$A$166,$DL$205^A55,IF(A55='Données projet'!$A$166,'Données projet'!$B$166,DO54+DN55-DW54)))</f>
        <v>366.97500000000014</v>
      </c>
      <c r="DP55" s="18">
        <f>DO55*VLOOKUP('Données projet'!$B$14,Paramètres!$A$1:$I$89,3,0)*VLOOKUP('Données projet'!$B$14,Paramètres!$A$1:$I$89,5,0)</f>
        <v>219.45105000000009</v>
      </c>
      <c r="DQ55" s="14">
        <f t="shared" si="43"/>
        <v>53.995556807549335</v>
      </c>
      <c r="DR55" s="22">
        <f t="shared" si="16"/>
        <v>476.25284018981523</v>
      </c>
      <c r="DS55" s="62">
        <f t="shared" si="17"/>
        <v>732.68811965339864</v>
      </c>
      <c r="DT55" s="62">
        <f ca="1">AVERAGE(OFFSET($DS$3,0,0,'Données projet'!$E$14+1,1))-AVERAGE(OFFSET($H$3,0,0,'Données projet'!$E$14+1,1))</f>
        <v>423.0896575168394</v>
      </c>
      <c r="DU55" s="62">
        <f t="shared" si="44"/>
        <v>305.98537395014284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40.250715928911085</v>
      </c>
      <c r="EC55" s="23">
        <f>EXP(-LN(2)/2)*EC54+(1-EXP(-LN(2)/2))/(LN(2)/2)*DW55*DZ55*VLOOKUP('Données projet'!$B$14,Paramètres!$A$1:$I$89,3,0)*0.475*44/12</f>
        <v>1.3807940886645818</v>
      </c>
      <c r="ED55" s="24">
        <f t="shared" si="18"/>
        <v>41.631510017575664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10.086</v>
      </c>
      <c r="EJ55" s="13">
        <f>IF('Données projet'!$A$192&gt;35,EJ54+EI55-ER54,IF(A55&lt;'Données projet'!$A$192,$EG$205^A55,IF(A55='Données projet'!$A$192,'Données projet'!$B$192,EJ54+EI55-ER54)))</f>
        <v>405.57200000000017</v>
      </c>
      <c r="EK55" s="18">
        <f>EJ55*VLOOKUP('Données projet'!$B$15,Paramètres!$A$1:$I$89,3,0)*VLOOKUP('Données projet'!$B$15,Paramètres!$A$1:$I$89,5,0)</f>
        <v>242.53205600000013</v>
      </c>
      <c r="EL55" s="14">
        <f t="shared" si="45"/>
        <v>58.983981460953174</v>
      </c>
      <c r="EM55" s="22">
        <f t="shared" si="19"/>
        <v>525.14043191116025</v>
      </c>
      <c r="EN55" s="62">
        <f t="shared" si="20"/>
        <v>781.57571137474361</v>
      </c>
      <c r="EO55" s="62">
        <f ca="1">AVERAGE(OFFSET($EN$3,0,0,'Données projet'!$E$15+1,1))-AVERAGE(OFFSET($H$3,0,0,'Données projet'!$E$15+1,1))</f>
        <v>281.21543175875604</v>
      </c>
      <c r="EP55" s="62">
        <f t="shared" si="46"/>
        <v>366.68536296857428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12.818095485380754</v>
      </c>
      <c r="EW55" s="23">
        <f>EXP(-LN(2)/25)*EW54+(1-EXP(-LN(2)/25))/(LN(2)/25)*Calculateur!ER55*Calculateur!ET55*VLOOKUP('Données projet'!$B$15,Paramètres!$A$1:$I$89,3,0)*0.475*44/12</f>
        <v>6.6743673455222439</v>
      </c>
      <c r="EX55" s="23">
        <f>EXP(-LN(2)/2)*EX54+(1-EXP(-LN(2)/2))/(LN(2)/2)*ER55*EU55*VLOOKUP('Données projet'!$B$15,Paramètres!$A$1:$I$89,3,0)*0.475*44/12</f>
        <v>8.8137686259625661E-3</v>
      </c>
      <c r="EY55" s="24">
        <f t="shared" si="21"/>
        <v>19.501276599528961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14.028000000000002</v>
      </c>
      <c r="FE55" s="13">
        <f>IF('Données projet'!$A$218&gt;35,FE54+FD55-FM54,IF(A55&lt;'Données projet'!$A$218,$FB$205^A55,IF(A55='Données projet'!$A$218,'Données projet'!$B$218,FE54+FD55-FM54)))</f>
        <v>246.03599999999994</v>
      </c>
      <c r="FF55" s="18">
        <f>FE55*VLOOKUP('Données projet'!$B$16,Paramètres!$A$1:$I$89,3,0)*VLOOKUP('Données projet'!$B$16,Paramètres!$A$1:$I$89,5,0)</f>
        <v>137.53412399999996</v>
      </c>
      <c r="FG55" s="14">
        <f t="shared" si="47"/>
        <v>35.731525022610406</v>
      </c>
      <c r="FH55" s="22">
        <f t="shared" si="22"/>
        <v>301.77100538104639</v>
      </c>
      <c r="FI55" s="62">
        <f t="shared" si="23"/>
        <v>558.20628484462975</v>
      </c>
      <c r="FJ55" s="62">
        <f ca="1">AVERAGE(OFFSET($FI$3,0,0,'Données projet'!$E$16+1,1))-AVERAGE(OFFSET($H$3,0,0,'Données projet'!$E$16+1,1))</f>
        <v>280.9225643428145</v>
      </c>
      <c r="FK55" s="62">
        <f t="shared" si="48"/>
        <v>236.89414218053955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31.647877115302265</v>
      </c>
      <c r="FR55" s="23">
        <f>EXP(-LN(2)/25)*FR54+(1-EXP(-LN(2)/25))/(LN(2)/25)*Calculateur!FM55*Calculateur!FO55*VLOOKUP('Données projet'!$B$16,Paramètres!$A$1:$I$89,3,0)*0.475*44/12</f>
        <v>33.097348558016535</v>
      </c>
      <c r="FS55" s="23">
        <f>EXP(-LN(2)/2)*FS54+(1-EXP(-LN(2)/2))/(LN(2)/2)*FM55*FP55*VLOOKUP('Données projet'!$B$16,Paramètres!$A$1:$I$89,3,0)*0.475*44/12</f>
        <v>2.1973029881798625</v>
      </c>
      <c r="FT55" s="24">
        <f t="shared" si="24"/>
        <v>66.942528661498656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8.8080000000000034</v>
      </c>
      <c r="FZ55" s="13">
        <f>IF('Données projet'!$A$244&gt;35,FZ54+FY55-GH54,IF(A55&lt;'Données projet'!$A$244,$FW$205^A55,IF(A55='Données projet'!$A$244,'Données projet'!$B$244,FZ54+FY55-GH54)))</f>
        <v>302.64599999999967</v>
      </c>
      <c r="GA55" s="18">
        <f>FZ55*VLOOKUP('Données projet'!$B$17,Paramètres!$A$1:$I$89,3,0)*VLOOKUP('Données projet'!$B$17,Paramètres!$A$1:$I$89,5,0)</f>
        <v>133.76953199999986</v>
      </c>
      <c r="GB55" s="14">
        <f t="shared" si="49"/>
        <v>34.86593318490187</v>
      </c>
      <c r="GC55" s="22">
        <f t="shared" si="25"/>
        <v>293.70676853037054</v>
      </c>
      <c r="GD55" s="62">
        <f t="shared" si="26"/>
        <v>550.14204799395384</v>
      </c>
      <c r="GE55" s="62">
        <f ca="1">AVERAGE(OFFSET($GD$3,0,0,'Données projet'!$E$17+1,1))-AVERAGE(OFFSET($H$3,0,0,'Données projet'!$E$17+1,1))</f>
        <v>325.67421864225201</v>
      </c>
      <c r="GF55" s="62">
        <f t="shared" si="50"/>
        <v>542.01920418736745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30.445492787147874</v>
      </c>
      <c r="GM55" s="23">
        <f>EXP(-LN(2)/25)*GM54+(1-EXP(-LN(2)/25))/(LN(2)/25)*Calculateur!GH55*Calculateur!GJ55*VLOOKUP('Données projet'!$B$17,Paramètres!$A$1:$I$89,3,0)*0.475*44/12</f>
        <v>92.430868427362213</v>
      </c>
      <c r="GN55" s="23">
        <f>EXP(-LN(2)/2)*GN54+(1-EXP(-LN(2)/2))/(LN(2)/2)*GH55*GK55*VLOOKUP('Données projet'!$B$17,Paramètres!$A$1:$I$89,3,0)*0.475*44/12</f>
        <v>2.2380191093892634</v>
      </c>
      <c r="GO55" s="23">
        <f t="shared" si="27"/>
        <v>125.11438032389935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2.8959999999999995</v>
      </c>
      <c r="GU55" s="13">
        <f>IF('Données projet'!$A$270&gt;35,GU54+GT55-HC54,IF(A55&lt;'Données projet'!$A$270,$GR$205^A55,IF(A55='Données projet'!$A$270,'Données projet'!$B$270,GU54+GT55-HC54)))</f>
        <v>61.561999999999983</v>
      </c>
      <c r="GV55" s="18">
        <f>GU55*VLOOKUP('Données projet'!$B$18,Paramètres!$A$1:$I$89,3,0)*VLOOKUP('Données projet'!$B$18,Paramètres!$A$1:$I$89,5,0)</f>
        <v>62.423867999999985</v>
      </c>
      <c r="GW55" s="14">
        <f t="shared" si="51"/>
        <v>17.779679244835634</v>
      </c>
      <c r="GX55" s="22">
        <f t="shared" si="28"/>
        <v>139.68784478475536</v>
      </c>
      <c r="GY55" s="62">
        <f t="shared" si="29"/>
        <v>396.12312424833874</v>
      </c>
      <c r="GZ55" s="62">
        <f ca="1">AVERAGE(OFFSET($GY$3,0,0,'Données projet'!$E$18+1,1))-AVERAGE(OFFSET($H$3,0,0,'Données projet'!$E$18+1,1))</f>
        <v>220.89224520315713</v>
      </c>
      <c r="HA55" s="62">
        <f t="shared" si="52"/>
        <v>141.82763623159096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1.2759999999999998</v>
      </c>
      <c r="N56" s="14">
        <f>IF('Données projet'!$A$36&gt;35,N55+M56-V55,IF(A56&lt;'Données projet'!$A$36,$K$205^A56,IF(A56='Données projet'!$A$36,'Données projet'!$B$36,N55+M56-V55)))</f>
        <v>14.137999999999986</v>
      </c>
      <c r="O56" s="14">
        <f>N56*VLOOKUP('Données projet'!$B$9,Paramètres!$A$1:$I$89,3,0)*VLOOKUP('Données projet'!$B$9,Paramètres!$A$1:$I$89,5,0)</f>
        <v>13.674273599999987</v>
      </c>
      <c r="P56" s="14">
        <f t="shared" si="33"/>
        <v>4.6476891501590325</v>
      </c>
      <c r="Q56" s="22">
        <f t="shared" si="53"/>
        <v>31.910751789860296</v>
      </c>
      <c r="R56" s="62">
        <f t="shared" si="0"/>
        <v>288.98612999639352</v>
      </c>
      <c r="S56" s="62">
        <f ca="1">AVERAGE(OFFSET($R$3,0,0,'Données projet'!$E$9+1,1))-AVERAGE(OFFSET($H$3,0,0,'Données projet'!$E$9+1,1))</f>
        <v>84.959354125980269</v>
      </c>
      <c r="T56" s="62">
        <f t="shared" si="34"/>
        <v>89.658970210276806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3.9114380866808327</v>
      </c>
      <c r="AB56" s="23">
        <f>EXP(-LN(2)/2)*AB55+(1-EXP(-LN(2)/2))/(LN(2)/2)*V56*Y56*VLOOKUP('Données projet'!$B$9,Paramètres!$A$1:$I$89,3,0)*0.475*44/12</f>
        <v>0.50660474807567923</v>
      </c>
      <c r="AC56" s="24">
        <f t="shared" si="3"/>
        <v>4.4180428347565117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6.5376666666666665</v>
      </c>
      <c r="AI56" s="14">
        <f>IF('Données projet'!$A$62&gt;35,AI55+AH56-AQ55,IF(A56&lt;'Données projet'!$A$62,$AF$205^A56,IF(A56='Données projet'!$A$62,'Données projet'!$B$62,AI55+AH56-AQ55)))</f>
        <v>192.93633333333335</v>
      </c>
      <c r="AJ56" s="14">
        <f>AI56*VLOOKUP('Données projet'!$B$10,Paramètres!$A$1:$I$89,3,0)*VLOOKUP('Données projet'!$B$10,Paramètres!$A$1:$I$89,5,0)</f>
        <v>183.59821480000002</v>
      </c>
      <c r="AK56" s="14">
        <f t="shared" si="35"/>
        <v>46.12179815998892</v>
      </c>
      <c r="AL56" s="22">
        <f t="shared" si="4"/>
        <v>400.09568923864737</v>
      </c>
      <c r="AM56" s="62">
        <f t="shared" si="5"/>
        <v>657.1710674451806</v>
      </c>
      <c r="AN56" s="62">
        <f ca="1">AVERAGE(OFFSET($AM$3,0,0,'Données projet'!$E$10+1,1))-AVERAGE(OFFSET($H$3,0,0,'Données projet'!$E$10+1,1))</f>
        <v>592.76231355549089</v>
      </c>
      <c r="AO56" s="62">
        <f t="shared" si="36"/>
        <v>200.66895551079014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2.4327076981371087</v>
      </c>
      <c r="AW56" s="23">
        <f>EXP(-LN(2)/2)*AW55+(1-EXP(-LN(2)/2))/(LN(2)/2)*AQ56*AT56*VLOOKUP('Données projet'!$B$10,Paramètres!$A$1:$I$89,3,0)*0.475*44/12</f>
        <v>1.7295757937384557E-3</v>
      </c>
      <c r="AX56" s="23">
        <f t="shared" si="6"/>
        <v>2.4344372739308473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4.4620000000000006</v>
      </c>
      <c r="BD56" s="13">
        <f>IF('Données projet'!$A$88&gt;35,BD55+BC56-BL55,IF(A56&lt;'Données projet'!$A$88,$BA$205^A56,IF(A56='Données projet'!$A$88,'Données projet'!$B$88,BD55+BC56-BL55)))</f>
        <v>98.576000000000022</v>
      </c>
      <c r="BE56" s="14">
        <f>BD56*VLOOKUP('Données projet'!$B$11,Paramètres!$A$1:$I$89,3,0)*VLOOKUP('Données projet'!$B$11,Paramètres!$A$1:$I$89,5,0)</f>
        <v>89.191564800000023</v>
      </c>
      <c r="BF56" s="14">
        <f t="shared" si="37"/>
        <v>24.370147617729454</v>
      </c>
      <c r="BG56" s="22">
        <f t="shared" si="7"/>
        <v>197.7866491275455</v>
      </c>
      <c r="BH56" s="62">
        <f t="shared" si="8"/>
        <v>454.86202733407873</v>
      </c>
      <c r="BI56" s="62">
        <f ca="1">AVERAGE(OFFSET($BH$3,0,0,'Données projet'!$E$11+1,1))-AVERAGE(OFFSET($H$3,0,0,'Données projet'!$E$11+1,1))</f>
        <v>316.71836722354374</v>
      </c>
      <c r="BJ56" s="62">
        <f t="shared" si="38"/>
        <v>164.34067012996618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0.41995240019459024</v>
      </c>
      <c r="BS56" s="24">
        <f t="shared" si="9"/>
        <v>0.41995240019459024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6.5780000000000003</v>
      </c>
      <c r="BY56" s="13">
        <f>IF('Données projet'!$A$114&gt;35,BY55+BX56-CG55,IF(A56&lt;'Données projet'!$A$114,$BV$205^A56,IF(A56='Données projet'!$A$114,'Données projet'!$B$114,BY55+BX56-CG55)))</f>
        <v>192.53399999999991</v>
      </c>
      <c r="BZ56" s="14">
        <f>BY56*VLOOKUP('Données projet'!$B$12,Paramètres!$A$1:$I$89,3,0)*VLOOKUP('Données projet'!$B$12,Paramètres!$A$1:$I$89,5,0)</f>
        <v>219.25771919999988</v>
      </c>
      <c r="CA56" s="14">
        <f t="shared" si="39"/>
        <v>53.953522936234215</v>
      </c>
      <c r="CB56" s="22">
        <f t="shared" si="10"/>
        <v>475.84291338727439</v>
      </c>
      <c r="CC56" s="62">
        <f t="shared" si="11"/>
        <v>732.91829159380768</v>
      </c>
      <c r="CD56" s="62">
        <f ca="1">AVERAGE(OFFSET($CC$3,0,0,'Données projet'!$E$12+1,1))-AVERAGE(OFFSET($H$3,0,0,'Données projet'!$E$12+1,1))</f>
        <v>454.9779384236806</v>
      </c>
      <c r="CE56" s="62">
        <f t="shared" si="40"/>
        <v>379.32753348721906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5.2613237699166229</v>
      </c>
      <c r="CM56" s="23">
        <f>EXP(-LN(2)/2)*CM55+(1-EXP(-LN(2)/2))/(LN(2)/2)*CG56*CJ56*VLOOKUP('Données projet'!$B$12,Paramètres!$A$1:$I$89,3,0)*0.475*44/12</f>
        <v>0.63124948733256458</v>
      </c>
      <c r="CN56" s="24">
        <f t="shared" si="12"/>
        <v>5.8925732572491878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8.4519999999999982</v>
      </c>
      <c r="CT56" s="13">
        <f>IF('Données projet'!$A$140&gt;35,CT55+CS56-DB55,IF(A56&lt;'Données projet'!$A$140,$CQ$205^A56,IF(A56='Données projet'!$A$140,'Données projet'!$B$140,CT55+CS56-DB55)))</f>
        <v>185.32600000000002</v>
      </c>
      <c r="CU56" s="18">
        <f>CT56*VLOOKUP('Données projet'!$B$13,Paramètres!$A$1:$I$89,3,0)*VLOOKUP('Données projet'!$B$13,Paramètres!$A$1:$I$89,5,0)</f>
        <v>144.55428000000003</v>
      </c>
      <c r="CV56" s="14">
        <f t="shared" si="41"/>
        <v>37.338375299555743</v>
      </c>
      <c r="CW56" s="22">
        <f t="shared" si="13"/>
        <v>316.79637464672629</v>
      </c>
      <c r="CX56" s="62">
        <f t="shared" si="14"/>
        <v>573.87175285325952</v>
      </c>
      <c r="CY56" s="62">
        <f ca="1">AVERAGE(OFFSET($CX$3,0,0,'Données projet'!$E$13+1,1))-AVERAGE(OFFSET($H$3,0,0,'Données projet'!$E$13+1,1))</f>
        <v>252.10592533338991</v>
      </c>
      <c r="CZ56" s="62">
        <f t="shared" si="42"/>
        <v>272.71831345325313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26.592519032108211</v>
      </c>
      <c r="DH56" s="23">
        <f>EXP(-LN(2)/2)*DH55+(1-EXP(-LN(2)/2))/(LN(2)/2)*DB56*DE56*VLOOKUP('Données projet'!$B$13,Paramètres!$A$1:$I$89,3,0)*0.475*44/12</f>
        <v>1.0572149502286403</v>
      </c>
      <c r="DI56" s="24">
        <f t="shared" si="15"/>
        <v>27.649733982336851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18.184999999999995</v>
      </c>
      <c r="DO56" s="13">
        <f>IF('Données projet'!$A$166&gt;35,DO55+DN56-DW55,IF(A56&lt;'Données projet'!$A$166,$DL$205^A56,IF(A56='Données projet'!$A$166,'Données projet'!$B$166,DO55+DN56-DW55)))</f>
        <v>385.16000000000014</v>
      </c>
      <c r="DP56" s="18">
        <f>DO56*VLOOKUP('Données projet'!$B$14,Paramètres!$A$1:$I$89,3,0)*VLOOKUP('Données projet'!$B$14,Paramètres!$A$1:$I$89,5,0)</f>
        <v>230.32568000000012</v>
      </c>
      <c r="DQ56" s="14">
        <f t="shared" si="43"/>
        <v>56.353095361230238</v>
      </c>
      <c r="DR56" s="22">
        <f t="shared" si="16"/>
        <v>499.29886708747608</v>
      </c>
      <c r="DS56" s="62">
        <f t="shared" si="17"/>
        <v>756.37424529400937</v>
      </c>
      <c r="DT56" s="62">
        <f ca="1">AVERAGE(OFFSET($DS$3,0,0,'Données projet'!$E$14+1,1))-AVERAGE(OFFSET($H$3,0,0,'Données projet'!$E$14+1,1))</f>
        <v>423.0896575168394</v>
      </c>
      <c r="DU56" s="62">
        <f t="shared" si="44"/>
        <v>305.98537395014284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39.150057985141856</v>
      </c>
      <c r="EC56" s="23">
        <f>EXP(-LN(2)/2)*EC55+(1-EXP(-LN(2)/2))/(LN(2)/2)*DW56*DZ56*VLOOKUP('Données projet'!$B$14,Paramètres!$A$1:$I$89,3,0)*0.475*44/12</f>
        <v>0.97636886351702479</v>
      </c>
      <c r="ED56" s="24">
        <f t="shared" si="18"/>
        <v>40.12642684865888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10.086</v>
      </c>
      <c r="EJ56" s="13">
        <f>IF('Données projet'!$A$192&gt;35,EJ55+EI56-ER55,IF(A56&lt;'Données projet'!$A$192,$EG$205^A56,IF(A56='Données projet'!$A$192,'Données projet'!$B$192,EJ55+EI56-ER55)))</f>
        <v>415.65800000000019</v>
      </c>
      <c r="EK56" s="18">
        <f>EJ56*VLOOKUP('Données projet'!$B$15,Paramètres!$A$1:$I$89,3,0)*VLOOKUP('Données projet'!$B$15,Paramètres!$A$1:$I$89,5,0)</f>
        <v>248.56348400000013</v>
      </c>
      <c r="EL56" s="14">
        <f t="shared" si="45"/>
        <v>60.278229480161016</v>
      </c>
      <c r="EM56" s="22">
        <f t="shared" si="19"/>
        <v>537.89931764461403</v>
      </c>
      <c r="EN56" s="62">
        <f t="shared" si="20"/>
        <v>794.97469585114732</v>
      </c>
      <c r="EO56" s="62">
        <f ca="1">AVERAGE(OFFSET($EN$3,0,0,'Données projet'!$E$15+1,1))-AVERAGE(OFFSET($H$3,0,0,'Données projet'!$E$15+1,1))</f>
        <v>281.21543175875604</v>
      </c>
      <c r="EP56" s="62">
        <f t="shared" si="46"/>
        <v>366.68536296857428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12.566740451178694</v>
      </c>
      <c r="EW56" s="23">
        <f>EXP(-LN(2)/25)*EW55+(1-EXP(-LN(2)/25))/(LN(2)/25)*Calculateur!ER56*Calculateur!ET56*VLOOKUP('Données projet'!$B$15,Paramètres!$A$1:$I$89,3,0)*0.475*44/12</f>
        <v>6.4918564194692143</v>
      </c>
      <c r="EX56" s="23">
        <f>EXP(-LN(2)/2)*EX55+(1-EXP(-LN(2)/2))/(LN(2)/2)*ER56*EU56*VLOOKUP('Données projet'!$B$15,Paramètres!$A$1:$I$89,3,0)*0.475*44/12</f>
        <v>6.2322755632273699E-3</v>
      </c>
      <c r="EY56" s="24">
        <f t="shared" si="21"/>
        <v>19.064829146211135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14.028000000000002</v>
      </c>
      <c r="FE56" s="13">
        <f>IF('Données projet'!$A$218&gt;35,FE55+FD56-FM55,IF(A56&lt;'Données projet'!$A$218,$FB$205^A56,IF(A56='Données projet'!$A$218,'Données projet'!$B$218,FE55+FD56-FM55)))</f>
        <v>260.06399999999996</v>
      </c>
      <c r="FF56" s="18">
        <f>FE56*VLOOKUP('Données projet'!$B$16,Paramètres!$A$1:$I$89,3,0)*VLOOKUP('Données projet'!$B$16,Paramètres!$A$1:$I$89,5,0)</f>
        <v>145.37577599999997</v>
      </c>
      <c r="FG56" s="14">
        <f t="shared" si="47"/>
        <v>37.525806660722026</v>
      </c>
      <c r="FH56" s="22">
        <f t="shared" si="22"/>
        <v>318.55358980075744</v>
      </c>
      <c r="FI56" s="62">
        <f t="shared" si="23"/>
        <v>575.62896800729072</v>
      </c>
      <c r="FJ56" s="62">
        <f ca="1">AVERAGE(OFFSET($FI$3,0,0,'Données projet'!$E$16+1,1))-AVERAGE(OFFSET($H$3,0,0,'Données projet'!$E$16+1,1))</f>
        <v>280.9225643428145</v>
      </c>
      <c r="FK56" s="62">
        <f t="shared" si="48"/>
        <v>236.89414218053955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31.027281548370187</v>
      </c>
      <c r="FR56" s="23">
        <f>EXP(-LN(2)/25)*FR55+(1-EXP(-LN(2)/25))/(LN(2)/25)*Calculateur!FM56*Calculateur!FO56*VLOOKUP('Données projet'!$B$16,Paramètres!$A$1:$I$89,3,0)*0.475*44/12</f>
        <v>32.19229982118366</v>
      </c>
      <c r="FS56" s="23">
        <f>EXP(-LN(2)/2)*FS55+(1-EXP(-LN(2)/2))/(LN(2)/2)*FM56*FP56*VLOOKUP('Données projet'!$B$16,Paramètres!$A$1:$I$89,3,0)*0.475*44/12</f>
        <v>1.5537278432634452</v>
      </c>
      <c r="FT56" s="24">
        <f t="shared" si="24"/>
        <v>64.773309212817296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8.8080000000000034</v>
      </c>
      <c r="FZ56" s="13">
        <f>IF('Données projet'!$A$244&gt;35,FZ55+FY56-GH55,IF(A56&lt;'Données projet'!$A$244,$FW$205^A56,IF(A56='Données projet'!$A$244,'Données projet'!$B$244,FZ55+FY56-GH55)))</f>
        <v>311.45399999999967</v>
      </c>
      <c r="GA56" s="18">
        <f>FZ56*VLOOKUP('Données projet'!$B$17,Paramètres!$A$1:$I$89,3,0)*VLOOKUP('Données projet'!$B$17,Paramètres!$A$1:$I$89,5,0)</f>
        <v>137.66266799999985</v>
      </c>
      <c r="GB56" s="14">
        <f t="shared" si="49"/>
        <v>35.761032017927192</v>
      </c>
      <c r="GC56" s="22">
        <f t="shared" si="25"/>
        <v>302.04627753122287</v>
      </c>
      <c r="GD56" s="62">
        <f t="shared" si="26"/>
        <v>559.1216557377561</v>
      </c>
      <c r="GE56" s="62">
        <f ca="1">AVERAGE(OFFSET($GD$3,0,0,'Données projet'!$E$17+1,1))-AVERAGE(OFFSET($H$3,0,0,'Données projet'!$E$17+1,1))</f>
        <v>325.67421864225201</v>
      </c>
      <c r="GF56" s="62">
        <f t="shared" si="50"/>
        <v>542.01920418736745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29.848475243508876</v>
      </c>
      <c r="GM56" s="23">
        <f>EXP(-LN(2)/25)*GM55+(1-EXP(-LN(2)/25))/(LN(2)/25)*Calculateur!GH56*Calculateur!GJ56*VLOOKUP('Données projet'!$B$17,Paramètres!$A$1:$I$89,3,0)*0.475*44/12</f>
        <v>89.90334146948787</v>
      </c>
      <c r="GN56" s="23">
        <f>EXP(-LN(2)/2)*GN55+(1-EXP(-LN(2)/2))/(LN(2)/2)*GH56*GK56*VLOOKUP('Données projet'!$B$17,Paramètres!$A$1:$I$89,3,0)*0.475*44/12</f>
        <v>1.5825184886742261</v>
      </c>
      <c r="GO56" s="23">
        <f t="shared" si="27"/>
        <v>121.33433520167097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2.8959999999999995</v>
      </c>
      <c r="GU56" s="13">
        <f>IF('Données projet'!$A$270&gt;35,GU55+GT56-HC55,IF(A56&lt;'Données projet'!$A$270,$GR$205^A56,IF(A56='Données projet'!$A$270,'Données projet'!$B$270,GU55+GT56-HC55)))</f>
        <v>64.457999999999984</v>
      </c>
      <c r="GV56" s="18">
        <f>GU56*VLOOKUP('Données projet'!$B$18,Paramètres!$A$1:$I$89,3,0)*VLOOKUP('Données projet'!$B$18,Paramètres!$A$1:$I$89,5,0)</f>
        <v>65.360411999999997</v>
      </c>
      <c r="GW56" s="14">
        <f t="shared" si="51"/>
        <v>18.516726225414171</v>
      </c>
      <c r="GX56" s="22">
        <f t="shared" si="28"/>
        <v>146.08601574259635</v>
      </c>
      <c r="GY56" s="62">
        <f t="shared" si="29"/>
        <v>403.16139394912955</v>
      </c>
      <c r="GZ56" s="62">
        <f ca="1">AVERAGE(OFFSET($GY$3,0,0,'Données projet'!$E$18+1,1))-AVERAGE(OFFSET($H$3,0,0,'Données projet'!$E$18+1,1))</f>
        <v>220.89224520315713</v>
      </c>
      <c r="HA56" s="62">
        <f t="shared" si="52"/>
        <v>141.82763623159096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1.2759999999999998</v>
      </c>
      <c r="N57" s="14">
        <f>IF('Données projet'!$A$36&gt;35,N56+M57-V56,IF(A57&lt;'Données projet'!$A$36,$K$205^A57,IF(A57='Données projet'!$A$36,'Données projet'!$B$36,N56+M57-V56)))</f>
        <v>15.413999999999985</v>
      </c>
      <c r="O57" s="14">
        <f>N57*VLOOKUP('Données projet'!$B$9,Paramètres!$A$1:$I$89,3,0)*VLOOKUP('Données projet'!$B$9,Paramètres!$A$1:$I$89,5,0)</f>
        <v>14.908420799999988</v>
      </c>
      <c r="P57" s="14">
        <f t="shared" si="33"/>
        <v>5.016447415905108</v>
      </c>
      <c r="Q57" s="22">
        <f t="shared" si="53"/>
        <v>34.702478809368039</v>
      </c>
      <c r="R57" s="62">
        <f t="shared" si="0"/>
        <v>292.40685147670735</v>
      </c>
      <c r="S57" s="62">
        <f ca="1">AVERAGE(OFFSET($R$3,0,0,'Données projet'!$E$9+1,1))-AVERAGE(OFFSET($H$3,0,0,'Données projet'!$E$9+1,1))</f>
        <v>84.959354125980269</v>
      </c>
      <c r="T57" s="62">
        <f t="shared" si="34"/>
        <v>89.658970210276806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3.8044796065069559</v>
      </c>
      <c r="AB57" s="23">
        <f>EXP(-LN(2)/2)*AB56+(1-EXP(-LN(2)/2))/(LN(2)/2)*V57*Y57*VLOOKUP('Données projet'!$B$9,Paramètres!$A$1:$I$89,3,0)*0.475*44/12</f>
        <v>0.35822365274561535</v>
      </c>
      <c r="AC57" s="24">
        <f t="shared" si="3"/>
        <v>4.162703259252571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6.5376666666666665</v>
      </c>
      <c r="AI57" s="14">
        <f>IF('Données projet'!$A$62&gt;35,AI56+AH57-AQ56,IF(A57&lt;'Données projet'!$A$62,$AF$205^A57,IF(A57='Données projet'!$A$62,'Données projet'!$B$62,AI56+AH57-AQ56)))</f>
        <v>199.47400000000002</v>
      </c>
      <c r="AJ57" s="14">
        <f>AI57*VLOOKUP('Données projet'!$B$10,Paramètres!$A$1:$I$89,3,0)*VLOOKUP('Données projet'!$B$10,Paramètres!$A$1:$I$89,5,0)</f>
        <v>189.8194584</v>
      </c>
      <c r="AK57" s="14">
        <f t="shared" si="35"/>
        <v>47.500035458636177</v>
      </c>
      <c r="AL57" s="22">
        <f t="shared" si="4"/>
        <v>413.33145180379137</v>
      </c>
      <c r="AM57" s="62">
        <f t="shared" si="5"/>
        <v>671.0358244711307</v>
      </c>
      <c r="AN57" s="62">
        <f ca="1">AVERAGE(OFFSET($AM$3,0,0,'Données projet'!$E$10+1,1))-AVERAGE(OFFSET($H$3,0,0,'Données projet'!$E$10+1,1))</f>
        <v>592.76231355549089</v>
      </c>
      <c r="AO57" s="62">
        <f t="shared" si="36"/>
        <v>200.66895551079014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2.3661851782010115</v>
      </c>
      <c r="AW57" s="23">
        <f>EXP(-LN(2)/2)*AW56+(1-EXP(-LN(2)/2))/(LN(2)/2)*AQ57*AT57*VLOOKUP('Données projet'!$B$10,Paramètres!$A$1:$I$89,3,0)*0.475*44/12</f>
        <v>1.2229947723285675E-3</v>
      </c>
      <c r="AX57" s="23">
        <f t="shared" si="6"/>
        <v>2.3674081729733403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4.4620000000000006</v>
      </c>
      <c r="BD57" s="13">
        <f>IF('Données projet'!$A$88&gt;35,BD56+BC57-BL56,IF(A57&lt;'Données projet'!$A$88,$BA$205^A57,IF(A57='Données projet'!$A$88,'Données projet'!$B$88,BD56+BC57-BL56)))</f>
        <v>103.03800000000003</v>
      </c>
      <c r="BE57" s="14">
        <f>BD57*VLOOKUP('Données projet'!$B$11,Paramètres!$A$1:$I$89,3,0)*VLOOKUP('Données projet'!$B$11,Paramètres!$A$1:$I$89,5,0)</f>
        <v>93.228782400000028</v>
      </c>
      <c r="BF57" s="14">
        <f t="shared" si="37"/>
        <v>25.342324970148876</v>
      </c>
      <c r="BG57" s="22">
        <f t="shared" si="7"/>
        <v>206.51134533634266</v>
      </c>
      <c r="BH57" s="62">
        <f t="shared" si="8"/>
        <v>464.21571800368201</v>
      </c>
      <c r="BI57" s="62">
        <f ca="1">AVERAGE(OFFSET($BH$3,0,0,'Données projet'!$E$11+1,1))-AVERAGE(OFFSET($H$3,0,0,'Données projet'!$E$11+1,1))</f>
        <v>316.71836722354374</v>
      </c>
      <c r="BJ57" s="62">
        <f t="shared" si="38"/>
        <v>164.34067012996618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0.29695118995316155</v>
      </c>
      <c r="BS57" s="24">
        <f t="shared" si="9"/>
        <v>0.29695118995316155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6.5780000000000003</v>
      </c>
      <c r="BY57" s="13">
        <f>IF('Données projet'!$A$114&gt;35,BY56+BX57-CG56,IF(A57&lt;'Données projet'!$A$114,$BV$205^A57,IF(A57='Données projet'!$A$114,'Données projet'!$B$114,BY56+BX57-CG56)))</f>
        <v>199.11199999999991</v>
      </c>
      <c r="BZ57" s="14">
        <f>BY57*VLOOKUP('Données projet'!$B$12,Paramètres!$A$1:$I$89,3,0)*VLOOKUP('Données projet'!$B$12,Paramètres!$A$1:$I$89,5,0)</f>
        <v>226.74874559999989</v>
      </c>
      <c r="CA57" s="14">
        <f t="shared" si="39"/>
        <v>55.579102888185908</v>
      </c>
      <c r="CB57" s="22">
        <f t="shared" si="10"/>
        <v>491.72100278359022</v>
      </c>
      <c r="CC57" s="62">
        <f t="shared" si="11"/>
        <v>749.42537545092955</v>
      </c>
      <c r="CD57" s="62">
        <f ca="1">AVERAGE(OFFSET($CC$3,0,0,'Données projet'!$E$12+1,1))-AVERAGE(OFFSET($H$3,0,0,'Données projet'!$E$12+1,1))</f>
        <v>454.9779384236806</v>
      </c>
      <c r="CE57" s="62">
        <f t="shared" si="40"/>
        <v>379.32753348721906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5.1174525947472604</v>
      </c>
      <c r="CM57" s="23">
        <f>EXP(-LN(2)/2)*CM56+(1-EXP(-LN(2)/2))/(LN(2)/2)*CG57*CJ57*VLOOKUP('Données projet'!$B$12,Paramètres!$A$1:$I$89,3,0)*0.475*44/12</f>
        <v>0.44636079311338805</v>
      </c>
      <c r="CN57" s="24">
        <f t="shared" si="12"/>
        <v>5.5638133878606482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8.4519999999999982</v>
      </c>
      <c r="CT57" s="13">
        <f>IF('Données projet'!$A$140&gt;35,CT56+CS57-DB56,IF(A57&lt;'Données projet'!$A$140,$CQ$205^A57,IF(A57='Données projet'!$A$140,'Données projet'!$B$140,CT56+CS57-DB56)))</f>
        <v>193.77800000000002</v>
      </c>
      <c r="CU57" s="18">
        <f>CT57*VLOOKUP('Données projet'!$B$13,Paramètres!$A$1:$I$89,3,0)*VLOOKUP('Données projet'!$B$13,Paramètres!$A$1:$I$89,5,0)</f>
        <v>151.14684000000003</v>
      </c>
      <c r="CV57" s="14">
        <f t="shared" si="41"/>
        <v>38.83909348409945</v>
      </c>
      <c r="CW57" s="22">
        <f t="shared" si="13"/>
        <v>330.89216748480658</v>
      </c>
      <c r="CX57" s="62">
        <f t="shared" si="14"/>
        <v>588.59654015214596</v>
      </c>
      <c r="CY57" s="62">
        <f ca="1">AVERAGE(OFFSET($CX$3,0,0,'Données projet'!$E$13+1,1))-AVERAGE(OFFSET($H$3,0,0,'Données projet'!$E$13+1,1))</f>
        <v>252.10592533338991</v>
      </c>
      <c r="CZ57" s="62">
        <f t="shared" si="42"/>
        <v>272.71831345325313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25.865345200735415</v>
      </c>
      <c r="DH57" s="23">
        <f>EXP(-LN(2)/2)*DH56+(1-EXP(-LN(2)/2))/(LN(2)/2)*DB57*DE57*VLOOKUP('Données projet'!$B$13,Paramètres!$A$1:$I$89,3,0)*0.475*44/12</f>
        <v>0.7475638604784699</v>
      </c>
      <c r="DI57" s="24">
        <f t="shared" si="15"/>
        <v>26.612909061213884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18.184999999999995</v>
      </c>
      <c r="DO57" s="13">
        <f>IF('Données projet'!$A$166&gt;35,DO56+DN57-DW56,IF(A57&lt;'Données projet'!$A$166,$DL$205^A57,IF(A57='Données projet'!$A$166,'Données projet'!$B$166,DO56+DN57-DW56)))</f>
        <v>403.34500000000014</v>
      </c>
      <c r="DP57" s="18">
        <f>DO57*VLOOKUP('Données projet'!$B$14,Paramètres!$A$1:$I$89,3,0)*VLOOKUP('Données projet'!$B$14,Paramètres!$A$1:$I$89,5,0)</f>
        <v>241.20031000000009</v>
      </c>
      <c r="DQ57" s="14">
        <f t="shared" si="43"/>
        <v>58.697707994525807</v>
      </c>
      <c r="DR57" s="22">
        <f t="shared" si="16"/>
        <v>522.32238134046599</v>
      </c>
      <c r="DS57" s="62">
        <f t="shared" si="17"/>
        <v>780.02675400780527</v>
      </c>
      <c r="DT57" s="62">
        <f ca="1">AVERAGE(OFFSET($DS$3,0,0,'Données projet'!$E$14+1,1))-AVERAGE(OFFSET($H$3,0,0,'Données projet'!$E$14+1,1))</f>
        <v>423.0896575168394</v>
      </c>
      <c r="DU57" s="62">
        <f t="shared" si="44"/>
        <v>305.98537395014284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38.079497590726085</v>
      </c>
      <c r="EC57" s="23">
        <f>EXP(-LN(2)/2)*EC56+(1-EXP(-LN(2)/2))/(LN(2)/2)*DW57*DZ57*VLOOKUP('Données projet'!$B$14,Paramètres!$A$1:$I$89,3,0)*0.475*44/12</f>
        <v>0.69039704433229099</v>
      </c>
      <c r="ED57" s="24">
        <f t="shared" si="18"/>
        <v>38.769894635058378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10.086</v>
      </c>
      <c r="EJ57" s="13">
        <f>IF('Données projet'!$A$192&gt;35,EJ56+EI57-ER56,IF(A57&lt;'Données projet'!$A$192,$EG$205^A57,IF(A57='Données projet'!$A$192,'Données projet'!$B$192,EJ56+EI57-ER56)))</f>
        <v>425.7440000000002</v>
      </c>
      <c r="EK57" s="18">
        <f>EJ57*VLOOKUP('Données projet'!$B$15,Paramètres!$A$1:$I$89,3,0)*VLOOKUP('Données projet'!$B$15,Paramètres!$A$1:$I$89,5,0)</f>
        <v>254.59491200000014</v>
      </c>
      <c r="EL57" s="14">
        <f t="shared" si="45"/>
        <v>61.568826723479198</v>
      </c>
      <c r="EM57" s="22">
        <f t="shared" si="19"/>
        <v>550.65184494339326</v>
      </c>
      <c r="EN57" s="62">
        <f t="shared" si="20"/>
        <v>808.35621761073253</v>
      </c>
      <c r="EO57" s="62">
        <f ca="1">AVERAGE(OFFSET($EN$3,0,0,'Données projet'!$E$15+1,1))-AVERAGE(OFFSET($H$3,0,0,'Données projet'!$E$15+1,1))</f>
        <v>281.21543175875604</v>
      </c>
      <c r="EP57" s="62">
        <f t="shared" si="46"/>
        <v>366.68536296857428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12.320314335885904</v>
      </c>
      <c r="EW57" s="23">
        <f>EXP(-LN(2)/25)*EW56+(1-EXP(-LN(2)/25))/(LN(2)/25)*Calculateur!ER57*Calculateur!ET57*VLOOKUP('Données projet'!$B$15,Paramètres!$A$1:$I$89,3,0)*0.475*44/12</f>
        <v>6.3143362642869372</v>
      </c>
      <c r="EX57" s="23">
        <f>EXP(-LN(2)/2)*EX56+(1-EXP(-LN(2)/2))/(LN(2)/2)*ER57*EU57*VLOOKUP('Données projet'!$B$15,Paramètres!$A$1:$I$89,3,0)*0.475*44/12</f>
        <v>4.4068843129812831E-3</v>
      </c>
      <c r="EY57" s="24">
        <f t="shared" si="21"/>
        <v>18.639057484485821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14.028000000000002</v>
      </c>
      <c r="FE57" s="13">
        <f>IF('Données projet'!$A$218&gt;35,FE56+FD57-FM56,IF(A57&lt;'Données projet'!$A$218,$FB$205^A57,IF(A57='Données projet'!$A$218,'Données projet'!$B$218,FE56+FD57-FM56)))</f>
        <v>274.09199999999998</v>
      </c>
      <c r="FF57" s="18">
        <f>FE57*VLOOKUP('Données projet'!$B$16,Paramètres!$A$1:$I$89,3,0)*VLOOKUP('Données projet'!$B$16,Paramètres!$A$1:$I$89,5,0)</f>
        <v>153.21742799999998</v>
      </c>
      <c r="FG57" s="14">
        <f t="shared" si="47"/>
        <v>39.308852115883987</v>
      </c>
      <c r="FH57" s="22">
        <f t="shared" si="22"/>
        <v>335.31660453516457</v>
      </c>
      <c r="FI57" s="62">
        <f t="shared" si="23"/>
        <v>593.0209772025039</v>
      </c>
      <c r="FJ57" s="62">
        <f ca="1">AVERAGE(OFFSET($FI$3,0,0,'Données projet'!$E$16+1,1))-AVERAGE(OFFSET($H$3,0,0,'Données projet'!$E$16+1,1))</f>
        <v>280.9225643428145</v>
      </c>
      <c r="FK57" s="62">
        <f t="shared" si="48"/>
        <v>236.89414218053955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30.418855481979726</v>
      </c>
      <c r="FR57" s="23">
        <f>EXP(-LN(2)/25)*FR56+(1-EXP(-LN(2)/25))/(LN(2)/25)*Calculateur!FM57*Calculateur!FO57*VLOOKUP('Données projet'!$B$16,Paramètres!$A$1:$I$89,3,0)*0.475*44/12</f>
        <v>31.311999689653923</v>
      </c>
      <c r="FS57" s="23">
        <f>EXP(-LN(2)/2)*FS56+(1-EXP(-LN(2)/2))/(LN(2)/2)*FM57*FP57*VLOOKUP('Données projet'!$B$16,Paramètres!$A$1:$I$89,3,0)*0.475*44/12</f>
        <v>1.0986514940899315</v>
      </c>
      <c r="FT57" s="24">
        <f t="shared" si="24"/>
        <v>62.829506665723578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8.8080000000000034</v>
      </c>
      <c r="FZ57" s="13">
        <f>IF('Données projet'!$A$244&gt;35,FZ56+FY57-GH56,IF(A57&lt;'Données projet'!$A$244,$FW$205^A57,IF(A57='Données projet'!$A$244,'Données projet'!$B$244,FZ56+FY57-GH56)))</f>
        <v>320.26199999999966</v>
      </c>
      <c r="GA57" s="18">
        <f>FZ57*VLOOKUP('Données projet'!$B$17,Paramètres!$A$1:$I$89,3,0)*VLOOKUP('Données projet'!$B$17,Paramètres!$A$1:$I$89,5,0)</f>
        <v>141.55580399999985</v>
      </c>
      <c r="GB57" s="14">
        <f t="shared" si="49"/>
        <v>36.653188774701263</v>
      </c>
      <c r="GC57" s="22">
        <f t="shared" si="25"/>
        <v>310.38066241593782</v>
      </c>
      <c r="GD57" s="62">
        <f t="shared" si="26"/>
        <v>568.08503508327715</v>
      </c>
      <c r="GE57" s="62">
        <f ca="1">AVERAGE(OFFSET($GD$3,0,0,'Données projet'!$E$17+1,1))-AVERAGE(OFFSET($H$3,0,0,'Données projet'!$E$17+1,1))</f>
        <v>325.67421864225201</v>
      </c>
      <c r="GF57" s="62">
        <f t="shared" si="50"/>
        <v>542.01920418736745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29.263164849755896</v>
      </c>
      <c r="GM57" s="23">
        <f>EXP(-LN(2)/25)*GM56+(1-EXP(-LN(2)/25))/(LN(2)/25)*Calculateur!GH57*Calculateur!GJ57*VLOOKUP('Données projet'!$B$17,Paramètres!$A$1:$I$89,3,0)*0.475*44/12</f>
        <v>87.444929869193473</v>
      </c>
      <c r="GN57" s="23">
        <f>EXP(-LN(2)/2)*GN56+(1-EXP(-LN(2)/2))/(LN(2)/2)*GH57*GK57*VLOOKUP('Données projet'!$B$17,Paramètres!$A$1:$I$89,3,0)*0.475*44/12</f>
        <v>1.1190095546946319</v>
      </c>
      <c r="GO57" s="23">
        <f t="shared" si="27"/>
        <v>117.827104273644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2.8959999999999995</v>
      </c>
      <c r="GU57" s="13">
        <f>IF('Données projet'!$A$270&gt;35,GU56+GT57-HC56,IF(A57&lt;'Données projet'!$A$270,$GR$205^A57,IF(A57='Données projet'!$A$270,'Données projet'!$B$270,GU56+GT57-HC56)))</f>
        <v>67.353999999999985</v>
      </c>
      <c r="GV57" s="18">
        <f>GU57*VLOOKUP('Données projet'!$B$18,Paramètres!$A$1:$I$89,3,0)*VLOOKUP('Données projet'!$B$18,Paramètres!$A$1:$I$89,5,0)</f>
        <v>68.29695599999998</v>
      </c>
      <c r="GW57" s="14">
        <f t="shared" si="51"/>
        <v>19.24992738487483</v>
      </c>
      <c r="GX57" s="22">
        <f t="shared" si="28"/>
        <v>152.47748856199027</v>
      </c>
      <c r="GY57" s="62">
        <f t="shared" si="29"/>
        <v>410.18186122932957</v>
      </c>
      <c r="GZ57" s="62">
        <f ca="1">AVERAGE(OFFSET($GY$3,0,0,'Données projet'!$E$18+1,1))-AVERAGE(OFFSET($H$3,0,0,'Données projet'!$E$18+1,1))</f>
        <v>220.89224520315713</v>
      </c>
      <c r="HA57" s="62">
        <f t="shared" si="52"/>
        <v>141.82763623159096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1.2759999999999998</v>
      </c>
      <c r="N58" s="14">
        <f>IF('Données projet'!$A$36&gt;35,N57+M58-V57,IF(A58&lt;'Données projet'!$A$36,$K$205^A58,IF(A58='Données projet'!$A$36,'Données projet'!$B$36,N57+M58-V57)))</f>
        <v>16.689999999999984</v>
      </c>
      <c r="O58" s="14">
        <f>N58*VLOOKUP('Données projet'!$B$9,Paramètres!$A$1:$I$89,3,0)*VLOOKUP('Données projet'!$B$9,Paramètres!$A$1:$I$89,5,0)</f>
        <v>16.142567999999986</v>
      </c>
      <c r="P58" s="14">
        <f t="shared" si="33"/>
        <v>5.3816651954255947</v>
      </c>
      <c r="Q58" s="22">
        <f t="shared" si="53"/>
        <v>37.488039482032889</v>
      </c>
      <c r="R58" s="62">
        <f t="shared" si="0"/>
        <v>295.81049496250427</v>
      </c>
      <c r="S58" s="62">
        <f ca="1">AVERAGE(OFFSET($R$3,0,0,'Données projet'!$E$9+1,1))-AVERAGE(OFFSET($H$3,0,0,'Données projet'!$E$9+1,1))</f>
        <v>84.959354125980269</v>
      </c>
      <c r="T58" s="62">
        <f t="shared" si="34"/>
        <v>89.658970210276806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3.7004459115981359</v>
      </c>
      <c r="AB58" s="23">
        <f>EXP(-LN(2)/2)*AB57+(1-EXP(-LN(2)/2))/(LN(2)/2)*V58*Y58*VLOOKUP('Données projet'!$B$9,Paramètres!$A$1:$I$89,3,0)*0.475*44/12</f>
        <v>0.25330237403783962</v>
      </c>
      <c r="AC58" s="24">
        <f t="shared" si="3"/>
        <v>3.9537482856359754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6.5376666666666665</v>
      </c>
      <c r="AI58" s="14">
        <f>IF('Données projet'!$A$62&gt;35,AI57+AH58-AQ57,IF(A58&lt;'Données projet'!$A$62,$AF$205^A58,IF(A58='Données projet'!$A$62,'Données projet'!$B$62,AI57+AH58-AQ57)))</f>
        <v>206.01166666666668</v>
      </c>
      <c r="AJ58" s="14">
        <f>AI58*VLOOKUP('Données projet'!$B$10,Paramètres!$A$1:$I$89,3,0)*VLOOKUP('Données projet'!$B$10,Paramètres!$A$1:$I$89,5,0)</f>
        <v>196.04070200000001</v>
      </c>
      <c r="AK58" s="14">
        <f t="shared" si="35"/>
        <v>48.873023867409437</v>
      </c>
      <c r="AL58" s="22">
        <f t="shared" si="4"/>
        <v>426.55807255240478</v>
      </c>
      <c r="AM58" s="62">
        <f t="shared" si="5"/>
        <v>684.8805280328761</v>
      </c>
      <c r="AN58" s="62">
        <f ca="1">AVERAGE(OFFSET($AM$3,0,0,'Données projet'!$E$10+1,1))-AVERAGE(OFFSET($H$3,0,0,'Données projet'!$E$10+1,1))</f>
        <v>592.76231355549089</v>
      </c>
      <c r="AO58" s="62">
        <f t="shared" si="36"/>
        <v>200.66895551079014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2.3014817200708344</v>
      </c>
      <c r="AW58" s="23">
        <f>EXP(-LN(2)/2)*AW57+(1-EXP(-LN(2)/2))/(LN(2)/2)*AQ58*AT58*VLOOKUP('Données projet'!$B$10,Paramètres!$A$1:$I$89,3,0)*0.475*44/12</f>
        <v>8.6478789686922786E-4</v>
      </c>
      <c r="AX58" s="23">
        <f t="shared" si="6"/>
        <v>2.3023465079677035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107.5</v>
      </c>
      <c r="BB58" s="13">
        <f>VLOOKUP(A58,'Données projet'!$A$87:$I$107,9,0)</f>
        <v>4.4620000000000006</v>
      </c>
      <c r="BC58" s="13">
        <f t="array" ref="BC58">INDEX(BB:BB,MIN(IF(ISNUMBER(BB58:BB254),ROW(BB58:BB254),"")))</f>
        <v>4.4620000000000006</v>
      </c>
      <c r="BD58" s="13">
        <f>IF('Données projet'!$A$88&gt;35,BD57+BC58-BL57,IF(A58&lt;'Données projet'!$A$88,$BA$205^A58,IF(A58='Données projet'!$A$88,'Données projet'!$B$88,BD57+BC58-BL57)))</f>
        <v>107.50000000000003</v>
      </c>
      <c r="BE58" s="14">
        <f>BD58*VLOOKUP('Données projet'!$B$11,Paramètres!$A$1:$I$89,3,0)*VLOOKUP('Données projet'!$B$11,Paramètres!$A$1:$I$89,5,0)</f>
        <v>97.266000000000034</v>
      </c>
      <c r="BF58" s="14">
        <f t="shared" si="37"/>
        <v>26.309612648745627</v>
      </c>
      <c r="BG58" s="22">
        <f t="shared" si="7"/>
        <v>215.22752536323199</v>
      </c>
      <c r="BH58" s="62">
        <f t="shared" si="8"/>
        <v>473.54998084370334</v>
      </c>
      <c r="BI58" s="62">
        <f ca="1">AVERAGE(OFFSET($BH$3,0,0,'Données projet'!$E$11+1,1))-AVERAGE(OFFSET($H$3,0,0,'Données projet'!$E$11+1,1))</f>
        <v>316.71836722354374</v>
      </c>
      <c r="BJ58" s="62">
        <f t="shared" si="38"/>
        <v>164.34067012996618</v>
      </c>
      <c r="BK58" s="16">
        <f>IF(ISNA(VLOOKUP(A58,'Données projet'!$A$87:$I$107,3,0)),0,VLOOKUP(A58,'Données projet'!$A$87:$I$107,3,0))</f>
        <v>5</v>
      </c>
      <c r="BL58" s="16">
        <f>IF(ISNA(VLOOKUP(A58,'Données projet'!$A$87:$I$107,4,0)),0,VLOOKUP(A58,'Données projet'!$A$87:$I$107,4,0))</f>
        <v>17.53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4.3000000000000003E-2</v>
      </c>
      <c r="BO58" s="17">
        <f>IF(ISNA(VLOOKUP(A58,'Données projet'!$A$87:$I$107,7,0)),0%,VLOOKUP(A58,'Données projet'!$A$87:$I$107,7,0))</f>
        <v>0.3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0.75099442984480114</v>
      </c>
      <c r="BR58" s="23">
        <f>EXP(-LN(2)/2)*BR57+(1-EXP(-LN(2)/2))/(LN(2)/2)*BL58*BO58*VLOOKUP('Données projet'!$B$11,Paramètres!$A$1:$I$89,3,0)*0.475*44/12</f>
        <v>4.6996010782268245</v>
      </c>
      <c r="BS58" s="24">
        <f t="shared" si="9"/>
        <v>5.4505955080716255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6.5780000000000003</v>
      </c>
      <c r="BY58" s="13">
        <f>IF('Données projet'!$A$114&gt;35,BY57+BX58-CG57,IF(A58&lt;'Données projet'!$A$114,$BV$205^A58,IF(A58='Données projet'!$A$114,'Données projet'!$B$114,BY57+BX58-CG57)))</f>
        <v>205.68999999999991</v>
      </c>
      <c r="BZ58" s="14">
        <f>BY58*VLOOKUP('Données projet'!$B$12,Paramètres!$A$1:$I$89,3,0)*VLOOKUP('Données projet'!$B$12,Paramètres!$A$1:$I$89,5,0)</f>
        <v>234.2397719999999</v>
      </c>
      <c r="CA58" s="14">
        <f t="shared" si="39"/>
        <v>57.198442526026739</v>
      </c>
      <c r="CB58" s="22">
        <f t="shared" si="10"/>
        <v>507.58822363282974</v>
      </c>
      <c r="CC58" s="62">
        <f t="shared" si="11"/>
        <v>765.91067911330106</v>
      </c>
      <c r="CD58" s="62">
        <f ca="1">AVERAGE(OFFSET($CC$3,0,0,'Données projet'!$E$12+1,1))-AVERAGE(OFFSET($H$3,0,0,'Données projet'!$E$12+1,1))</f>
        <v>454.9779384236806</v>
      </c>
      <c r="CE58" s="62">
        <f t="shared" si="40"/>
        <v>379.32753348721906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4.9775155844287609</v>
      </c>
      <c r="CM58" s="23">
        <f>EXP(-LN(2)/2)*CM57+(1-EXP(-LN(2)/2))/(LN(2)/2)*CG58*CJ58*VLOOKUP('Données projet'!$B$12,Paramètres!$A$1:$I$89,3,0)*0.475*44/12</f>
        <v>0.31562474366628229</v>
      </c>
      <c r="CN58" s="24">
        <f t="shared" si="12"/>
        <v>5.2931403280950429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202.23</v>
      </c>
      <c r="CR58" s="13">
        <f>VLOOKUP(A58,'Données projet'!$A$139:$I$159,9,0)</f>
        <v>8.4519999999999982</v>
      </c>
      <c r="CS58" s="13">
        <f t="array" ref="CS58">INDEX(CR:CR,MIN(IF(ISNUMBER(CR58:CR254),ROW(CR58:CR254),"")))</f>
        <v>8.4519999999999982</v>
      </c>
      <c r="CT58" s="13">
        <f>IF('Données projet'!$A$140&gt;35,CT57+CS58-DB57,IF(A58&lt;'Données projet'!$A$140,$CQ$205^A58,IF(A58='Données projet'!$A$140,'Données projet'!$B$140,CT57+CS58-DB57)))</f>
        <v>202.23000000000002</v>
      </c>
      <c r="CU58" s="18">
        <f>CT58*VLOOKUP('Données projet'!$B$13,Paramètres!$A$1:$I$89,3,0)*VLOOKUP('Données projet'!$B$13,Paramètres!$A$1:$I$89,5,0)</f>
        <v>157.73940000000002</v>
      </c>
      <c r="CV58" s="14">
        <f t="shared" si="41"/>
        <v>40.332209270829942</v>
      </c>
      <c r="CW58" s="22">
        <f t="shared" si="13"/>
        <v>344.9747194800288</v>
      </c>
      <c r="CX58" s="62">
        <f t="shared" si="14"/>
        <v>603.29717496050012</v>
      </c>
      <c r="CY58" s="62">
        <f ca="1">AVERAGE(OFFSET($CX$3,0,0,'Données projet'!$E$13+1,1))-AVERAGE(OFFSET($H$3,0,0,'Données projet'!$E$13+1,1))</f>
        <v>252.10592533338991</v>
      </c>
      <c r="CZ58" s="62">
        <f t="shared" si="42"/>
        <v>272.71831345325313</v>
      </c>
      <c r="DA58" s="16">
        <f>IF(ISNA(VLOOKUP(A58,'Données projet'!$A$139:$I$159,3,0)),0,VLOOKUP(A58,'Données projet'!$A$139:$I$159,3,0))</f>
        <v>8</v>
      </c>
      <c r="DB58" s="16">
        <f>IF(ISNA(VLOOKUP(A58,'Données projet'!$A$139:$I$159,4,0)),0,VLOOKUP(A58,'Données projet'!$A$139:$I$159,4,0))</f>
        <v>32.79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0.30099999999999999</v>
      </c>
      <c r="DE58" s="17">
        <f>IF(ISNA(VLOOKUP(A58,'Données projet'!$A$139:$I$159,7,0)),0%,VLOOKUP(A58,'Données projet'!$A$139:$I$159,7,0))</f>
        <v>0.1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33.634940503151626</v>
      </c>
      <c r="DH58" s="23">
        <f>EXP(-LN(2)/2)*DH57+(1-EXP(-LN(2)/2))/(LN(2)/2)*DB58*DE58*VLOOKUP('Données projet'!$B$13,Paramètres!$A$1:$I$89,3,0)*0.475*44/12</f>
        <v>2.9417907824473533</v>
      </c>
      <c r="DI58" s="24">
        <f t="shared" si="15"/>
        <v>36.576731285598981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421.53</v>
      </c>
      <c r="DM58" s="13">
        <f>VLOOKUP(A58,'Données projet'!$A$165:$I$185,9,0)</f>
        <v>18.184999999999995</v>
      </c>
      <c r="DN58" s="13">
        <f t="array" ref="DN58">INDEX(DM:DM,MIN(IF(ISNUMBER(DM58:DM254),ROW(DM58:DM254),"")))</f>
        <v>18.184999999999995</v>
      </c>
      <c r="DO58" s="13">
        <f>IF('Données projet'!$A$166&gt;35,DO57+DN58-DW57,IF(A58&lt;'Données projet'!$A$166,$DL$205^A58,IF(A58='Données projet'!$A$166,'Données projet'!$B$166,DO57+DN58-DW57)))</f>
        <v>421.53000000000014</v>
      </c>
      <c r="DP58" s="18">
        <f>DO58*VLOOKUP('Données projet'!$B$14,Paramètres!$A$1:$I$89,3,0)*VLOOKUP('Données projet'!$B$14,Paramètres!$A$1:$I$89,5,0)</f>
        <v>252.07494000000011</v>
      </c>
      <c r="DQ58" s="14">
        <f t="shared" si="43"/>
        <v>61.030044058499634</v>
      </c>
      <c r="DR58" s="22">
        <f t="shared" si="16"/>
        <v>545.32451390188692</v>
      </c>
      <c r="DS58" s="62">
        <f t="shared" si="17"/>
        <v>803.64696938235829</v>
      </c>
      <c r="DT58" s="62">
        <f ca="1">AVERAGE(OFFSET($DS$3,0,0,'Données projet'!$E$14+1,1))-AVERAGE(OFFSET($H$3,0,0,'Données projet'!$E$14+1,1))</f>
        <v>423.0896575168394</v>
      </c>
      <c r="DU58" s="62">
        <f t="shared" si="44"/>
        <v>305.98537395014284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134.88999999999999</v>
      </c>
      <c r="DX58" s="17">
        <f>IF(ISNA(VLOOKUP(A58,'Données projet'!$A$165:$I$185,5,0)),0%,VLOOKUP(A58,'Données projet'!$A$165:$I$185,5,0)*VLOOKUP('Données projet'!$B$14,Paramètres!$A$1:$I$89,7,0))</f>
        <v>9.0000000000000011E-2</v>
      </c>
      <c r="DY58" s="17">
        <f>IF(ISNA(VLOOKUP(A58,'Données projet'!$A$165:$I$185,6,0)),0%,VLOOKUP(A58,'Données projet'!$A$165:$I$185,6,0)*VLOOKUP('Données projet'!$B$14,Paramètres!$A$1:$I$89,7,0))</f>
        <v>0.27</v>
      </c>
      <c r="DZ58" s="17">
        <f>IF(ISNA(VLOOKUP(A58,'Données projet'!$A$165:$I$185,7,0)),0%,VLOOKUP(A58,'Données projet'!$A$165:$I$185,7,0))</f>
        <v>0.2</v>
      </c>
      <c r="EA58" s="23">
        <f>EXP(-LN(2)/35)*EA57+(1-EXP(-LN(2)/35))/(LN(2)/35)*DW58*DX58*VLOOKUP('Données projet'!$B$14,Paramètres!$A$1:$I$89,3,0)*0.475*44/12</f>
        <v>9.6305658369979739</v>
      </c>
      <c r="EB58" s="23">
        <f>EXP(-LN(2)/25)*EB57+(1-EXP(-LN(2)/25))/(LN(2)/25)*Calculateur!DW58*Calculateur!DY58*VLOOKUP('Données projet'!$B$14,Paramètres!$A$1:$I$89,3,0)*0.475*44/12</f>
        <v>65.816151615887264</v>
      </c>
      <c r="EC58" s="23">
        <f>EXP(-LN(2)/2)*EC57+(1-EXP(-LN(2)/2))/(LN(2)/2)*DW58*DZ58*VLOOKUP('Données projet'!$B$14,Paramètres!$A$1:$I$89,3,0)*0.475*44/12</f>
        <v>18.754311459514572</v>
      </c>
      <c r="ED58" s="24">
        <f t="shared" si="18"/>
        <v>94.201028912399806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435.83</v>
      </c>
      <c r="EH58" s="13">
        <f>VLOOKUP(A58,'Données projet'!$A$191:$I$211,9,0)</f>
        <v>10.086</v>
      </c>
      <c r="EI58" s="13">
        <f t="array" ref="EI58">INDEX(EH:EH,MIN(IF(ISNUMBER(EH58:EH254),ROW(EH58:EH254),"")))</f>
        <v>10.086</v>
      </c>
      <c r="EJ58" s="13">
        <f>IF('Données projet'!$A$192&gt;35,EJ57+EI58-ER57,IF(A58&lt;'Données projet'!$A$192,$EG$205^A58,IF(A58='Données projet'!$A$192,'Données projet'!$B$192,EJ57+EI58-ER57)))</f>
        <v>435.83000000000021</v>
      </c>
      <c r="EK58" s="18">
        <f>EJ58*VLOOKUP('Données projet'!$B$15,Paramètres!$A$1:$I$89,3,0)*VLOOKUP('Données projet'!$B$15,Paramètres!$A$1:$I$89,5,0)</f>
        <v>260.62634000000014</v>
      </c>
      <c r="EL58" s="14">
        <f t="shared" si="45"/>
        <v>62.855869631287277</v>
      </c>
      <c r="EM58" s="22">
        <f t="shared" si="19"/>
        <v>563.39818177449217</v>
      </c>
      <c r="EN58" s="62">
        <f t="shared" si="20"/>
        <v>821.72063725496355</v>
      </c>
      <c r="EO58" s="62">
        <f ca="1">AVERAGE(OFFSET($EN$3,0,0,'Données projet'!$E$15+1,1))-AVERAGE(OFFSET($H$3,0,0,'Données projet'!$E$15+1,1))</f>
        <v>281.21543175875604</v>
      </c>
      <c r="EP58" s="62">
        <f t="shared" si="46"/>
        <v>366.68536296857428</v>
      </c>
      <c r="EQ58" s="16">
        <f>IF(ISNA(VLOOKUP(A58,'Données projet'!$A$191:$I$211,3,0)),0,VLOOKUP(A58,'Données projet'!$A$191:$I$211,3,0))</f>
        <v>7</v>
      </c>
      <c r="ER58" s="16">
        <f>IF(ISNA(VLOOKUP(A58,'Données projet'!$A$191:$I$211,4,0)),0,VLOOKUP(A58,'Données projet'!$A$191:$I$211,4,0))</f>
        <v>435.83</v>
      </c>
      <c r="ES58" s="17">
        <f>IF(ISNA(VLOOKUP(A58,'Données projet'!$A$191:$I$211,5,0)),0%,VLOOKUP(A58,'Données projet'!$A$191:$I$211,5,0)*VLOOKUP('Données projet'!$B$15,Paramètres!$A$1:$I$89,7,0))</f>
        <v>0.27</v>
      </c>
      <c r="ET58" s="17">
        <f>IF(ISNA(VLOOKUP(A58,'Données projet'!$A$191:$I$211,6,0)),0%,VLOOKUP(A58,'Données projet'!$A$191:$I$211,6,0)*VLOOKUP('Données projet'!$B$15,Paramètres!$A$1:$I$89,7,0))</f>
        <v>9.0000000000000011E-2</v>
      </c>
      <c r="EU58" s="17">
        <f>IF(ISNA(VLOOKUP(A58,'Données projet'!$A$191:$I$211,7,0)),0%,VLOOKUP(A58,'Données projet'!$A$191:$I$211,7,0))</f>
        <v>0.1</v>
      </c>
      <c r="EV58" s="23">
        <f>EXP(-LN(2)/35)*EV57+(1-EXP(-LN(2)/35))/(LN(2)/35)*ER58*ES58*VLOOKUP('Données projet'!$B$15,Paramètres!$A$1:$I$89,3,0)*0.475*44/12</f>
        <v>105.42788296114004</v>
      </c>
      <c r="EW58" s="23">
        <f>EXP(-LN(2)/25)*EW57+(1-EXP(-LN(2)/25))/(LN(2)/25)*Calculateur!ER58*Calculateur!ET58*VLOOKUP('Données projet'!$B$15,Paramètres!$A$1:$I$89,3,0)*0.475*44/12</f>
        <v>37.135540824833043</v>
      </c>
      <c r="EX58" s="23">
        <f>EXP(-LN(2)/2)*EX57+(1-EXP(-LN(2)/2))/(LN(2)/2)*ER58*EU58*VLOOKUP('Données projet'!$B$15,Paramètres!$A$1:$I$89,3,0)*0.475*44/12</f>
        <v>29.512072111193</v>
      </c>
      <c r="EY58" s="24">
        <f t="shared" si="21"/>
        <v>172.07549589716609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288.12</v>
      </c>
      <c r="FC58" s="13">
        <f>VLOOKUP(A58,'Données projet'!$A$217:$I$237,9,0)</f>
        <v>14.028000000000002</v>
      </c>
      <c r="FD58" s="13">
        <f t="array" ref="FD58">INDEX(FC:FC,MIN(IF(ISNUMBER(FC58:FC254),ROW(FC58:FC254),"")))</f>
        <v>14.028000000000002</v>
      </c>
      <c r="FE58" s="13">
        <f>IF('Données projet'!$A$218&gt;35,FE57+FD58-FM57,IF(A58&lt;'Données projet'!$A$218,$FB$205^A58,IF(A58='Données projet'!$A$218,'Données projet'!$B$218,FE57+FD58-FM57)))</f>
        <v>288.12</v>
      </c>
      <c r="FF58" s="18">
        <f>FE58*VLOOKUP('Données projet'!$B$16,Paramètres!$A$1:$I$89,3,0)*VLOOKUP('Données projet'!$B$16,Paramètres!$A$1:$I$89,5,0)</f>
        <v>161.05907999999999</v>
      </c>
      <c r="FG58" s="14">
        <f t="shared" si="47"/>
        <v>41.081302057214373</v>
      </c>
      <c r="FH58" s="22">
        <f t="shared" si="22"/>
        <v>352.06116541631496</v>
      </c>
      <c r="FI58" s="62">
        <f t="shared" si="23"/>
        <v>610.3836208967864</v>
      </c>
      <c r="FJ58" s="62">
        <f ca="1">AVERAGE(OFFSET($FI$3,0,0,'Données projet'!$E$16+1,1))-AVERAGE(OFFSET($H$3,0,0,'Données projet'!$E$16+1,1))</f>
        <v>280.9225643428145</v>
      </c>
      <c r="FK58" s="62">
        <f t="shared" si="48"/>
        <v>236.89414218053955</v>
      </c>
      <c r="FL58" s="16">
        <f>IF(ISNA(VLOOKUP(A58,'Données projet'!$A$217:$I$237,3,0)),0,VLOOKUP(A58,'Données projet'!$A$217:$I$237,3,0))</f>
        <v>7</v>
      </c>
      <c r="FM58" s="16">
        <f>IF(ISNA(VLOOKUP(A58,'Données projet'!$A$217:$I$237,4,0)),0,VLOOKUP(A58,'Données projet'!$A$217:$I$237,4,0))</f>
        <v>53.01</v>
      </c>
      <c r="FN58" s="17">
        <f>IF(ISNA(VLOOKUP(A58,'Données projet'!$A$217:$I$237,5,0)),0%,VLOOKUP(A58,'Données projet'!$A$217:$I$237,5,0)*VLOOKUP('Données projet'!$B$16,Paramètres!$A$1:$I$89,7,0))</f>
        <v>0.44000000000000006</v>
      </c>
      <c r="FO58" s="17">
        <f>IF(ISNA(VLOOKUP(A58,'Données projet'!$A$217:$I$237,6,0)),0%,VLOOKUP(A58,'Données projet'!$A$217:$I$237,6,0)*VLOOKUP('Données projet'!$B$16,Paramètres!$A$1:$I$89,7,0))</f>
        <v>0.11000000000000001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47.118558150957718</v>
      </c>
      <c r="FR58" s="23">
        <f>EXP(-LN(2)/25)*FR57+(1-EXP(-LN(2)/25))/(LN(2)/25)*Calculateur!FM58*Calculateur!FO58*VLOOKUP('Données projet'!$B$16,Paramètres!$A$1:$I$89,3,0)*0.475*44/12</f>
        <v>34.762795448994432</v>
      </c>
      <c r="FS58" s="23">
        <f>EXP(-LN(2)/2)*FS57+(1-EXP(-LN(2)/2))/(LN(2)/2)*FM58*FP58*VLOOKUP('Données projet'!$B$16,Paramètres!$A$1:$I$89,3,0)*0.475*44/12</f>
        <v>0.77686392163172269</v>
      </c>
      <c r="FT58" s="24">
        <f t="shared" si="24"/>
        <v>82.658217521583879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329.07</v>
      </c>
      <c r="FX58" s="13">
        <f>VLOOKUP(A58,'Données projet'!$A$243:$I$263,9,0)</f>
        <v>8.8080000000000034</v>
      </c>
      <c r="FY58" s="13">
        <f t="array" ref="FY58">INDEX(FX:FX,MIN(IF(ISNUMBER(FX58:FX254),ROW(FX58:FX254),"")))</f>
        <v>8.8080000000000034</v>
      </c>
      <c r="FZ58" s="13">
        <f>IF('Données projet'!$A$244&gt;35,FZ57+FY58-GH57,IF(A58&lt;'Données projet'!$A$244,$FW$205^A58,IF(A58='Données projet'!$A$244,'Données projet'!$B$244,FZ57+FY58-GH57)))</f>
        <v>329.06999999999965</v>
      </c>
      <c r="GA58" s="18">
        <f>FZ58*VLOOKUP('Données projet'!$B$17,Paramètres!$A$1:$I$89,3,0)*VLOOKUP('Données projet'!$B$17,Paramètres!$A$1:$I$89,5,0)</f>
        <v>145.44893999999988</v>
      </c>
      <c r="GB58" s="14">
        <f t="shared" si="49"/>
        <v>37.542493666658032</v>
      </c>
      <c r="GC58" s="22">
        <f t="shared" si="25"/>
        <v>318.71008030276249</v>
      </c>
      <c r="GD58" s="62">
        <f t="shared" si="26"/>
        <v>577.03253578323393</v>
      </c>
      <c r="GE58" s="62">
        <f ca="1">AVERAGE(OFFSET($GD$3,0,0,'Données projet'!$E$17+1,1))-AVERAGE(OFFSET($H$3,0,0,'Données projet'!$E$17+1,1))</f>
        <v>325.67421864225201</v>
      </c>
      <c r="GF58" s="62">
        <f t="shared" si="50"/>
        <v>542.01920418736745</v>
      </c>
      <c r="GG58" s="16">
        <f>IF(ISNA(VLOOKUP(A58,'Données projet'!$A$243:$I$263,3,0)),0,VLOOKUP(A58,'Données projet'!$A$243:$I$263,3,0))</f>
        <v>8</v>
      </c>
      <c r="GH58" s="16">
        <f>IF(ISNA(VLOOKUP(A58,'Données projet'!$A$243:$I$263,4,0)),0,VLOOKUP(A58,'Données projet'!$A$243:$I$263,4,0))</f>
        <v>53.64</v>
      </c>
      <c r="GI58" s="17">
        <f>IF(ISNA(VLOOKUP(A58,'Données projet'!$A$243:$I$263,5,0)),0%,VLOOKUP(A58,'Données projet'!$A$243:$I$263,5,0)*VLOOKUP('Données projet'!$B$17,Paramètres!$A$1:$I$89,7,0))</f>
        <v>0.44000000000000006</v>
      </c>
      <c r="GJ58" s="17">
        <f>IF(ISNA(VLOOKUP(A58,'Données projet'!$A$243:$I$263,6,0)),0%,VLOOKUP(A58,'Données projet'!$A$243:$I$263,6,0)*VLOOKUP('Données projet'!$B$17,Paramètres!$A$1:$I$89,7,0))</f>
        <v>0.11000000000000001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42.527929329784143</v>
      </c>
      <c r="GM58" s="23">
        <f>EXP(-LN(2)/25)*GM57+(1-EXP(-LN(2)/25))/(LN(2)/25)*Calculateur!GH58*Calculateur!GJ58*VLOOKUP('Données projet'!$B$17,Paramètres!$A$1:$I$89,3,0)*0.475*44/12</f>
        <v>88.499771029266</v>
      </c>
      <c r="GN58" s="23">
        <f>EXP(-LN(2)/2)*GN57+(1-EXP(-LN(2)/2))/(LN(2)/2)*GH58*GK58*VLOOKUP('Données projet'!$B$17,Paramètres!$A$1:$I$89,3,0)*0.475*44/12</f>
        <v>0.79125924433711314</v>
      </c>
      <c r="GO58" s="23">
        <f t="shared" si="27"/>
        <v>131.81895960338724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70.25</v>
      </c>
      <c r="GS58" s="13">
        <f>VLOOKUP(A58,'Données projet'!$A$269:$I$289,9,0)</f>
        <v>2.8959999999999995</v>
      </c>
      <c r="GT58" s="13">
        <f t="array" ref="GT58">INDEX(GS:GS,MIN(IF(ISNUMBER(GS58:GS254),ROW(GS58:GS254),"")))</f>
        <v>2.8959999999999995</v>
      </c>
      <c r="GU58" s="13">
        <f>IF('Données projet'!$A$270&gt;35,GU57+GT58-HC57,IF(A58&lt;'Données projet'!$A$270,$GR$205^A58,IF(A58='Données projet'!$A$270,'Données projet'!$B$270,GU57+GT58-HC57)))</f>
        <v>70.249999999999986</v>
      </c>
      <c r="GV58" s="18">
        <f>GU58*VLOOKUP('Données projet'!$B$18,Paramètres!$A$1:$I$89,3,0)*VLOOKUP('Données projet'!$B$18,Paramètres!$A$1:$I$89,5,0)</f>
        <v>71.233499999999992</v>
      </c>
      <c r="GW58" s="14">
        <f t="shared" si="51"/>
        <v>19.97946698316094</v>
      </c>
      <c r="GX58" s="22">
        <f t="shared" si="28"/>
        <v>158.86258416233861</v>
      </c>
      <c r="GY58" s="62">
        <f t="shared" si="29"/>
        <v>417.18503964281001</v>
      </c>
      <c r="GZ58" s="62">
        <f ca="1">AVERAGE(OFFSET($GY$3,0,0,'Données projet'!$E$18+1,1))-AVERAGE(OFFSET($H$3,0,0,'Données projet'!$E$18+1,1))</f>
        <v>220.89224520315713</v>
      </c>
      <c r="HA58" s="62">
        <f t="shared" si="52"/>
        <v>141.82763623159096</v>
      </c>
      <c r="HB58" s="16">
        <f>IF(ISNA(VLOOKUP(A58,'Données projet'!$A$269:$I$289,3,0)),0,VLOOKUP(A58,'Données projet'!$A$269:$I$289,3,0))</f>
        <v>5</v>
      </c>
      <c r="HC58" s="16">
        <f>IF(ISNA(VLOOKUP(A58,'Données projet'!$A$269:$I$289,4,0)),0,VLOOKUP(A58,'Données projet'!$A$269:$I$289,4,0))</f>
        <v>11.5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1.2759999999999998</v>
      </c>
      <c r="N59" s="14">
        <f>IF('Données projet'!$A$36&gt;35,N58+M59-V58,IF(A59&lt;'Données projet'!$A$36,$K$205^A59,IF(A59='Données projet'!$A$36,'Données projet'!$B$36,N58+M59-V58)))</f>
        <v>17.965999999999983</v>
      </c>
      <c r="O59" s="14">
        <f>N59*VLOOKUP('Données projet'!$B$9,Paramètres!$A$1:$I$89,3,0)*VLOOKUP('Données projet'!$B$9,Paramètres!$A$1:$I$89,5,0)</f>
        <v>17.376715199999985</v>
      </c>
      <c r="P59" s="14">
        <f t="shared" si="33"/>
        <v>5.7436439460804447</v>
      </c>
      <c r="Q59" s="22">
        <f t="shared" si="53"/>
        <v>40.267958846090082</v>
      </c>
      <c r="R59" s="62">
        <f t="shared" si="0"/>
        <v>299.19777478471184</v>
      </c>
      <c r="S59" s="62">
        <f ca="1">AVERAGE(OFFSET($R$3,0,0,'Données projet'!$E$9+1,1))-AVERAGE(OFFSET($H$3,0,0,'Données projet'!$E$9+1,1))</f>
        <v>84.959354125980269</v>
      </c>
      <c r="T59" s="62">
        <f t="shared" si="34"/>
        <v>89.658970210276806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3.5992570235474917</v>
      </c>
      <c r="AB59" s="23">
        <f>EXP(-LN(2)/2)*AB58+(1-EXP(-LN(2)/2))/(LN(2)/2)*V59*Y59*VLOOKUP('Données projet'!$B$9,Paramètres!$A$1:$I$89,3,0)*0.475*44/12</f>
        <v>0.17911182637280768</v>
      </c>
      <c r="AC59" s="24">
        <f t="shared" si="3"/>
        <v>3.7783688499202994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6.5376666666666665</v>
      </c>
      <c r="AI59" s="14">
        <f>IF('Données projet'!$A$62&gt;35,AI58+AH59-AQ58,IF(A59&lt;'Données projet'!$A$62,$AF$205^A59,IF(A59='Données projet'!$A$62,'Données projet'!$B$62,AI58+AH59-AQ58)))</f>
        <v>212.54933333333335</v>
      </c>
      <c r="AJ59" s="14">
        <f>AI59*VLOOKUP('Données projet'!$B$10,Paramètres!$A$1:$I$89,3,0)*VLOOKUP('Données projet'!$B$10,Paramètres!$A$1:$I$89,5,0)</f>
        <v>202.26194560000005</v>
      </c>
      <c r="AK59" s="14">
        <f t="shared" si="35"/>
        <v>50.240949065974618</v>
      </c>
      <c r="AL59" s="22">
        <f t="shared" si="4"/>
        <v>439.77587487657252</v>
      </c>
      <c r="AM59" s="62">
        <f t="shared" si="5"/>
        <v>698.7056908151942</v>
      </c>
      <c r="AN59" s="62">
        <f ca="1">AVERAGE(OFFSET($AM$3,0,0,'Données projet'!$E$10+1,1))-AVERAGE(OFFSET($H$3,0,0,'Données projet'!$E$10+1,1))</f>
        <v>592.76231355549089</v>
      </c>
      <c r="AO59" s="62">
        <f t="shared" si="36"/>
        <v>200.66895551079014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2.2385475814058338</v>
      </c>
      <c r="AW59" s="23">
        <f>EXP(-LN(2)/2)*AW58+(1-EXP(-LN(2)/2))/(LN(2)/2)*AQ59*AT59*VLOOKUP('Données projet'!$B$10,Paramètres!$A$1:$I$89,3,0)*0.475*44/12</f>
        <v>6.1149738616428373E-4</v>
      </c>
      <c r="AX59" s="23">
        <f t="shared" si="6"/>
        <v>2.2391590787919982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4.5400000000000009</v>
      </c>
      <c r="BD59" s="13">
        <f>IF('Données projet'!$A$88&gt;35,BD58+BC59-BL58,IF(A59&lt;'Données projet'!$A$88,$BA$205^A59,IF(A59='Données projet'!$A$88,'Données projet'!$B$88,BD58+BC59-BL58)))</f>
        <v>94.510000000000034</v>
      </c>
      <c r="BE59" s="14">
        <f>BD59*VLOOKUP('Données projet'!$B$11,Paramètres!$A$1:$I$89,3,0)*VLOOKUP('Données projet'!$B$11,Paramètres!$A$1:$I$89,5,0)</f>
        <v>85.512648000000027</v>
      </c>
      <c r="BF59" s="14">
        <f t="shared" si="37"/>
        <v>23.479783420281645</v>
      </c>
      <c r="BG59" s="22">
        <f t="shared" si="7"/>
        <v>189.82848472365723</v>
      </c>
      <c r="BH59" s="62">
        <f t="shared" si="8"/>
        <v>448.758300662279</v>
      </c>
      <c r="BI59" s="62">
        <f ca="1">AVERAGE(OFFSET($BH$3,0,0,'Données projet'!$E$11+1,1))-AVERAGE(OFFSET($H$3,0,0,'Données projet'!$E$11+1,1))</f>
        <v>316.71836722354374</v>
      </c>
      <c r="BJ59" s="62">
        <f t="shared" si="38"/>
        <v>164.34067012996618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0.73045844766761436</v>
      </c>
      <c r="BR59" s="23">
        <f>EXP(-LN(2)/2)*BR58+(1-EXP(-LN(2)/2))/(LN(2)/2)*BL59*BO59*VLOOKUP('Données projet'!$B$11,Paramètres!$A$1:$I$89,3,0)*0.475*44/12</f>
        <v>3.3231197912857984</v>
      </c>
      <c r="BS59" s="24">
        <f t="shared" si="9"/>
        <v>4.0535782389534125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6.5780000000000003</v>
      </c>
      <c r="BY59" s="13">
        <f>IF('Données projet'!$A$114&gt;35,BY58+BX59-CG58,IF(A59&lt;'Données projet'!$A$114,$BV$205^A59,IF(A59='Données projet'!$A$114,'Données projet'!$B$114,BY58+BX59-CG58)))</f>
        <v>212.26799999999992</v>
      </c>
      <c r="BZ59" s="14">
        <f>BY59*VLOOKUP('Données projet'!$B$12,Paramètres!$A$1:$I$89,3,0)*VLOOKUP('Données projet'!$B$12,Paramètres!$A$1:$I$89,5,0)</f>
        <v>241.73079839999991</v>
      </c>
      <c r="CA59" s="14">
        <f t="shared" si="39"/>
        <v>58.811764308346817</v>
      </c>
      <c r="CB59" s="22">
        <f t="shared" si="10"/>
        <v>523.44496338370391</v>
      </c>
      <c r="CC59" s="62">
        <f t="shared" si="11"/>
        <v>782.37477932232559</v>
      </c>
      <c r="CD59" s="62">
        <f ca="1">AVERAGE(OFFSET($CC$3,0,0,'Données projet'!$E$12+1,1))-AVERAGE(OFFSET($H$3,0,0,'Données projet'!$E$12+1,1))</f>
        <v>454.9779384236806</v>
      </c>
      <c r="CE59" s="62">
        <f t="shared" si="40"/>
        <v>379.32753348721906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4.8414051590163885</v>
      </c>
      <c r="CM59" s="23">
        <f>EXP(-LN(2)/2)*CM58+(1-EXP(-LN(2)/2))/(LN(2)/2)*CG59*CJ59*VLOOKUP('Données projet'!$B$12,Paramètres!$A$1:$I$89,3,0)*0.475*44/12</f>
        <v>0.22318039655669403</v>
      </c>
      <c r="CN59" s="24">
        <f t="shared" si="12"/>
        <v>5.0645855555730828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8.1920000000000019</v>
      </c>
      <c r="CT59" s="13">
        <f>IF('Données projet'!$A$140&gt;35,CT58+CS59-DB58,IF(A59&lt;'Données projet'!$A$140,$CQ$205^A59,IF(A59='Données projet'!$A$140,'Données projet'!$B$140,CT58+CS59-DB58)))</f>
        <v>177.63200000000003</v>
      </c>
      <c r="CU59" s="18">
        <f>CT59*VLOOKUP('Données projet'!$B$13,Paramètres!$A$1:$I$89,3,0)*VLOOKUP('Données projet'!$B$13,Paramètres!$A$1:$I$89,5,0)</f>
        <v>138.55296000000004</v>
      </c>
      <c r="CV59" s="14">
        <f t="shared" si="41"/>
        <v>35.965308766301796</v>
      </c>
      <c r="CW59" s="22">
        <f t="shared" si="13"/>
        <v>303.95265143464235</v>
      </c>
      <c r="CX59" s="62">
        <f t="shared" si="14"/>
        <v>562.88246737326403</v>
      </c>
      <c r="CY59" s="62">
        <f ca="1">AVERAGE(OFFSET($CX$3,0,0,'Données projet'!$E$13+1,1))-AVERAGE(OFFSET($H$3,0,0,'Données projet'!$E$13+1,1))</f>
        <v>252.10592533338991</v>
      </c>
      <c r="CZ59" s="62">
        <f t="shared" si="42"/>
        <v>272.71831345325313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32.715191286308297</v>
      </c>
      <c r="DH59" s="23">
        <f>EXP(-LN(2)/2)*DH58+(1-EXP(-LN(2)/2))/(LN(2)/2)*DB59*DE59*VLOOKUP('Données projet'!$B$13,Paramètres!$A$1:$I$89,3,0)*0.475*44/12</f>
        <v>2.080160211100603</v>
      </c>
      <c r="DI59" s="24">
        <f t="shared" si="15"/>
        <v>34.795351497408902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21.3764</v>
      </c>
      <c r="DO59" s="13">
        <f>IF('Données projet'!$A$166&gt;35,DO58+DN59-DW58,IF(A59&lt;'Données projet'!$A$166,$DL$205^A59,IF(A59='Données projet'!$A$166,'Données projet'!$B$166,DO58+DN59-DW58)))</f>
        <v>308.01640000000015</v>
      </c>
      <c r="DP59" s="18">
        <f>DO59*VLOOKUP('Données projet'!$B$14,Paramètres!$A$1:$I$89,3,0)*VLOOKUP('Données projet'!$B$14,Paramètres!$A$1:$I$89,5,0)</f>
        <v>184.19380720000009</v>
      </c>
      <c r="DQ59" s="14">
        <f t="shared" si="43"/>
        <v>46.253976632071023</v>
      </c>
      <c r="DR59" s="22">
        <f t="shared" si="16"/>
        <v>401.3632235075238</v>
      </c>
      <c r="DS59" s="62">
        <f t="shared" si="17"/>
        <v>660.29303944614549</v>
      </c>
      <c r="DT59" s="62">
        <f ca="1">AVERAGE(OFFSET($DS$3,0,0,'Données projet'!$E$14+1,1))-AVERAGE(OFFSET($H$3,0,0,'Données projet'!$E$14+1,1))</f>
        <v>423.0896575168394</v>
      </c>
      <c r="DU59" s="62">
        <f t="shared" si="44"/>
        <v>305.98537395014284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9.4417163149995886</v>
      </c>
      <c r="EB59" s="23">
        <f>EXP(-LN(2)/25)*EB58+(1-EXP(-LN(2)/25))/(LN(2)/25)*Calculateur!DW59*Calculateur!DY59*VLOOKUP('Données projet'!$B$14,Paramètres!$A$1:$I$89,3,0)*0.475*44/12</f>
        <v>64.016405488829832</v>
      </c>
      <c r="EC59" s="23">
        <f>EXP(-LN(2)/2)*EC58+(1-EXP(-LN(2)/2))/(LN(2)/2)*DW59*DZ59*VLOOKUP('Données projet'!$B$14,Paramètres!$A$1:$I$89,3,0)*0.475*44/12</f>
        <v>13.261300809507333</v>
      </c>
      <c r="ED59" s="24">
        <f t="shared" si="18"/>
        <v>86.719422613336747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2.2737367544323206E-13</v>
      </c>
      <c r="EK59" s="18">
        <f>EJ59*VLOOKUP('Données projet'!$B$15,Paramètres!$A$1:$I$89,3,0)*VLOOKUP('Données projet'!$B$15,Paramètres!$A$1:$I$89,5,0)</f>
        <v>1.3596945791505279E-13</v>
      </c>
      <c r="EL59" s="14">
        <f t="shared" si="45"/>
        <v>1.9708830566360721E-12</v>
      </c>
      <c r="EM59" s="22">
        <f t="shared" si="19"/>
        <v>3.669434796176543E-12</v>
      </c>
      <c r="EN59" s="62">
        <f t="shared" si="20"/>
        <v>258.92981593862544</v>
      </c>
      <c r="EO59" s="62">
        <f ca="1">AVERAGE(OFFSET($EN$3,0,0,'Données projet'!$E$15+1,1))-AVERAGE(OFFSET($H$3,0,0,'Données projet'!$E$15+1,1))</f>
        <v>281.21543175875604</v>
      </c>
      <c r="EP59" s="62">
        <f t="shared" si="46"/>
        <v>366.68536296857428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103.36050648093114</v>
      </c>
      <c r="EW59" s="23">
        <f>EXP(-LN(2)/25)*EW58+(1-EXP(-LN(2)/25))/(LN(2)/25)*Calculateur!ER59*Calculateur!ET59*VLOOKUP('Données projet'!$B$15,Paramètres!$A$1:$I$89,3,0)*0.475*44/12</f>
        <v>36.120067508104768</v>
      </c>
      <c r="EX59" s="23">
        <f>EXP(-LN(2)/2)*EX58+(1-EXP(-LN(2)/2))/(LN(2)/2)*ER59*EU59*VLOOKUP('Données projet'!$B$15,Paramètres!$A$1:$I$89,3,0)*0.475*44/12</f>
        <v>20.868186316690963</v>
      </c>
      <c r="EY59" s="24">
        <f t="shared" si="21"/>
        <v>160.34876030572687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13.425999999999998</v>
      </c>
      <c r="FE59" s="13">
        <f>IF('Données projet'!$A$218&gt;35,FE58+FD59-FM58,IF(A59&lt;'Données projet'!$A$218,$FB$205^A59,IF(A59='Données projet'!$A$218,'Données projet'!$B$218,FE58+FD59-FM58)))</f>
        <v>248.536</v>
      </c>
      <c r="FF59" s="18">
        <f>FE59*VLOOKUP('Données projet'!$B$16,Paramètres!$A$1:$I$89,3,0)*VLOOKUP('Données projet'!$B$16,Paramètres!$A$1:$I$89,5,0)</f>
        <v>138.931624</v>
      </c>
      <c r="FG59" s="14">
        <f t="shared" si="47"/>
        <v>36.052146543050966</v>
      </c>
      <c r="FH59" s="22">
        <f t="shared" si="22"/>
        <v>304.76340036248041</v>
      </c>
      <c r="FI59" s="62">
        <f t="shared" si="23"/>
        <v>563.69321630110221</v>
      </c>
      <c r="FJ59" s="62">
        <f ca="1">AVERAGE(OFFSET($FI$3,0,0,'Données projet'!$E$16+1,1))-AVERAGE(OFFSET($H$3,0,0,'Données projet'!$E$16+1,1))</f>
        <v>280.9225643428145</v>
      </c>
      <c r="FK59" s="62">
        <f t="shared" si="48"/>
        <v>236.89414218053955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46.194591965100123</v>
      </c>
      <c r="FR59" s="23">
        <f>EXP(-LN(2)/25)*FR58+(1-EXP(-LN(2)/25))/(LN(2)/25)*Calculateur!FM59*Calculateur!FO59*VLOOKUP('Données projet'!$B$16,Paramètres!$A$1:$I$89,3,0)*0.475*44/12</f>
        <v>33.812204979345715</v>
      </c>
      <c r="FS59" s="23">
        <f>EXP(-LN(2)/2)*FS58+(1-EXP(-LN(2)/2))/(LN(2)/2)*FM59*FP59*VLOOKUP('Données projet'!$B$16,Paramètres!$A$1:$I$89,3,0)*0.475*44/12</f>
        <v>0.54932574704496573</v>
      </c>
      <c r="FT59" s="24">
        <f t="shared" si="24"/>
        <v>80.556122691490799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7.3879999999999999</v>
      </c>
      <c r="FZ59" s="13">
        <f>IF('Données projet'!$A$244&gt;35,FZ58+FY59-GH58,IF(A59&lt;'Données projet'!$A$244,$FW$205^A59,IF(A59='Données projet'!$A$244,'Données projet'!$B$244,FZ58+FY59-GH58)))</f>
        <v>282.81799999999964</v>
      </c>
      <c r="GA59" s="18">
        <f>FZ59*VLOOKUP('Données projet'!$B$17,Paramètres!$A$1:$I$89,3,0)*VLOOKUP('Données projet'!$B$17,Paramètres!$A$1:$I$89,5,0)</f>
        <v>125.00555599999986</v>
      </c>
      <c r="GB59" s="14">
        <f t="shared" si="49"/>
        <v>32.839671834018134</v>
      </c>
      <c r="GC59" s="22">
        <f t="shared" si="25"/>
        <v>274.91377181091462</v>
      </c>
      <c r="GD59" s="62">
        <f t="shared" si="26"/>
        <v>533.84358774953637</v>
      </c>
      <c r="GE59" s="62">
        <f ca="1">AVERAGE(OFFSET($GD$3,0,0,'Données projet'!$E$17+1,1))-AVERAGE(OFFSET($H$3,0,0,'Données projet'!$E$17+1,1))</f>
        <v>325.67421864225201</v>
      </c>
      <c r="GF59" s="62">
        <f t="shared" si="50"/>
        <v>542.01920418736745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41.693982575102659</v>
      </c>
      <c r="GM59" s="23">
        <f>EXP(-LN(2)/25)*GM58+(1-EXP(-LN(2)/25))/(LN(2)/25)*Calculateur!GH59*Calculateur!GJ59*VLOOKUP('Données projet'!$B$17,Paramètres!$A$1:$I$89,3,0)*0.475*44/12</f>
        <v>86.079740136470036</v>
      </c>
      <c r="GN59" s="23">
        <f>EXP(-LN(2)/2)*GN58+(1-EXP(-LN(2)/2))/(LN(2)/2)*GH59*GK59*VLOOKUP('Données projet'!$B$17,Paramètres!$A$1:$I$89,3,0)*0.475*44/12</f>
        <v>0.55950477734731607</v>
      </c>
      <c r="GO59" s="23">
        <f t="shared" si="27"/>
        <v>128.33322748892002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2.9740000000000011</v>
      </c>
      <c r="GU59" s="13">
        <f>IF('Données projet'!$A$270&gt;35,GU58+GT59-HC58,IF(A59&lt;'Données projet'!$A$270,$GR$205^A59,IF(A59='Données projet'!$A$270,'Données projet'!$B$270,GU58+GT59-HC58)))</f>
        <v>61.72399999999999</v>
      </c>
      <c r="GV59" s="18">
        <f>GU59*VLOOKUP('Données projet'!$B$18,Paramètres!$A$1:$I$89,3,0)*VLOOKUP('Données projet'!$B$18,Paramètres!$A$1:$I$89,5,0)</f>
        <v>62.588135999999999</v>
      </c>
      <c r="GW59" s="14">
        <f t="shared" si="51"/>
        <v>17.821014009510517</v>
      </c>
      <c r="GX59" s="22">
        <f t="shared" si="28"/>
        <v>140.04593626656413</v>
      </c>
      <c r="GY59" s="62">
        <f t="shared" si="29"/>
        <v>398.97575220518587</v>
      </c>
      <c r="GZ59" s="62">
        <f ca="1">AVERAGE(OFFSET($GY$3,0,0,'Données projet'!$E$18+1,1))-AVERAGE(OFFSET($H$3,0,0,'Données projet'!$E$18+1,1))</f>
        <v>220.89224520315713</v>
      </c>
      <c r="HA59" s="62">
        <f t="shared" si="52"/>
        <v>141.82763623159096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1.2759999999999998</v>
      </c>
      <c r="N60" s="14">
        <f>IF('Données projet'!$A$36&gt;35,N59+M60-V59,IF(A60&lt;'Données projet'!$A$36,$K$205^A60,IF(A60='Données projet'!$A$36,'Données projet'!$B$36,N59+M60-V59)))</f>
        <v>19.241999999999983</v>
      </c>
      <c r="O60" s="14">
        <f>N60*VLOOKUP('Données projet'!$B$9,Paramètres!$A$1:$I$89,3,0)*VLOOKUP('Données projet'!$B$9,Paramètres!$A$1:$I$89,5,0)</f>
        <v>18.610862399999984</v>
      </c>
      <c r="P60" s="14">
        <f t="shared" si="33"/>
        <v>6.1026398783393789</v>
      </c>
      <c r="Q60" s="22">
        <f t="shared" si="53"/>
        <v>43.042683134774393</v>
      </c>
      <c r="R60" s="62">
        <f t="shared" si="0"/>
        <v>302.56932318545211</v>
      </c>
      <c r="S60" s="62">
        <f ca="1">AVERAGE(OFFSET($R$3,0,0,'Données projet'!$E$9+1,1))-AVERAGE(OFFSET($H$3,0,0,'Données projet'!$E$9+1,1))</f>
        <v>84.959354125980269</v>
      </c>
      <c r="T60" s="62">
        <f t="shared" si="34"/>
        <v>89.658970210276806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3.5008351509618847</v>
      </c>
      <c r="AB60" s="23">
        <f>EXP(-LN(2)/2)*AB59+(1-EXP(-LN(2)/2))/(LN(2)/2)*V60*Y60*VLOOKUP('Données projet'!$B$9,Paramètres!$A$1:$I$89,3,0)*0.475*44/12</f>
        <v>0.12665118701891981</v>
      </c>
      <c r="AC60" s="24">
        <f t="shared" si="3"/>
        <v>3.6274863379808044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6.5376666666666665</v>
      </c>
      <c r="AI60" s="14">
        <f>IF('Données projet'!$A$62&gt;35,AI59+AH60-AQ59,IF(A60&lt;'Données projet'!$A$62,$AF$205^A60,IF(A60='Données projet'!$A$62,'Données projet'!$B$62,AI59+AH60-AQ59)))</f>
        <v>219.08700000000002</v>
      </c>
      <c r="AJ60" s="14">
        <f>AI60*VLOOKUP('Données projet'!$B$10,Paramètres!$A$1:$I$89,3,0)*VLOOKUP('Données projet'!$B$10,Paramètres!$A$1:$I$89,5,0)</f>
        <v>208.4831892</v>
      </c>
      <c r="AK60" s="14">
        <f t="shared" si="35"/>
        <v>51.603984662653495</v>
      </c>
      <c r="AL60" s="22">
        <f t="shared" si="4"/>
        <v>452.98516114412149</v>
      </c>
      <c r="AM60" s="62">
        <f t="shared" si="5"/>
        <v>712.5118011947992</v>
      </c>
      <c r="AN60" s="62">
        <f ca="1">AVERAGE(OFFSET($AM$3,0,0,'Données projet'!$E$10+1,1))-AVERAGE(OFFSET($H$3,0,0,'Données projet'!$E$10+1,1))</f>
        <v>592.76231355549089</v>
      </c>
      <c r="AO60" s="62">
        <f t="shared" si="36"/>
        <v>200.66895551079014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2.1773343800721903</v>
      </c>
      <c r="AW60" s="23">
        <f>EXP(-LN(2)/2)*AW59+(1-EXP(-LN(2)/2))/(LN(2)/2)*AQ60*AT60*VLOOKUP('Données projet'!$B$10,Paramètres!$A$1:$I$89,3,0)*0.475*44/12</f>
        <v>4.3239394843461393E-4</v>
      </c>
      <c r="AX60" s="23">
        <f t="shared" si="6"/>
        <v>2.177766774020625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4.5400000000000009</v>
      </c>
      <c r="BD60" s="13">
        <f>IF('Données projet'!$A$88&gt;35,BD59+BC60-BL59,IF(A60&lt;'Données projet'!$A$88,$BA$205^A60,IF(A60='Données projet'!$A$88,'Données projet'!$B$88,BD59+BC60-BL59)))</f>
        <v>99.05000000000004</v>
      </c>
      <c r="BE60" s="14">
        <f>BD60*VLOOKUP('Données projet'!$B$11,Paramètres!$A$1:$I$89,3,0)*VLOOKUP('Données projet'!$B$11,Paramètres!$A$1:$I$89,5,0)</f>
        <v>89.620440000000031</v>
      </c>
      <c r="BF60" s="14">
        <f t="shared" si="37"/>
        <v>24.473661757790623</v>
      </c>
      <c r="BG60" s="22">
        <f t="shared" si="7"/>
        <v>198.71389389481871</v>
      </c>
      <c r="BH60" s="62">
        <f t="shared" si="8"/>
        <v>458.2405339454964</v>
      </c>
      <c r="BI60" s="62">
        <f ca="1">AVERAGE(OFFSET($BH$3,0,0,'Données projet'!$E$11+1,1))-AVERAGE(OFFSET($H$3,0,0,'Données projet'!$E$11+1,1))</f>
        <v>316.71836722354374</v>
      </c>
      <c r="BJ60" s="62">
        <f t="shared" si="38"/>
        <v>164.34067012996618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0.71048402300300317</v>
      </c>
      <c r="BR60" s="23">
        <f>EXP(-LN(2)/2)*BR59+(1-EXP(-LN(2)/2))/(LN(2)/2)*BL60*BO60*VLOOKUP('Données projet'!$B$11,Paramètres!$A$1:$I$89,3,0)*0.475*44/12</f>
        <v>2.3498005391134127</v>
      </c>
      <c r="BS60" s="24">
        <f t="shared" si="9"/>
        <v>3.0602845621164159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6.5780000000000003</v>
      </c>
      <c r="BY60" s="13">
        <f>IF('Données projet'!$A$114&gt;35,BY59+BX60-CG59,IF(A60&lt;'Données projet'!$A$114,$BV$205^A60,IF(A60='Données projet'!$A$114,'Données projet'!$B$114,BY59+BX60-CG59)))</f>
        <v>218.84599999999992</v>
      </c>
      <c r="BZ60" s="14">
        <f>BY60*VLOOKUP('Données projet'!$B$12,Paramètres!$A$1:$I$89,3,0)*VLOOKUP('Données projet'!$B$12,Paramètres!$A$1:$I$89,5,0)</f>
        <v>249.22182479999989</v>
      </c>
      <c r="CA60" s="14">
        <f t="shared" si="39"/>
        <v>60.419276122911825</v>
      </c>
      <c r="CB60" s="22">
        <f t="shared" si="10"/>
        <v>539.29158410740456</v>
      </c>
      <c r="CC60" s="62">
        <f t="shared" si="11"/>
        <v>798.81822415808233</v>
      </c>
      <c r="CD60" s="62">
        <f ca="1">AVERAGE(OFFSET($CC$3,0,0,'Données projet'!$E$12+1,1))-AVERAGE(OFFSET($H$3,0,0,'Données projet'!$E$12+1,1))</f>
        <v>454.9779384236806</v>
      </c>
      <c r="CE60" s="62">
        <f t="shared" si="40"/>
        <v>379.32753348721906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4.7090166803446536</v>
      </c>
      <c r="CM60" s="23">
        <f>EXP(-LN(2)/2)*CM59+(1-EXP(-LN(2)/2))/(LN(2)/2)*CG60*CJ60*VLOOKUP('Données projet'!$B$12,Paramètres!$A$1:$I$89,3,0)*0.475*44/12</f>
        <v>0.15781237183314115</v>
      </c>
      <c r="CN60" s="24">
        <f t="shared" si="12"/>
        <v>4.8668290521777946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8.1920000000000019</v>
      </c>
      <c r="CT60" s="13">
        <f>IF('Données projet'!$A$140&gt;35,CT59+CS60-DB59,IF(A60&lt;'Données projet'!$A$140,$CQ$205^A60,IF(A60='Données projet'!$A$140,'Données projet'!$B$140,CT59+CS60-DB59)))</f>
        <v>185.82400000000004</v>
      </c>
      <c r="CU60" s="18">
        <f>CT60*VLOOKUP('Données projet'!$B$13,Paramètres!$A$1:$I$89,3,0)*VLOOKUP('Données projet'!$B$13,Paramètres!$A$1:$I$89,5,0)</f>
        <v>144.94272000000004</v>
      </c>
      <c r="CV60" s="14">
        <f t="shared" si="41"/>
        <v>37.427016628080075</v>
      </c>
      <c r="CW60" s="22">
        <f t="shared" si="13"/>
        <v>317.62729129390618</v>
      </c>
      <c r="CX60" s="62">
        <f t="shared" si="14"/>
        <v>577.15393134458395</v>
      </c>
      <c r="CY60" s="62">
        <f ca="1">AVERAGE(OFFSET($CX$3,0,0,'Données projet'!$E$13+1,1))-AVERAGE(OFFSET($H$3,0,0,'Données projet'!$E$13+1,1))</f>
        <v>252.10592533338991</v>
      </c>
      <c r="CZ60" s="62">
        <f t="shared" si="42"/>
        <v>272.71831345325313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31.820592660167058</v>
      </c>
      <c r="DH60" s="23">
        <f>EXP(-LN(2)/2)*DH59+(1-EXP(-LN(2)/2))/(LN(2)/2)*DB60*DE60*VLOOKUP('Données projet'!$B$13,Paramètres!$A$1:$I$89,3,0)*0.475*44/12</f>
        <v>1.4708953912236766</v>
      </c>
      <c r="DI60" s="24">
        <f t="shared" si="15"/>
        <v>33.291488051390736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21.3764</v>
      </c>
      <c r="DO60" s="13">
        <f>IF('Données projet'!$A$166&gt;35,DO59+DN60-DW59,IF(A60&lt;'Données projet'!$A$166,$DL$205^A60,IF(A60='Données projet'!$A$166,'Données projet'!$B$166,DO59+DN60-DW59)))</f>
        <v>329.39280000000014</v>
      </c>
      <c r="DP60" s="18">
        <f>DO60*VLOOKUP('Données projet'!$B$14,Paramètres!$A$1:$I$89,3,0)*VLOOKUP('Données projet'!$B$14,Paramètres!$A$1:$I$89,5,0)</f>
        <v>196.97689440000008</v>
      </c>
      <c r="DQ60" s="14">
        <f t="shared" si="43"/>
        <v>49.079192823478195</v>
      </c>
      <c r="DR60" s="22">
        <f t="shared" si="16"/>
        <v>428.54768524755804</v>
      </c>
      <c r="DS60" s="62">
        <f t="shared" si="17"/>
        <v>688.07432529823575</v>
      </c>
      <c r="DT60" s="62">
        <f ca="1">AVERAGE(OFFSET($DS$3,0,0,'Données projet'!$E$14+1,1))-AVERAGE(OFFSET($H$3,0,0,'Données projet'!$E$14+1,1))</f>
        <v>423.0896575168394</v>
      </c>
      <c r="DU60" s="62">
        <f t="shared" si="44"/>
        <v>305.98537395014284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9.2565700169407563</v>
      </c>
      <c r="EB60" s="23">
        <f>EXP(-LN(2)/25)*EB59+(1-EXP(-LN(2)/25))/(LN(2)/25)*Calculateur!DW60*Calculateur!DY60*VLOOKUP('Données projet'!$B$14,Paramètres!$A$1:$I$89,3,0)*0.475*44/12</f>
        <v>62.26587351426133</v>
      </c>
      <c r="EC60" s="23">
        <f>EXP(-LN(2)/2)*EC59+(1-EXP(-LN(2)/2))/(LN(2)/2)*DW60*DZ60*VLOOKUP('Données projet'!$B$14,Paramètres!$A$1:$I$89,3,0)*0.475*44/12</f>
        <v>9.3771557297572876</v>
      </c>
      <c r="ED60" s="24">
        <f t="shared" si="18"/>
        <v>80.899599260959377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2.2737367544323206E-13</v>
      </c>
      <c r="EK60" s="18">
        <f>EJ60*VLOOKUP('Données projet'!$B$15,Paramètres!$A$1:$I$89,3,0)*VLOOKUP('Données projet'!$B$15,Paramètres!$A$1:$I$89,5,0)</f>
        <v>1.3596945791505279E-13</v>
      </c>
      <c r="EL60" s="14">
        <f t="shared" si="45"/>
        <v>1.9708830566360721E-12</v>
      </c>
      <c r="EM60" s="22">
        <f t="shared" si="19"/>
        <v>3.669434796176543E-12</v>
      </c>
      <c r="EN60" s="62">
        <f t="shared" si="20"/>
        <v>259.52664005068141</v>
      </c>
      <c r="EO60" s="62">
        <f ca="1">AVERAGE(OFFSET($EN$3,0,0,'Données projet'!$E$15+1,1))-AVERAGE(OFFSET($H$3,0,0,'Données projet'!$E$15+1,1))</f>
        <v>281.21543175875604</v>
      </c>
      <c r="EP60" s="62">
        <f t="shared" si="46"/>
        <v>366.68536296857428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101.33366999252398</v>
      </c>
      <c r="EW60" s="23">
        <f>EXP(-LN(2)/25)*EW59+(1-EXP(-LN(2)/25))/(LN(2)/25)*Calculateur!ER60*Calculateur!ET60*VLOOKUP('Données projet'!$B$15,Paramètres!$A$1:$I$89,3,0)*0.475*44/12</f>
        <v>35.132362362623844</v>
      </c>
      <c r="EX60" s="23">
        <f>EXP(-LN(2)/2)*EX59+(1-EXP(-LN(2)/2))/(LN(2)/2)*ER60*EU60*VLOOKUP('Données projet'!$B$15,Paramètres!$A$1:$I$89,3,0)*0.475*44/12</f>
        <v>14.756036055596503</v>
      </c>
      <c r="EY60" s="24">
        <f t="shared" si="21"/>
        <v>151.22206841074433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13.425999999999998</v>
      </c>
      <c r="FE60" s="13">
        <f>IF('Données projet'!$A$218&gt;35,FE59+FD60-FM59,IF(A60&lt;'Données projet'!$A$218,$FB$205^A60,IF(A60='Données projet'!$A$218,'Données projet'!$B$218,FE59+FD60-FM59)))</f>
        <v>261.96199999999999</v>
      </c>
      <c r="FF60" s="18">
        <f>FE60*VLOOKUP('Données projet'!$B$16,Paramètres!$A$1:$I$89,3,0)*VLOOKUP('Données projet'!$B$16,Paramètres!$A$1:$I$89,5,0)</f>
        <v>146.436758</v>
      </c>
      <c r="FG60" s="14">
        <f t="shared" si="47"/>
        <v>37.767696544053052</v>
      </c>
      <c r="FH60" s="22">
        <f t="shared" si="22"/>
        <v>320.82275833089238</v>
      </c>
      <c r="FI60" s="62">
        <f t="shared" si="23"/>
        <v>580.34939838157015</v>
      </c>
      <c r="FJ60" s="62">
        <f ca="1">AVERAGE(OFFSET($FI$3,0,0,'Données projet'!$E$16+1,1))-AVERAGE(OFFSET($H$3,0,0,'Données projet'!$E$16+1,1))</f>
        <v>280.9225643428145</v>
      </c>
      <c r="FK60" s="62">
        <f t="shared" si="48"/>
        <v>236.89414218053955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45.288744192583465</v>
      </c>
      <c r="FR60" s="23">
        <f>EXP(-LN(2)/25)*FR59+(1-EXP(-LN(2)/25))/(LN(2)/25)*Calculateur!FM60*Calculateur!FO60*VLOOKUP('Données projet'!$B$16,Paramètres!$A$1:$I$89,3,0)*0.475*44/12</f>
        <v>32.887608456078922</v>
      </c>
      <c r="FS60" s="23">
        <f>EXP(-LN(2)/2)*FS59+(1-EXP(-LN(2)/2))/(LN(2)/2)*FM60*FP60*VLOOKUP('Données projet'!$B$16,Paramètres!$A$1:$I$89,3,0)*0.475*44/12</f>
        <v>0.38843196081586134</v>
      </c>
      <c r="FT60" s="24">
        <f t="shared" si="24"/>
        <v>78.564784609478252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7.3879999999999999</v>
      </c>
      <c r="FZ60" s="13">
        <f>IF('Données projet'!$A$244&gt;35,FZ59+FY60-GH59,IF(A60&lt;'Données projet'!$A$244,$FW$205^A60,IF(A60='Données projet'!$A$244,'Données projet'!$B$244,FZ59+FY60-GH59)))</f>
        <v>290.20599999999962</v>
      </c>
      <c r="GA60" s="18">
        <f>FZ60*VLOOKUP('Données projet'!$B$17,Paramètres!$A$1:$I$89,3,0)*VLOOKUP('Données projet'!$B$17,Paramètres!$A$1:$I$89,5,0)</f>
        <v>128.27105199999983</v>
      </c>
      <c r="GB60" s="14">
        <f t="shared" si="49"/>
        <v>33.596539436651895</v>
      </c>
      <c r="GC60" s="22">
        <f t="shared" si="25"/>
        <v>281.91938841883501</v>
      </c>
      <c r="GD60" s="62">
        <f t="shared" si="26"/>
        <v>541.44602846951273</v>
      </c>
      <c r="GE60" s="62">
        <f ca="1">AVERAGE(OFFSET($GD$3,0,0,'Données projet'!$E$17+1,1))-AVERAGE(OFFSET($H$3,0,0,'Données projet'!$E$17+1,1))</f>
        <v>325.67421864225201</v>
      </c>
      <c r="GF60" s="62">
        <f t="shared" si="50"/>
        <v>542.01920418736745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40.876389007623182</v>
      </c>
      <c r="GM60" s="23">
        <f>EXP(-LN(2)/25)*GM59+(1-EXP(-LN(2)/25))/(LN(2)/25)*Calculateur!GH60*Calculateur!GJ60*VLOOKUP('Données projet'!$B$17,Paramètres!$A$1:$I$89,3,0)*0.475*44/12</f>
        <v>83.725885115701473</v>
      </c>
      <c r="GN60" s="23">
        <f>EXP(-LN(2)/2)*GN59+(1-EXP(-LN(2)/2))/(LN(2)/2)*GH60*GK60*VLOOKUP('Données projet'!$B$17,Paramètres!$A$1:$I$89,3,0)*0.475*44/12</f>
        <v>0.39562962216855663</v>
      </c>
      <c r="GO60" s="23">
        <f t="shared" si="27"/>
        <v>124.99790374549322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2.9740000000000011</v>
      </c>
      <c r="GU60" s="13">
        <f>IF('Données projet'!$A$270&gt;35,GU59+GT60-HC59,IF(A60&lt;'Données projet'!$A$270,$GR$205^A60,IF(A60='Données projet'!$A$270,'Données projet'!$B$270,GU59+GT60-HC59)))</f>
        <v>64.697999999999993</v>
      </c>
      <c r="GV60" s="18">
        <f>GU60*VLOOKUP('Données projet'!$B$18,Paramètres!$A$1:$I$89,3,0)*VLOOKUP('Données projet'!$B$18,Paramètres!$A$1:$I$89,5,0)</f>
        <v>65.603772000000006</v>
      </c>
      <c r="GW60" s="14">
        <f t="shared" si="51"/>
        <v>18.577632261706263</v>
      </c>
      <c r="GX60" s="22">
        <f t="shared" si="28"/>
        <v>146.61594575580509</v>
      </c>
      <c r="GY60" s="62">
        <f t="shared" si="29"/>
        <v>406.14258580648277</v>
      </c>
      <c r="GZ60" s="62">
        <f ca="1">AVERAGE(OFFSET($GY$3,0,0,'Données projet'!$E$18+1,1))-AVERAGE(OFFSET($H$3,0,0,'Données projet'!$E$18+1,1))</f>
        <v>220.89224520315713</v>
      </c>
      <c r="HA60" s="62">
        <f t="shared" si="52"/>
        <v>141.82763623159096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1.2759999999999998</v>
      </c>
      <c r="N61" s="14">
        <f>IF('Données projet'!$A$36&gt;35,N60+M61-V60,IF(A61&lt;'Données projet'!$A$36,$K$205^A61,IF(A61='Données projet'!$A$36,'Données projet'!$B$36,N60+M61-V60)))</f>
        <v>20.517999999999983</v>
      </c>
      <c r="O61" s="14">
        <f>N61*VLOOKUP('Données projet'!$B$9,Paramètres!$A$1:$I$89,3,0)*VLOOKUP('Données projet'!$B$9,Paramètres!$A$1:$I$89,5,0)</f>
        <v>19.845009599999983</v>
      </c>
      <c r="P61" s="14">
        <f t="shared" si="33"/>
        <v>6.4588733001261334</v>
      </c>
      <c r="Q61" s="22">
        <f t="shared" si="53"/>
        <v>45.812596051052985</v>
      </c>
      <c r="R61" s="62">
        <f t="shared" si="0"/>
        <v>305.92570664974141</v>
      </c>
      <c r="S61" s="62">
        <f ca="1">AVERAGE(OFFSET($R$3,0,0,'Données projet'!$E$9+1,1))-AVERAGE(OFFSET($H$3,0,0,'Données projet'!$E$9+1,1))</f>
        <v>84.959354125980269</v>
      </c>
      <c r="T61" s="62">
        <f t="shared" si="34"/>
        <v>89.658970210276806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3.4051046296579126</v>
      </c>
      <c r="AB61" s="23">
        <f>EXP(-LN(2)/2)*AB60+(1-EXP(-LN(2)/2))/(LN(2)/2)*V61*Y61*VLOOKUP('Données projet'!$B$9,Paramètres!$A$1:$I$89,3,0)*0.475*44/12</f>
        <v>8.9555913186403838E-2</v>
      </c>
      <c r="AC61" s="24">
        <f t="shared" si="3"/>
        <v>3.4946605428443163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6.5376666666666665</v>
      </c>
      <c r="AI61" s="14">
        <f>IF('Données projet'!$A$62&gt;35,AI60+AH61-AQ60,IF(A61&lt;'Données projet'!$A$62,$AF$205^A61,IF(A61='Données projet'!$A$62,'Données projet'!$B$62,AI60+AH61-AQ60)))</f>
        <v>225.62466666666668</v>
      </c>
      <c r="AJ61" s="14">
        <f>AI61*VLOOKUP('Données projet'!$B$10,Paramètres!$A$1:$I$89,3,0)*VLOOKUP('Données projet'!$B$10,Paramètres!$A$1:$I$89,5,0)</f>
        <v>214.70443280000001</v>
      </c>
      <c r="AK61" s="14">
        <f t="shared" si="35"/>
        <v>52.962293315726725</v>
      </c>
      <c r="AL61" s="22">
        <f t="shared" si="4"/>
        <v>466.18621465155746</v>
      </c>
      <c r="AM61" s="62">
        <f t="shared" si="5"/>
        <v>726.29932525024583</v>
      </c>
      <c r="AN61" s="62">
        <f ca="1">AVERAGE(OFFSET($AM$3,0,0,'Données projet'!$E$10+1,1))-AVERAGE(OFFSET($H$3,0,0,'Données projet'!$E$10+1,1))</f>
        <v>592.76231355549089</v>
      </c>
      <c r="AO61" s="62">
        <f t="shared" si="36"/>
        <v>200.66895551079014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2.1177950569480775</v>
      </c>
      <c r="AW61" s="23">
        <f>EXP(-LN(2)/2)*AW60+(1-EXP(-LN(2)/2))/(LN(2)/2)*AQ61*AT61*VLOOKUP('Données projet'!$B$10,Paramètres!$A$1:$I$89,3,0)*0.475*44/12</f>
        <v>3.0574869308214186E-4</v>
      </c>
      <c r="AX61" s="23">
        <f t="shared" si="6"/>
        <v>2.1181008056411597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4.5400000000000009</v>
      </c>
      <c r="BD61" s="13">
        <f>IF('Données projet'!$A$88&gt;35,BD60+BC61-BL60,IF(A61&lt;'Données projet'!$A$88,$BA$205^A61,IF(A61='Données projet'!$A$88,'Données projet'!$B$88,BD60+BC61-BL60)))</f>
        <v>103.59000000000005</v>
      </c>
      <c r="BE61" s="14">
        <f>BD61*VLOOKUP('Données projet'!$B$11,Paramètres!$A$1:$I$89,3,0)*VLOOKUP('Données projet'!$B$11,Paramètres!$A$1:$I$89,5,0)</f>
        <v>93.728232000000034</v>
      </c>
      <c r="BF61" s="14">
        <f t="shared" si="37"/>
        <v>25.462249675199047</v>
      </c>
      <c r="BG61" s="22">
        <f t="shared" si="7"/>
        <v>207.59008891763838</v>
      </c>
      <c r="BH61" s="62">
        <f t="shared" si="8"/>
        <v>467.70319951632678</v>
      </c>
      <c r="BI61" s="62">
        <f ca="1">AVERAGE(OFFSET($BH$3,0,0,'Données projet'!$E$11+1,1))-AVERAGE(OFFSET($H$3,0,0,'Données projet'!$E$11+1,1))</f>
        <v>316.71836722354374</v>
      </c>
      <c r="BJ61" s="62">
        <f t="shared" si="38"/>
        <v>164.34067012996618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0.69105580003125511</v>
      </c>
      <c r="BR61" s="23">
        <f>EXP(-LN(2)/2)*BR60+(1-EXP(-LN(2)/2))/(LN(2)/2)*BL61*BO61*VLOOKUP('Données projet'!$B$11,Paramètres!$A$1:$I$89,3,0)*0.475*44/12</f>
        <v>1.6615598956428994</v>
      </c>
      <c r="BS61" s="24">
        <f t="shared" si="9"/>
        <v>2.3526156956741544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6.5780000000000003</v>
      </c>
      <c r="BY61" s="13">
        <f>IF('Données projet'!$A$114&gt;35,BY60+BX61-CG60,IF(A61&lt;'Données projet'!$A$114,$BV$205^A61,IF(A61='Données projet'!$A$114,'Données projet'!$B$114,BY60+BX61-CG60)))</f>
        <v>225.42399999999992</v>
      </c>
      <c r="BZ61" s="14">
        <f>BY61*VLOOKUP('Données projet'!$B$12,Paramètres!$A$1:$I$89,3,0)*VLOOKUP('Données projet'!$B$12,Paramètres!$A$1:$I$89,5,0)</f>
        <v>256.71285119999993</v>
      </c>
      <c r="CA61" s="14">
        <f t="shared" si="39"/>
        <v>62.021172649986298</v>
      </c>
      <c r="CB61" s="22">
        <f t="shared" si="10"/>
        <v>555.12842487205933</v>
      </c>
      <c r="CC61" s="62">
        <f t="shared" si="11"/>
        <v>815.24153547074775</v>
      </c>
      <c r="CD61" s="62">
        <f ca="1">AVERAGE(OFFSET($CC$3,0,0,'Données projet'!$E$12+1,1))-AVERAGE(OFFSET($H$3,0,0,'Données projet'!$E$12+1,1))</f>
        <v>454.9779384236806</v>
      </c>
      <c r="CE61" s="62">
        <f t="shared" si="40"/>
        <v>379.32753348721906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4.5802483715842044</v>
      </c>
      <c r="CM61" s="23">
        <f>EXP(-LN(2)/2)*CM60+(1-EXP(-LN(2)/2))/(LN(2)/2)*CG61*CJ61*VLOOKUP('Données projet'!$B$12,Paramètres!$A$1:$I$89,3,0)*0.475*44/12</f>
        <v>0.11159019827834701</v>
      </c>
      <c r="CN61" s="24">
        <f t="shared" si="12"/>
        <v>4.6918385698625515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8.1920000000000019</v>
      </c>
      <c r="CT61" s="13">
        <f>IF('Données projet'!$A$140&gt;35,CT60+CS61-DB60,IF(A61&lt;'Données projet'!$A$140,$CQ$205^A61,IF(A61='Données projet'!$A$140,'Données projet'!$B$140,CT60+CS61-DB60)))</f>
        <v>194.01600000000005</v>
      </c>
      <c r="CU61" s="18">
        <f>CT61*VLOOKUP('Données projet'!$B$13,Paramètres!$A$1:$I$89,3,0)*VLOOKUP('Données projet'!$B$13,Paramètres!$A$1:$I$89,5,0)</f>
        <v>151.33248000000003</v>
      </c>
      <c r="CV61" s="14">
        <f t="shared" si="41"/>
        <v>38.881240443489794</v>
      </c>
      <c r="CW61" s="22">
        <f t="shared" si="13"/>
        <v>331.28889643907809</v>
      </c>
      <c r="CX61" s="62">
        <f t="shared" si="14"/>
        <v>591.40200703776645</v>
      </c>
      <c r="CY61" s="62">
        <f ca="1">AVERAGE(OFFSET($CX$3,0,0,'Données projet'!$E$13+1,1))-AVERAGE(OFFSET($H$3,0,0,'Données projet'!$E$13+1,1))</f>
        <v>252.10592533338991</v>
      </c>
      <c r="CZ61" s="62">
        <f t="shared" si="42"/>
        <v>272.71831345325313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30.95045688050255</v>
      </c>
      <c r="DH61" s="23">
        <f>EXP(-LN(2)/2)*DH60+(1-EXP(-LN(2)/2))/(LN(2)/2)*DB61*DE61*VLOOKUP('Données projet'!$B$13,Paramètres!$A$1:$I$89,3,0)*0.475*44/12</f>
        <v>1.0400801055503015</v>
      </c>
      <c r="DI61" s="24">
        <f t="shared" si="15"/>
        <v>31.990536986052852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21.3764</v>
      </c>
      <c r="DO61" s="13">
        <f>IF('Données projet'!$A$166&gt;35,DO60+DN61-DW60,IF(A61&lt;'Données projet'!$A$166,$DL$205^A61,IF(A61='Données projet'!$A$166,'Données projet'!$B$166,DO60+DN61-DW60)))</f>
        <v>350.76920000000013</v>
      </c>
      <c r="DP61" s="18">
        <f>DO61*VLOOKUP('Données projet'!$B$14,Paramètres!$A$1:$I$89,3,0)*VLOOKUP('Données projet'!$B$14,Paramètres!$A$1:$I$89,5,0)</f>
        <v>209.75998160000009</v>
      </c>
      <c r="DQ61" s="14">
        <f t="shared" si="43"/>
        <v>51.883132148695438</v>
      </c>
      <c r="DR61" s="22">
        <f t="shared" si="16"/>
        <v>455.69508977897812</v>
      </c>
      <c r="DS61" s="62">
        <f t="shared" si="17"/>
        <v>715.80820037766648</v>
      </c>
      <c r="DT61" s="62">
        <f ca="1">AVERAGE(OFFSET($DS$3,0,0,'Données projet'!$E$14+1,1))-AVERAGE(OFFSET($H$3,0,0,'Données projet'!$E$14+1,1))</f>
        <v>423.0896575168394</v>
      </c>
      <c r="DU61" s="62">
        <f t="shared" si="44"/>
        <v>305.98537395014284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9.0750543248587672</v>
      </c>
      <c r="EB61" s="23">
        <f>EXP(-LN(2)/25)*EB60+(1-EXP(-LN(2)/25))/(LN(2)/25)*Calculateur!DW61*Calculateur!DY61*VLOOKUP('Données projet'!$B$14,Paramètres!$A$1:$I$89,3,0)*0.475*44/12</f>
        <v>60.563209928593878</v>
      </c>
      <c r="EC61" s="23">
        <f>EXP(-LN(2)/2)*EC60+(1-EXP(-LN(2)/2))/(LN(2)/2)*DW61*DZ61*VLOOKUP('Données projet'!$B$14,Paramètres!$A$1:$I$89,3,0)*0.475*44/12</f>
        <v>6.6306504047536672</v>
      </c>
      <c r="ED61" s="24">
        <f t="shared" si="18"/>
        <v>76.268914658206313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2.2737367544323206E-13</v>
      </c>
      <c r="EK61" s="18">
        <f>EJ61*VLOOKUP('Données projet'!$B$15,Paramètres!$A$1:$I$89,3,0)*VLOOKUP('Données projet'!$B$15,Paramètres!$A$1:$I$89,5,0)</f>
        <v>1.3596945791505279E-13</v>
      </c>
      <c r="EL61" s="14">
        <f t="shared" si="45"/>
        <v>1.9708830566360721E-12</v>
      </c>
      <c r="EM61" s="22">
        <f t="shared" si="19"/>
        <v>3.669434796176543E-12</v>
      </c>
      <c r="EN61" s="62">
        <f t="shared" si="20"/>
        <v>260.11311059869212</v>
      </c>
      <c r="EO61" s="62">
        <f ca="1">AVERAGE(OFFSET($EN$3,0,0,'Données projet'!$E$15+1,1))-AVERAGE(OFFSET($H$3,0,0,'Données projet'!$E$15+1,1))</f>
        <v>281.21543175875604</v>
      </c>
      <c r="EP61" s="62">
        <f t="shared" si="46"/>
        <v>366.68536296857428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99.346578531406308</v>
      </c>
      <c r="EW61" s="23">
        <f>EXP(-LN(2)/25)*EW60+(1-EXP(-LN(2)/25))/(LN(2)/25)*Calculateur!ER61*Calculateur!ET61*VLOOKUP('Données projet'!$B$15,Paramètres!$A$1:$I$89,3,0)*0.475*44/12</f>
        <v>34.171666066287251</v>
      </c>
      <c r="EX61" s="23">
        <f>EXP(-LN(2)/2)*EX60+(1-EXP(-LN(2)/2))/(LN(2)/2)*ER61*EU61*VLOOKUP('Données projet'!$B$15,Paramètres!$A$1:$I$89,3,0)*0.475*44/12</f>
        <v>10.434093158345483</v>
      </c>
      <c r="EY61" s="24">
        <f t="shared" si="21"/>
        <v>143.95233775603904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13.425999999999998</v>
      </c>
      <c r="FE61" s="13">
        <f>IF('Données projet'!$A$218&gt;35,FE60+FD61-FM60,IF(A61&lt;'Données projet'!$A$218,$FB$205^A61,IF(A61='Données projet'!$A$218,'Données projet'!$B$218,FE60+FD61-FM60)))</f>
        <v>275.38799999999998</v>
      </c>
      <c r="FF61" s="18">
        <f>FE61*VLOOKUP('Données projet'!$B$16,Paramètres!$A$1:$I$89,3,0)*VLOOKUP('Données projet'!$B$16,Paramètres!$A$1:$I$89,5,0)</f>
        <v>153.941892</v>
      </c>
      <c r="FG61" s="14">
        <f t="shared" si="47"/>
        <v>39.473037839332754</v>
      </c>
      <c r="FH61" s="22">
        <f t="shared" si="22"/>
        <v>336.86433613683789</v>
      </c>
      <c r="FI61" s="62">
        <f t="shared" si="23"/>
        <v>596.97744673552631</v>
      </c>
      <c r="FJ61" s="62">
        <f ca="1">AVERAGE(OFFSET($FI$3,0,0,'Données projet'!$E$16+1,1))-AVERAGE(OFFSET($H$3,0,0,'Données projet'!$E$16+1,1))</f>
        <v>280.9225643428145</v>
      </c>
      <c r="FK61" s="62">
        <f t="shared" si="48"/>
        <v>236.89414218053955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44.400659542373276</v>
      </c>
      <c r="FR61" s="23">
        <f>EXP(-LN(2)/25)*FR60+(1-EXP(-LN(2)/25))/(LN(2)/25)*Calculateur!FM61*Calculateur!FO61*VLOOKUP('Données projet'!$B$16,Paramètres!$A$1:$I$89,3,0)*0.475*44/12</f>
        <v>31.988295073363282</v>
      </c>
      <c r="FS61" s="23">
        <f>EXP(-LN(2)/2)*FS60+(1-EXP(-LN(2)/2))/(LN(2)/2)*FM61*FP61*VLOOKUP('Données projet'!$B$16,Paramètres!$A$1:$I$89,3,0)*0.475*44/12</f>
        <v>0.27466287352248286</v>
      </c>
      <c r="FT61" s="24">
        <f t="shared" si="24"/>
        <v>76.663617489259053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7.3879999999999999</v>
      </c>
      <c r="FZ61" s="13">
        <f>IF('Données projet'!$A$244&gt;35,FZ60+FY61-GH60,IF(A61&lt;'Données projet'!$A$244,$FW$205^A61,IF(A61='Données projet'!$A$244,'Données projet'!$B$244,FZ60+FY61-GH60)))</f>
        <v>297.5939999999996</v>
      </c>
      <c r="GA61" s="18">
        <f>FZ61*VLOOKUP('Données projet'!$B$17,Paramètres!$A$1:$I$89,3,0)*VLOOKUP('Données projet'!$B$17,Paramètres!$A$1:$I$89,5,0)</f>
        <v>131.53654799999984</v>
      </c>
      <c r="GB61" s="14">
        <f t="shared" si="49"/>
        <v>34.351167288675235</v>
      </c>
      <c r="GC61" s="22">
        <f t="shared" si="25"/>
        <v>288.92110412777578</v>
      </c>
      <c r="GD61" s="62">
        <f t="shared" si="26"/>
        <v>549.03421472646414</v>
      </c>
      <c r="GE61" s="62">
        <f ca="1">AVERAGE(OFFSET($GD$3,0,0,'Données projet'!$E$17+1,1))-AVERAGE(OFFSET($H$3,0,0,'Données projet'!$E$17+1,1))</f>
        <v>325.67421864225201</v>
      </c>
      <c r="GF61" s="62">
        <f t="shared" si="50"/>
        <v>542.01920418736745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40.074827951319143</v>
      </c>
      <c r="GM61" s="23">
        <f>EXP(-LN(2)/25)*GM60+(1-EXP(-LN(2)/25))/(LN(2)/25)*Calculateur!GH61*Calculateur!GJ61*VLOOKUP('Données projet'!$B$17,Paramètres!$A$1:$I$89,3,0)*0.475*44/12</f>
        <v>81.43639638425968</v>
      </c>
      <c r="GN61" s="23">
        <f>EXP(-LN(2)/2)*GN60+(1-EXP(-LN(2)/2))/(LN(2)/2)*GH61*GK61*VLOOKUP('Données projet'!$B$17,Paramètres!$A$1:$I$89,3,0)*0.475*44/12</f>
        <v>0.27975238867365804</v>
      </c>
      <c r="GO61" s="23">
        <f t="shared" si="27"/>
        <v>121.79097672425247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2.9740000000000011</v>
      </c>
      <c r="GU61" s="13">
        <f>IF('Données projet'!$A$270&gt;35,GU60+GT61-HC60,IF(A61&lt;'Données projet'!$A$270,$GR$205^A61,IF(A61='Données projet'!$A$270,'Données projet'!$B$270,GU60+GT61-HC60)))</f>
        <v>67.671999999999997</v>
      </c>
      <c r="GV61" s="18">
        <f>GU61*VLOOKUP('Données projet'!$B$18,Paramètres!$A$1:$I$89,3,0)*VLOOKUP('Données projet'!$B$18,Paramètres!$A$1:$I$89,5,0)</f>
        <v>68.619408000000007</v>
      </c>
      <c r="GW61" s="14">
        <f t="shared" si="51"/>
        <v>19.330211456020063</v>
      </c>
      <c r="GX61" s="22">
        <f t="shared" si="28"/>
        <v>153.17892055256829</v>
      </c>
      <c r="GY61" s="62">
        <f t="shared" si="29"/>
        <v>413.29203115125671</v>
      </c>
      <c r="GZ61" s="62">
        <f ca="1">AVERAGE(OFFSET($GY$3,0,0,'Données projet'!$E$18+1,1))-AVERAGE(OFFSET($H$3,0,0,'Données projet'!$E$18+1,1))</f>
        <v>220.89224520315713</v>
      </c>
      <c r="HA61" s="62">
        <f t="shared" si="52"/>
        <v>141.82763623159096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1.2759999999999998</v>
      </c>
      <c r="N62" s="14">
        <f>IF('Données projet'!$A$36&gt;35,N61+M62-V61,IF(A62&lt;'Données projet'!$A$36,$K$205^A62,IF(A62='Données projet'!$A$36,'Données projet'!$B$36,N61+M62-V61)))</f>
        <v>21.793999999999983</v>
      </c>
      <c r="O62" s="14">
        <f>N62*VLOOKUP('Données projet'!$B$9,Paramètres!$A$1:$I$89,3,0)*VLOOKUP('Données projet'!$B$9,Paramètres!$A$1:$I$89,5,0)</f>
        <v>21.079156799999986</v>
      </c>
      <c r="P62" s="14">
        <f t="shared" si="33"/>
        <v>6.8125355691182605</v>
      </c>
      <c r="Q62" s="22">
        <f t="shared" si="53"/>
        <v>48.578030876214278</v>
      </c>
      <c r="R62" s="62">
        <f t="shared" si="0"/>
        <v>309.26743807005704</v>
      </c>
      <c r="S62" s="62">
        <f ca="1">AVERAGE(OFFSET($R$3,0,0,'Données projet'!$E$9+1,1))-AVERAGE(OFFSET($H$3,0,0,'Données projet'!$E$9+1,1))</f>
        <v>84.959354125980269</v>
      </c>
      <c r="T62" s="62">
        <f t="shared" si="34"/>
        <v>89.658970210276806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3.3119918644932471</v>
      </c>
      <c r="AB62" s="23">
        <f>EXP(-LN(2)/2)*AB61+(1-EXP(-LN(2)/2))/(LN(2)/2)*V62*Y62*VLOOKUP('Données projet'!$B$9,Paramètres!$A$1:$I$89,3,0)*0.475*44/12</f>
        <v>6.3325593509459904E-2</v>
      </c>
      <c r="AC62" s="24">
        <f t="shared" si="3"/>
        <v>3.3753174580027072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6.5376666666666665</v>
      </c>
      <c r="AI62" s="14">
        <f>IF('Données projet'!$A$62&gt;35,AI61+AH62-AQ61,IF(A62&lt;'Données projet'!$A$62,$AF$205^A62,IF(A62='Données projet'!$A$62,'Données projet'!$B$62,AI61+AH62-AQ61)))</f>
        <v>232.16233333333335</v>
      </c>
      <c r="AJ62" s="14">
        <f>AI62*VLOOKUP('Données projet'!$B$10,Paramètres!$A$1:$I$89,3,0)*VLOOKUP('Données projet'!$B$10,Paramètres!$A$1:$I$89,5,0)</f>
        <v>220.92567640000001</v>
      </c>
      <c r="AK62" s="14">
        <f t="shared" si="35"/>
        <v>54.316027721121571</v>
      </c>
      <c r="AL62" s="22">
        <f t="shared" si="4"/>
        <v>479.37930134428672</v>
      </c>
      <c r="AM62" s="62">
        <f t="shared" si="5"/>
        <v>740.0687085381295</v>
      </c>
      <c r="AN62" s="62">
        <f ca="1">AVERAGE(OFFSET($AM$3,0,0,'Données projet'!$E$10+1,1))-AVERAGE(OFFSET($H$3,0,0,'Données projet'!$E$10+1,1))</f>
        <v>592.76231355549089</v>
      </c>
      <c r="AO62" s="62">
        <f t="shared" si="36"/>
        <v>200.66895551079014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2.0598838397458303</v>
      </c>
      <c r="AW62" s="23">
        <f>EXP(-LN(2)/2)*AW61+(1-EXP(-LN(2)/2))/(LN(2)/2)*AQ62*AT62*VLOOKUP('Données projet'!$B$10,Paramètres!$A$1:$I$89,3,0)*0.475*44/12</f>
        <v>2.1619697421730697E-4</v>
      </c>
      <c r="AX62" s="23">
        <f t="shared" si="6"/>
        <v>2.0601000367200477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4.5400000000000009</v>
      </c>
      <c r="BD62" s="13">
        <f>IF('Données projet'!$A$88&gt;35,BD61+BC62-BL61,IF(A62&lt;'Données projet'!$A$88,$BA$205^A62,IF(A62='Données projet'!$A$88,'Données projet'!$B$88,BD61+BC62-BL61)))</f>
        <v>108.13000000000005</v>
      </c>
      <c r="BE62" s="14">
        <f>BD62*VLOOKUP('Données projet'!$B$11,Paramètres!$A$1:$I$89,3,0)*VLOOKUP('Données projet'!$B$11,Paramètres!$A$1:$I$89,5,0)</f>
        <v>97.836024000000037</v>
      </c>
      <c r="BF62" s="14">
        <f t="shared" si="37"/>
        <v>26.445805532151716</v>
      </c>
      <c r="BG62" s="22">
        <f t="shared" si="7"/>
        <v>216.45751976849763</v>
      </c>
      <c r="BH62" s="62">
        <f t="shared" si="8"/>
        <v>477.14692696234044</v>
      </c>
      <c r="BI62" s="62">
        <f ca="1">AVERAGE(OFFSET($BH$3,0,0,'Données projet'!$E$11+1,1))-AVERAGE(OFFSET($H$3,0,0,'Données projet'!$E$11+1,1))</f>
        <v>316.71836722354374</v>
      </c>
      <c r="BJ62" s="62">
        <f t="shared" si="38"/>
        <v>164.34067012996618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0.67215884283835536</v>
      </c>
      <c r="BR62" s="23">
        <f>EXP(-LN(2)/2)*BR61+(1-EXP(-LN(2)/2))/(LN(2)/2)*BL62*BO62*VLOOKUP('Données projet'!$B$11,Paramètres!$A$1:$I$89,3,0)*0.475*44/12</f>
        <v>1.1749002695567066</v>
      </c>
      <c r="BS62" s="24">
        <f t="shared" si="9"/>
        <v>1.8470591123950619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6.5780000000000003</v>
      </c>
      <c r="BY62" s="13">
        <f>IF('Données projet'!$A$114&gt;35,BY61+BX62-CG61,IF(A62&lt;'Données projet'!$A$114,$BV$205^A62,IF(A62='Données projet'!$A$114,'Données projet'!$B$114,BY61+BX62-CG61)))</f>
        <v>232.00199999999992</v>
      </c>
      <c r="BZ62" s="14">
        <f>BY62*VLOOKUP('Données projet'!$B$12,Paramètres!$A$1:$I$89,3,0)*VLOOKUP('Données projet'!$B$12,Paramètres!$A$1:$I$89,5,0)</f>
        <v>264.20387759999988</v>
      </c>
      <c r="CA62" s="14">
        <f t="shared" si="39"/>
        <v>63.617636562056042</v>
      </c>
      <c r="CB62" s="22">
        <f t="shared" si="10"/>
        <v>570.9558038322474</v>
      </c>
      <c r="CC62" s="62">
        <f t="shared" si="11"/>
        <v>831.64521102609024</v>
      </c>
      <c r="CD62" s="62">
        <f ca="1">AVERAGE(OFFSET($CC$3,0,0,'Données projet'!$E$12+1,1))-AVERAGE(OFFSET($H$3,0,0,'Données projet'!$E$12+1,1))</f>
        <v>454.9779384236806</v>
      </c>
      <c r="CE62" s="62">
        <f t="shared" si="40"/>
        <v>379.32753348721906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4.4550012389984408</v>
      </c>
      <c r="CM62" s="23">
        <f>EXP(-LN(2)/2)*CM61+(1-EXP(-LN(2)/2))/(LN(2)/2)*CG62*CJ62*VLOOKUP('Données projet'!$B$12,Paramètres!$A$1:$I$89,3,0)*0.475*44/12</f>
        <v>7.8906185916570573E-2</v>
      </c>
      <c r="CN62" s="24">
        <f t="shared" si="12"/>
        <v>4.5339074249150118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8.1920000000000019</v>
      </c>
      <c r="CT62" s="13">
        <f>IF('Données projet'!$A$140&gt;35,CT61+CS62-DB61,IF(A62&lt;'Données projet'!$A$140,$CQ$205^A62,IF(A62='Données projet'!$A$140,'Données projet'!$B$140,CT61+CS62-DB61)))</f>
        <v>202.20800000000006</v>
      </c>
      <c r="CU62" s="18">
        <f>CT62*VLOOKUP('Données projet'!$B$13,Paramètres!$A$1:$I$89,3,0)*VLOOKUP('Données projet'!$B$13,Paramètres!$A$1:$I$89,5,0)</f>
        <v>157.72224000000006</v>
      </c>
      <c r="CV62" s="14">
        <f t="shared" si="41"/>
        <v>40.328332344327208</v>
      </c>
      <c r="CW62" s="22">
        <f t="shared" si="13"/>
        <v>344.93808016636996</v>
      </c>
      <c r="CX62" s="62">
        <f t="shared" si="14"/>
        <v>605.62748736021274</v>
      </c>
      <c r="CY62" s="62">
        <f ca="1">AVERAGE(OFFSET($CX$3,0,0,'Données projet'!$E$13+1,1))-AVERAGE(OFFSET($H$3,0,0,'Données projet'!$E$13+1,1))</f>
        <v>252.10592533338991</v>
      </c>
      <c r="CZ62" s="62">
        <f t="shared" si="42"/>
        <v>272.71831345325313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30.104115009491419</v>
      </c>
      <c r="DH62" s="23">
        <f>EXP(-LN(2)/2)*DH61+(1-EXP(-LN(2)/2))/(LN(2)/2)*DB62*DE62*VLOOKUP('Données projet'!$B$13,Paramètres!$A$1:$I$89,3,0)*0.475*44/12</f>
        <v>0.73544769561183831</v>
      </c>
      <c r="DI62" s="24">
        <f t="shared" si="15"/>
        <v>30.839562705103258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21.3764</v>
      </c>
      <c r="DO62" s="13">
        <f>IF('Données projet'!$A$166&gt;35,DO61+DN62-DW61,IF(A62&lt;'Données projet'!$A$166,$DL$205^A62,IF(A62='Données projet'!$A$166,'Données projet'!$B$166,DO61+DN62-DW61)))</f>
        <v>372.14560000000012</v>
      </c>
      <c r="DP62" s="18">
        <f>DO62*VLOOKUP('Données projet'!$B$14,Paramètres!$A$1:$I$89,3,0)*VLOOKUP('Données projet'!$B$14,Paramètres!$A$1:$I$89,5,0)</f>
        <v>222.5430688000001</v>
      </c>
      <c r="DQ62" s="14">
        <f t="shared" si="43"/>
        <v>54.667238900589119</v>
      </c>
      <c r="DR62" s="22">
        <f t="shared" si="16"/>
        <v>482.80795257852623</v>
      </c>
      <c r="DS62" s="62">
        <f t="shared" si="17"/>
        <v>743.49735977236901</v>
      </c>
      <c r="DT62" s="62">
        <f ca="1">AVERAGE(OFFSET($DS$3,0,0,'Données projet'!$E$14+1,1))-AVERAGE(OFFSET($H$3,0,0,'Données projet'!$E$14+1,1))</f>
        <v>423.0896575168394</v>
      </c>
      <c r="DU62" s="62">
        <f t="shared" si="44"/>
        <v>305.98537395014284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8.8970980447848653</v>
      </c>
      <c r="EB62" s="23">
        <f>EXP(-LN(2)/25)*EB61+(1-EXP(-LN(2)/25))/(LN(2)/25)*Calculateur!DW62*Calculateur!DY62*VLOOKUP('Données projet'!$B$14,Paramètres!$A$1:$I$89,3,0)*0.475*44/12</f>
        <v>58.907105768215686</v>
      </c>
      <c r="EC62" s="23">
        <f>EXP(-LN(2)/2)*EC61+(1-EXP(-LN(2)/2))/(LN(2)/2)*DW62*DZ62*VLOOKUP('Données projet'!$B$14,Paramètres!$A$1:$I$89,3,0)*0.475*44/12</f>
        <v>4.6885778648786447</v>
      </c>
      <c r="ED62" s="24">
        <f t="shared" si="18"/>
        <v>72.492781677879194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2.2737367544323206E-13</v>
      </c>
      <c r="EK62" s="18">
        <f>EJ62*VLOOKUP('Données projet'!$B$15,Paramètres!$A$1:$I$89,3,0)*VLOOKUP('Données projet'!$B$15,Paramètres!$A$1:$I$89,5,0)</f>
        <v>1.3596945791505279E-13</v>
      </c>
      <c r="EL62" s="14">
        <f t="shared" si="45"/>
        <v>1.9708830566360721E-12</v>
      </c>
      <c r="EM62" s="22">
        <f t="shared" si="19"/>
        <v>3.669434796176543E-12</v>
      </c>
      <c r="EN62" s="62">
        <f t="shared" si="20"/>
        <v>260.68940719384648</v>
      </c>
      <c r="EO62" s="62">
        <f ca="1">AVERAGE(OFFSET($EN$3,0,0,'Données projet'!$E$15+1,1))-AVERAGE(OFFSET($H$3,0,0,'Données projet'!$E$15+1,1))</f>
        <v>281.21543175875604</v>
      </c>
      <c r="EP62" s="62">
        <f t="shared" si="46"/>
        <v>366.68536296857428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97.398452721835028</v>
      </c>
      <c r="EW62" s="23">
        <f>EXP(-LN(2)/25)*EW61+(1-EXP(-LN(2)/25))/(LN(2)/25)*Calculateur!ER62*Calculateur!ET62*VLOOKUP('Données projet'!$B$15,Paramètres!$A$1:$I$89,3,0)*0.475*44/12</f>
        <v>33.237240060694809</v>
      </c>
      <c r="EX62" s="23">
        <f>EXP(-LN(2)/2)*EX61+(1-EXP(-LN(2)/2))/(LN(2)/2)*ER62*EU62*VLOOKUP('Données projet'!$B$15,Paramètres!$A$1:$I$89,3,0)*0.475*44/12</f>
        <v>7.3780180277982526</v>
      </c>
      <c r="EY62" s="24">
        <f t="shared" si="21"/>
        <v>138.01371081032809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13.425999999999998</v>
      </c>
      <c r="FE62" s="13">
        <f>IF('Données projet'!$A$218&gt;35,FE61+FD62-FM61,IF(A62&lt;'Données projet'!$A$218,$FB$205^A62,IF(A62='Données projet'!$A$218,'Données projet'!$B$218,FE61+FD62-FM61)))</f>
        <v>288.81399999999996</v>
      </c>
      <c r="FF62" s="18">
        <f>FE62*VLOOKUP('Données projet'!$B$16,Paramètres!$A$1:$I$89,3,0)*VLOOKUP('Données projet'!$B$16,Paramètres!$A$1:$I$89,5,0)</f>
        <v>161.44702599999999</v>
      </c>
      <c r="FG62" s="14">
        <f t="shared" si="47"/>
        <v>41.168724943178766</v>
      </c>
      <c r="FH62" s="22">
        <f t="shared" si="22"/>
        <v>352.8890995593697</v>
      </c>
      <c r="FI62" s="62">
        <f t="shared" si="23"/>
        <v>613.57850675321242</v>
      </c>
      <c r="FJ62" s="62">
        <f ca="1">AVERAGE(OFFSET($FI$3,0,0,'Données projet'!$E$16+1,1))-AVERAGE(OFFSET($H$3,0,0,'Données projet'!$E$16+1,1))</f>
        <v>280.9225643428145</v>
      </c>
      <c r="FK62" s="62">
        <f t="shared" si="48"/>
        <v>236.89414218053955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43.52998969047556</v>
      </c>
      <c r="FR62" s="23">
        <f>EXP(-LN(2)/25)*FR61+(1-EXP(-LN(2)/25))/(LN(2)/25)*Calculateur!FM62*Calculateur!FO62*VLOOKUP('Données projet'!$B$16,Paramètres!$A$1:$I$89,3,0)*0.475*44/12</f>
        <v>31.113573462390836</v>
      </c>
      <c r="FS62" s="23">
        <f>EXP(-LN(2)/2)*FS61+(1-EXP(-LN(2)/2))/(LN(2)/2)*FM62*FP62*VLOOKUP('Données projet'!$B$16,Paramètres!$A$1:$I$89,3,0)*0.475*44/12</f>
        <v>0.19421598040793067</v>
      </c>
      <c r="FT62" s="24">
        <f t="shared" si="24"/>
        <v>74.837779133274324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7.3879999999999999</v>
      </c>
      <c r="FZ62" s="13">
        <f>IF('Données projet'!$A$244&gt;35,FZ61+FY62-GH61,IF(A62&lt;'Données projet'!$A$244,$FW$205^A62,IF(A62='Données projet'!$A$244,'Données projet'!$B$244,FZ61+FY62-GH61)))</f>
        <v>304.98199999999957</v>
      </c>
      <c r="GA62" s="18">
        <f>FZ62*VLOOKUP('Données projet'!$B$17,Paramètres!$A$1:$I$89,3,0)*VLOOKUP('Données projet'!$B$17,Paramètres!$A$1:$I$89,5,0)</f>
        <v>134.80204399999982</v>
      </c>
      <c r="GB62" s="14">
        <f t="shared" si="49"/>
        <v>35.103617389149406</v>
      </c>
      <c r="GC62" s="22">
        <f t="shared" si="25"/>
        <v>295.91902691943488</v>
      </c>
      <c r="GD62" s="62">
        <f t="shared" si="26"/>
        <v>556.60843411327767</v>
      </c>
      <c r="GE62" s="62">
        <f ca="1">AVERAGE(OFFSET($GD$3,0,0,'Données projet'!$E$17+1,1))-AVERAGE(OFFSET($H$3,0,0,'Données projet'!$E$17+1,1))</f>
        <v>325.67421864225201</v>
      </c>
      <c r="GF62" s="62">
        <f t="shared" si="50"/>
        <v>542.01920418736745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39.288985018425258</v>
      </c>
      <c r="GM62" s="23">
        <f>EXP(-LN(2)/25)*GM61+(1-EXP(-LN(2)/25))/(LN(2)/25)*Calculateur!GH62*Calculateur!GJ62*VLOOKUP('Données projet'!$B$17,Paramètres!$A$1:$I$89,3,0)*0.475*44/12</f>
        <v>79.209513842578133</v>
      </c>
      <c r="GN62" s="23">
        <f>EXP(-LN(2)/2)*GN61+(1-EXP(-LN(2)/2))/(LN(2)/2)*GH62*GK62*VLOOKUP('Données projet'!$B$17,Paramètres!$A$1:$I$89,3,0)*0.475*44/12</f>
        <v>0.19781481108427831</v>
      </c>
      <c r="GO62" s="23">
        <f t="shared" si="27"/>
        <v>118.69631367208767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2.9740000000000011</v>
      </c>
      <c r="GU62" s="13">
        <f>IF('Données projet'!$A$270&gt;35,GU61+GT62-HC61,IF(A62&lt;'Données projet'!$A$270,$GR$205^A62,IF(A62='Données projet'!$A$270,'Données projet'!$B$270,GU61+GT62-HC61)))</f>
        <v>70.646000000000001</v>
      </c>
      <c r="GV62" s="18">
        <f>GU62*VLOOKUP('Données projet'!$B$18,Paramètres!$A$1:$I$89,3,0)*VLOOKUP('Données projet'!$B$18,Paramètres!$A$1:$I$89,5,0)</f>
        <v>71.635044000000008</v>
      </c>
      <c r="GW62" s="14">
        <f t="shared" si="51"/>
        <v>20.078949383697179</v>
      </c>
      <c r="GX62" s="22">
        <f t="shared" si="28"/>
        <v>159.73520514327259</v>
      </c>
      <c r="GY62" s="62">
        <f t="shared" si="29"/>
        <v>420.42461233711538</v>
      </c>
      <c r="GZ62" s="62">
        <f ca="1">AVERAGE(OFFSET($GY$3,0,0,'Données projet'!$E$18+1,1))-AVERAGE(OFFSET($H$3,0,0,'Données projet'!$E$18+1,1))</f>
        <v>220.89224520315713</v>
      </c>
      <c r="HA62" s="62">
        <f t="shared" si="52"/>
        <v>141.82763623159096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1.2759999999999998</v>
      </c>
      <c r="N63" s="14">
        <f>IF('Données projet'!$A$36&gt;35,N62+M63-V62,IF(A63&lt;'Données projet'!$A$36,$K$205^A63,IF(A63='Données projet'!$A$36,'Données projet'!$B$36,N62+M63-V62)))</f>
        <v>23.069999999999983</v>
      </c>
      <c r="O63" s="14">
        <f>N63*VLOOKUP('Données projet'!$B$9,Paramètres!$A$1:$I$89,3,0)*VLOOKUP('Données projet'!$B$9,Paramètres!$A$1:$I$89,5,0)</f>
        <v>22.313303999999984</v>
      </c>
      <c r="P63" s="14">
        <f t="shared" si="33"/>
        <v>7.1637943699177891</v>
      </c>
      <c r="Q63" s="22">
        <f t="shared" si="53"/>
        <v>51.339279660940122</v>
      </c>
      <c r="R63" s="62">
        <f t="shared" si="0"/>
        <v>312.59498599241761</v>
      </c>
      <c r="S63" s="62">
        <f ca="1">AVERAGE(OFFSET($R$3,0,0,'Données projet'!$E$9+1,1))-AVERAGE(OFFSET($H$3,0,0,'Données projet'!$E$9+1,1))</f>
        <v>84.959354125980269</v>
      </c>
      <c r="T63" s="62">
        <f t="shared" si="34"/>
        <v>89.658970210276806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3.2214252727885966</v>
      </c>
      <c r="AB63" s="23">
        <f>EXP(-LN(2)/2)*AB62+(1-EXP(-LN(2)/2))/(LN(2)/2)*V63*Y63*VLOOKUP('Données projet'!$B$9,Paramètres!$A$1:$I$89,3,0)*0.475*44/12</f>
        <v>4.4777956593201919E-2</v>
      </c>
      <c r="AC63" s="24">
        <f t="shared" si="3"/>
        <v>3.2662032293817984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238.7</v>
      </c>
      <c r="AG63" s="13">
        <f>VLOOKUP(A63,'Données projet'!$A$61:$I$81,9,0)</f>
        <v>6.5376666666666665</v>
      </c>
      <c r="AH63" s="13">
        <f t="array" ref="AH63">INDEX(AG:AG,MIN(IF(ISNUMBER(AG63:AG259),ROW(AG63:AG259),"")))</f>
        <v>6.5376666666666665</v>
      </c>
      <c r="AI63" s="14">
        <f>IF('Données projet'!$A$62&gt;35,AI62+AH63-AQ62,IF(A63&lt;'Données projet'!$A$62,$AF$205^A63,IF(A63='Données projet'!$A$62,'Données projet'!$B$62,AI62+AH63-AQ62)))</f>
        <v>238.70000000000002</v>
      </c>
      <c r="AJ63" s="14">
        <f>AI63*VLOOKUP('Données projet'!$B$10,Paramètres!$A$1:$I$89,3,0)*VLOOKUP('Données projet'!$B$10,Paramètres!$A$1:$I$89,5,0)</f>
        <v>227.14691999999999</v>
      </c>
      <c r="AK63" s="14">
        <f t="shared" si="35"/>
        <v>55.665331485719939</v>
      </c>
      <c r="AL63" s="22">
        <f t="shared" si="4"/>
        <v>492.56467133762879</v>
      </c>
      <c r="AM63" s="62">
        <f t="shared" si="5"/>
        <v>753.82037766910628</v>
      </c>
      <c r="AN63" s="62">
        <f ca="1">AVERAGE(OFFSET($AM$3,0,0,'Données projet'!$E$10+1,1))-AVERAGE(OFFSET($H$3,0,0,'Données projet'!$E$10+1,1))</f>
        <v>592.76231355549089</v>
      </c>
      <c r="AO63" s="62">
        <f t="shared" si="36"/>
        <v>200.66895551079014</v>
      </c>
      <c r="AP63" s="16">
        <f>IF(ISNA(VLOOKUP(A63,'Données projet'!$A$61:$I$81,3,0)),0,VLOOKUP(A63,'Données projet'!$A$61:$I$81,3,0))</f>
        <v>3</v>
      </c>
      <c r="AQ63" s="16">
        <f>IF(ISNA(VLOOKUP(A63,'Données projet'!$A$61:$I$81,4,0)),0,VLOOKUP(A63,'Données projet'!$A$61:$I$81,4,0))</f>
        <v>71.61</v>
      </c>
      <c r="AR63" s="17">
        <f>IF(ISNA(VLOOKUP(A63,'Données projet'!$A$61:$I$81,5,0)),0%,VLOOKUP(A63,'Données projet'!$A$61:$I$81,5,0)*VLOOKUP('Données projet'!$B$10,Paramètres!$A$1:$I$89,7,0))</f>
        <v>4.3000000000000003E-2</v>
      </c>
      <c r="AS63" s="17">
        <f>IF(ISNA(VLOOKUP(A63,'Données projet'!$A$61:$I$81,6,0)),0%,VLOOKUP(A63,'Données projet'!$A$61:$I$81,6,0)*VLOOKUP('Données projet'!$B$10,Paramètres!$A$1:$I$89,7,0))</f>
        <v>0.215</v>
      </c>
      <c r="AT63" s="17">
        <f>IF(ISNA(VLOOKUP(A63,'Données projet'!$A$61:$I$81,7,0)),0%,VLOOKUP(A63,'Données projet'!$A$61:$I$81,7,0))</f>
        <v>0.2</v>
      </c>
      <c r="AU63" s="23">
        <f>EXP(-LN(2)/35)*AU62+(1-EXP(-LN(2)/35))/(LN(2)/35)*AQ63*AR63*VLOOKUP('Données projet'!$B$10,Paramètres!$A$1:$I$89,3,0)*0.475*44/12</f>
        <v>3.2392440750216145</v>
      </c>
      <c r="AV63" s="23">
        <f>EXP(-LN(2)/25)*AV62+(1-EXP(-LN(2)/25))/(LN(2)/25)*Calculateur!AQ63*Calculateur!AS63*VLOOKUP('Données projet'!$B$10,Paramètres!$A$1:$I$89,3,0)*0.475*44/12</f>
        <v>18.136005892070887</v>
      </c>
      <c r="AW63" s="23">
        <f>EXP(-LN(2)/2)*AW62+(1-EXP(-LN(2)/2))/(LN(2)/2)*AQ63*AT63*VLOOKUP('Données projet'!$B$10,Paramètres!$A$1:$I$89,3,0)*0.475*44/12</f>
        <v>12.859306829729558</v>
      </c>
      <c r="AX63" s="23">
        <f t="shared" si="6"/>
        <v>34.234556796822062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112.67</v>
      </c>
      <c r="BB63" s="13">
        <f>VLOOKUP(A63,'Données projet'!$A$87:$I$107,9,0)</f>
        <v>4.5400000000000009</v>
      </c>
      <c r="BC63" s="13">
        <f t="array" ref="BC63">INDEX(BB:BB,MIN(IF(ISNUMBER(BB63:BB259),ROW(BB63:BB259),"")))</f>
        <v>4.5400000000000009</v>
      </c>
      <c r="BD63" s="13">
        <f>IF('Données projet'!$A$88&gt;35,BD62+BC63-BL62,IF(A63&lt;'Données projet'!$A$88,$BA$205^A63,IF(A63='Données projet'!$A$88,'Données projet'!$B$88,BD62+BC63-BL62)))</f>
        <v>112.67000000000006</v>
      </c>
      <c r="BE63" s="14">
        <f>BD63*VLOOKUP('Données projet'!$B$11,Paramètres!$A$1:$I$89,3,0)*VLOOKUP('Données projet'!$B$11,Paramètres!$A$1:$I$89,5,0)</f>
        <v>101.94381600000006</v>
      </c>
      <c r="BF63" s="14">
        <f t="shared" si="37"/>
        <v>27.424564765737284</v>
      </c>
      <c r="BG63" s="22">
        <f t="shared" si="7"/>
        <v>225.31659650032586</v>
      </c>
      <c r="BH63" s="62">
        <f t="shared" si="8"/>
        <v>486.57230283180331</v>
      </c>
      <c r="BI63" s="62">
        <f ca="1">AVERAGE(OFFSET($BH$3,0,0,'Données projet'!$E$11+1,1))-AVERAGE(OFFSET($H$3,0,0,'Données projet'!$E$11+1,1))</f>
        <v>316.71836722354374</v>
      </c>
      <c r="BJ63" s="62">
        <f t="shared" si="38"/>
        <v>164.34067012996618</v>
      </c>
      <c r="BK63" s="16">
        <f>IF(ISNA(VLOOKUP(A63,'Données projet'!$A$87:$I$107,3,0)),0,VLOOKUP(A63,'Données projet'!$A$87:$I$107,3,0))</f>
        <v>6</v>
      </c>
      <c r="BL63" s="16">
        <f>IF(ISNA(VLOOKUP(A63,'Données projet'!$A$87:$I$107,4,0)),0,VLOOKUP(A63,'Données projet'!$A$87:$I$107,4,0))</f>
        <v>15.31</v>
      </c>
      <c r="BM63" s="17">
        <f>IF(ISNA(VLOOKUP(A63,'Données projet'!$A$87:$I$107,5,0)),0%,VLOOKUP(A63,'Données projet'!$A$87:$I$107,5,0)*VLOOKUP('Données projet'!$B$11,Paramètres!$A$1:$I$89,7,0))</f>
        <v>0.17200000000000001</v>
      </c>
      <c r="BN63" s="17">
        <f>IF(ISNA(VLOOKUP(A63,'Données projet'!$A$87:$I$107,6,0)),0%,VLOOKUP(A63,'Données projet'!$A$87:$I$107,6,0)*VLOOKUP('Données projet'!$B$11,Paramètres!$A$1:$I$89,7,0))</f>
        <v>0.129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2.6339246086957293</v>
      </c>
      <c r="BQ63" s="23">
        <f>EXP(-LN(2)/25)*BQ62+(1-EXP(-LN(2)/25))/(LN(2)/25)*Calculateur!BL63*Calculateur!BN63*VLOOKUP('Données projet'!$B$11,Paramètres!$A$1:$I$89,3,0)*0.475*44/12</f>
        <v>2.621444006864146</v>
      </c>
      <c r="BR63" s="23">
        <f>EXP(-LN(2)/2)*BR62+(1-EXP(-LN(2)/2))/(LN(2)/2)*BL63*BO63*VLOOKUP('Données projet'!$B$11,Paramètres!$A$1:$I$89,3,0)*0.475*44/12</f>
        <v>0.83077994782144982</v>
      </c>
      <c r="BS63" s="24">
        <f t="shared" si="9"/>
        <v>6.0861485633813253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6.5780000000000003</v>
      </c>
      <c r="BY63" s="13">
        <f>IF('Données projet'!$A$114&gt;35,BY62+BX63-CG62,IF(A63&lt;'Données projet'!$A$114,$BV$205^A63,IF(A63='Données projet'!$A$114,'Données projet'!$B$114,BY62+BX63-CG62)))</f>
        <v>238.57999999999993</v>
      </c>
      <c r="BZ63" s="14">
        <f>BY63*VLOOKUP('Données projet'!$B$12,Paramètres!$A$1:$I$89,3,0)*VLOOKUP('Données projet'!$B$12,Paramètres!$A$1:$I$89,5,0)</f>
        <v>271.69490399999989</v>
      </c>
      <c r="CA63" s="14">
        <f t="shared" si="39"/>
        <v>65.208839583661003</v>
      </c>
      <c r="CB63" s="22">
        <f t="shared" si="10"/>
        <v>586.77402007487603</v>
      </c>
      <c r="CC63" s="62">
        <f t="shared" si="11"/>
        <v>848.02972640635357</v>
      </c>
      <c r="CD63" s="62">
        <f ca="1">AVERAGE(OFFSET($CC$3,0,0,'Données projet'!$E$12+1,1))-AVERAGE(OFFSET($H$3,0,0,'Données projet'!$E$12+1,1))</f>
        <v>454.9779384236806</v>
      </c>
      <c r="CE63" s="62">
        <f t="shared" si="40"/>
        <v>379.32753348721906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4.3331789958396953</v>
      </c>
      <c r="CM63" s="23">
        <f>EXP(-LN(2)/2)*CM62+(1-EXP(-LN(2)/2))/(LN(2)/2)*CG63*CJ63*VLOOKUP('Données projet'!$B$12,Paramètres!$A$1:$I$89,3,0)*0.475*44/12</f>
        <v>5.5795099139173507E-2</v>
      </c>
      <c r="CN63" s="24">
        <f t="shared" si="12"/>
        <v>4.3889740949788685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210.4</v>
      </c>
      <c r="CR63" s="13">
        <f>VLOOKUP(A63,'Données projet'!$A$139:$I$159,9,0)</f>
        <v>8.1920000000000019</v>
      </c>
      <c r="CS63" s="13">
        <f t="array" ref="CS63">INDEX(CR:CR,MIN(IF(ISNUMBER(CR63:CR259),ROW(CR63:CR259),"")))</f>
        <v>8.1920000000000019</v>
      </c>
      <c r="CT63" s="13">
        <f>IF('Données projet'!$A$140&gt;35,CT62+CS63-DB62,IF(A63&lt;'Données projet'!$A$140,$CQ$205^A63,IF(A63='Données projet'!$A$140,'Données projet'!$B$140,CT62+CS63-DB62)))</f>
        <v>210.40000000000006</v>
      </c>
      <c r="CU63" s="18">
        <f>CT63*VLOOKUP('Données projet'!$B$13,Paramètres!$A$1:$I$89,3,0)*VLOOKUP('Données projet'!$B$13,Paramètres!$A$1:$I$89,5,0)</f>
        <v>164.11200000000005</v>
      </c>
      <c r="CV63" s="14">
        <f t="shared" si="41"/>
        <v>41.768614316008183</v>
      </c>
      <c r="CW63" s="22">
        <f t="shared" si="13"/>
        <v>358.57540326704765</v>
      </c>
      <c r="CX63" s="62">
        <f t="shared" si="14"/>
        <v>619.83110959852513</v>
      </c>
      <c r="CY63" s="62">
        <f ca="1">AVERAGE(OFFSET($CX$3,0,0,'Données projet'!$E$13+1,1))-AVERAGE(OFFSET($H$3,0,0,'Données projet'!$E$13+1,1))</f>
        <v>252.10592533338991</v>
      </c>
      <c r="CZ63" s="62">
        <f t="shared" si="42"/>
        <v>272.71831345325313</v>
      </c>
      <c r="DA63" s="16">
        <f>IF(ISNA(VLOOKUP(A63,'Données projet'!$A$139:$I$159,3,0)),0,VLOOKUP(A63,'Données projet'!$A$139:$I$159,3,0))</f>
        <v>9</v>
      </c>
      <c r="DB63" s="16">
        <f>IF(ISNA(VLOOKUP(A63,'Données projet'!$A$139:$I$159,4,0)),0,VLOOKUP(A63,'Données projet'!$A$139:$I$159,4,0))</f>
        <v>33.94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0.34400000000000003</v>
      </c>
      <c r="DE63" s="17">
        <f>IF(ISNA(VLOOKUP(A63,'Données projet'!$A$139:$I$159,7,0)),0%,VLOOKUP(A63,'Données projet'!$A$139:$I$159,7,0))</f>
        <v>0.1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39.308554125522328</v>
      </c>
      <c r="DH63" s="23">
        <f>EXP(-LN(2)/2)*DH62+(1-EXP(-LN(2)/2))/(LN(2)/2)*DB63*DE63*VLOOKUP('Données projet'!$B$13,Paramètres!$A$1:$I$89,3,0)*0.475*44/12</f>
        <v>3.0178577243482869</v>
      </c>
      <c r="DI63" s="24">
        <f t="shared" si="15"/>
        <v>42.326411849870617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21.3764</v>
      </c>
      <c r="DO63" s="13">
        <f>IF('Données projet'!$A$166&gt;35,DO62+DN63-DW62,IF(A63&lt;'Données projet'!$A$166,$DL$205^A63,IF(A63='Données projet'!$A$166,'Données projet'!$B$166,DO62+DN63-DW62)))</f>
        <v>393.52200000000011</v>
      </c>
      <c r="DP63" s="18">
        <f>DO63*VLOOKUP('Données projet'!$B$14,Paramètres!$A$1:$I$89,3,0)*VLOOKUP('Données projet'!$B$14,Paramètres!$A$1:$I$89,5,0)</f>
        <v>235.32615600000008</v>
      </c>
      <c r="DQ63" s="14">
        <f t="shared" si="43"/>
        <v>57.432782076872975</v>
      </c>
      <c r="DR63" s="22">
        <f t="shared" si="16"/>
        <v>509.8884838172205</v>
      </c>
      <c r="DS63" s="62">
        <f t="shared" si="17"/>
        <v>771.14419014869804</v>
      </c>
      <c r="DT63" s="62">
        <f ca="1">AVERAGE(OFFSET($DS$3,0,0,'Données projet'!$E$14+1,1))-AVERAGE(OFFSET($H$3,0,0,'Données projet'!$E$14+1,1))</f>
        <v>423.0896575168394</v>
      </c>
      <c r="DU63" s="62">
        <f t="shared" si="44"/>
        <v>305.98537395014284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8.7226313788205996</v>
      </c>
      <c r="EB63" s="23">
        <f>EXP(-LN(2)/25)*EB62+(1-EXP(-LN(2)/25))/(LN(2)/25)*Calculateur!DW63*Calculateur!DY63*VLOOKUP('Données projet'!$B$14,Paramètres!$A$1:$I$89,3,0)*0.475*44/12</f>
        <v>57.296287863193768</v>
      </c>
      <c r="EC63" s="23">
        <f>EXP(-LN(2)/2)*EC62+(1-EXP(-LN(2)/2))/(LN(2)/2)*DW63*DZ63*VLOOKUP('Données projet'!$B$14,Paramètres!$A$1:$I$89,3,0)*0.475*44/12</f>
        <v>3.315325202376834</v>
      </c>
      <c r="ED63" s="24">
        <f t="shared" si="18"/>
        <v>69.334244444391203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2.2737367544323206E-13</v>
      </c>
      <c r="EK63" s="18">
        <f>EJ63*VLOOKUP('Données projet'!$B$15,Paramètres!$A$1:$I$89,3,0)*VLOOKUP('Données projet'!$B$15,Paramètres!$A$1:$I$89,5,0)</f>
        <v>1.3596945791505279E-13</v>
      </c>
      <c r="EL63" s="14">
        <f t="shared" si="45"/>
        <v>1.9708830566360721E-12</v>
      </c>
      <c r="EM63" s="22">
        <f t="shared" si="19"/>
        <v>3.669434796176543E-12</v>
      </c>
      <c r="EN63" s="62">
        <f t="shared" si="20"/>
        <v>261.25570633148118</v>
      </c>
      <c r="EO63" s="62">
        <f ca="1">AVERAGE(OFFSET($EN$3,0,0,'Données projet'!$E$15+1,1))-AVERAGE(OFFSET($H$3,0,0,'Données projet'!$E$15+1,1))</f>
        <v>281.21543175875604</v>
      </c>
      <c r="EP63" s="62">
        <f t="shared" si="46"/>
        <v>366.68536296857428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95.488528471150033</v>
      </c>
      <c r="EW63" s="23">
        <f>EXP(-LN(2)/25)*EW62+(1-EXP(-LN(2)/25))/(LN(2)/25)*Calculateur!ER63*Calculateur!ET63*VLOOKUP('Données projet'!$B$15,Paramètres!$A$1:$I$89,3,0)*0.475*44/12</f>
        <v>32.32836598336462</v>
      </c>
      <c r="EX63" s="23">
        <f>EXP(-LN(2)/2)*EX62+(1-EXP(-LN(2)/2))/(LN(2)/2)*ER63*EU63*VLOOKUP('Données projet'!$B$15,Paramètres!$A$1:$I$89,3,0)*0.475*44/12</f>
        <v>5.2170465791727425</v>
      </c>
      <c r="EY63" s="24">
        <f t="shared" si="21"/>
        <v>133.0339410336874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302.24</v>
      </c>
      <c r="FC63" s="13">
        <f>VLOOKUP(A63,'Données projet'!$A$217:$I$237,9,0)</f>
        <v>13.425999999999998</v>
      </c>
      <c r="FD63" s="13">
        <f t="array" ref="FD63">INDEX(FC:FC,MIN(IF(ISNUMBER(FC63:FC259),ROW(FC63:FC259),"")))</f>
        <v>13.425999999999998</v>
      </c>
      <c r="FE63" s="13">
        <f>IF('Données projet'!$A$218&gt;35,FE62+FD63-FM62,IF(A63&lt;'Données projet'!$A$218,$FB$205^A63,IF(A63='Données projet'!$A$218,'Données projet'!$B$218,FE62+FD63-FM62)))</f>
        <v>302.23999999999995</v>
      </c>
      <c r="FF63" s="18">
        <f>FE63*VLOOKUP('Données projet'!$B$16,Paramètres!$A$1:$I$89,3,0)*VLOOKUP('Données projet'!$B$16,Paramètres!$A$1:$I$89,5,0)</f>
        <v>168.95215999999996</v>
      </c>
      <c r="FG63" s="14">
        <f t="shared" si="47"/>
        <v>42.855257901167946</v>
      </c>
      <c r="FH63" s="22">
        <f t="shared" si="22"/>
        <v>368.89791951120077</v>
      </c>
      <c r="FI63" s="62">
        <f t="shared" si="23"/>
        <v>630.15362584267825</v>
      </c>
      <c r="FJ63" s="62">
        <f ca="1">AVERAGE(OFFSET($FI$3,0,0,'Données projet'!$E$16+1,1))-AVERAGE(OFFSET($H$3,0,0,'Données projet'!$E$16+1,1))</f>
        <v>280.9225643428145</v>
      </c>
      <c r="FK63" s="62">
        <f t="shared" si="48"/>
        <v>236.89414218053955</v>
      </c>
      <c r="FL63" s="16">
        <f>IF(ISNA(VLOOKUP(A63,'Données projet'!$A$217:$I$237,3,0)),0,VLOOKUP(A63,'Données projet'!$A$217:$I$237,3,0))</f>
        <v>8</v>
      </c>
      <c r="FM63" s="16">
        <f>IF(ISNA(VLOOKUP(A63,'Données projet'!$A$217:$I$237,4,0)),0,VLOOKUP(A63,'Données projet'!$A$217:$I$237,4,0))</f>
        <v>49.27</v>
      </c>
      <c r="FN63" s="17">
        <f>IF(ISNA(VLOOKUP(A63,'Données projet'!$A$217:$I$237,5,0)),0%,VLOOKUP(A63,'Données projet'!$A$217:$I$237,5,0)*VLOOKUP('Données projet'!$B$16,Paramètres!$A$1:$I$89,7,0))</f>
        <v>0.44000000000000006</v>
      </c>
      <c r="FO63" s="17">
        <f>IF(ISNA(VLOOKUP(A63,'Données projet'!$A$217:$I$237,6,0)),0%,VLOOKUP(A63,'Données projet'!$A$217:$I$237,6,0)*VLOOKUP('Données projet'!$B$16,Paramètres!$A$1:$I$89,7,0))</f>
        <v>0.11000000000000001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58.752297107087117</v>
      </c>
      <c r="FR63" s="23">
        <f>EXP(-LN(2)/25)*FR62+(1-EXP(-LN(2)/25))/(LN(2)/25)*Calculateur!FM63*Calculateur!FO63*VLOOKUP('Données projet'!$B$16,Paramètres!$A$1:$I$89,3,0)*0.475*44/12</f>
        <v>34.265922910986227</v>
      </c>
      <c r="FS63" s="23">
        <f>EXP(-LN(2)/2)*FS62+(1-EXP(-LN(2)/2))/(LN(2)/2)*FM63*FP63*VLOOKUP('Données projet'!$B$16,Paramètres!$A$1:$I$89,3,0)*0.475*44/12</f>
        <v>0.13733143676124143</v>
      </c>
      <c r="FT63" s="24">
        <f t="shared" si="24"/>
        <v>93.155551454834594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7.3879999999999999</v>
      </c>
      <c r="FZ63" s="13">
        <f>IF('Données projet'!$A$244&gt;35,FZ62+FY63-GH62,IF(A63&lt;'Données projet'!$A$244,$FW$205^A63,IF(A63='Données projet'!$A$244,'Données projet'!$B$244,FZ62+FY63-GH62)))</f>
        <v>312.36999999999955</v>
      </c>
      <c r="GA63" s="18">
        <f>FZ63*VLOOKUP('Données projet'!$B$17,Paramètres!$A$1:$I$89,3,0)*VLOOKUP('Données projet'!$B$17,Paramètres!$A$1:$I$89,5,0)</f>
        <v>138.06753999999981</v>
      </c>
      <c r="GB63" s="14">
        <f t="shared" si="49"/>
        <v>35.853948562079857</v>
      </c>
      <c r="GC63" s="22">
        <f t="shared" si="25"/>
        <v>302.9132592456221</v>
      </c>
      <c r="GD63" s="62">
        <f t="shared" si="26"/>
        <v>564.16896557709958</v>
      </c>
      <c r="GE63" s="62">
        <f ca="1">AVERAGE(OFFSET($GD$3,0,0,'Données projet'!$E$17+1,1))-AVERAGE(OFFSET($H$3,0,0,'Données projet'!$E$17+1,1))</f>
        <v>325.67421864225201</v>
      </c>
      <c r="GF63" s="62">
        <f t="shared" si="50"/>
        <v>542.01920418736745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38.518551986128557</v>
      </c>
      <c r="GM63" s="23">
        <f>EXP(-LN(2)/25)*GM62+(1-EXP(-LN(2)/25))/(LN(2)/25)*Calculateur!GH63*Calculateur!GJ63*VLOOKUP('Données projet'!$B$17,Paramètres!$A$1:$I$89,3,0)*0.475*44/12</f>
        <v>77.043525521105536</v>
      </c>
      <c r="GN63" s="23">
        <f>EXP(-LN(2)/2)*GN62+(1-EXP(-LN(2)/2))/(LN(2)/2)*GH63*GK63*VLOOKUP('Données projet'!$B$17,Paramètres!$A$1:$I$89,3,0)*0.475*44/12</f>
        <v>0.13987619433682902</v>
      </c>
      <c r="GO63" s="23">
        <f t="shared" si="27"/>
        <v>115.70195370157093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73.62</v>
      </c>
      <c r="GS63" s="13">
        <f>VLOOKUP(A63,'Données projet'!$A$269:$I$289,9,0)</f>
        <v>2.9740000000000011</v>
      </c>
      <c r="GT63" s="13">
        <f t="array" ref="GT63">INDEX(GS:GS,MIN(IF(ISNUMBER(GS63:GS259),ROW(GS63:GS259),"")))</f>
        <v>2.9740000000000011</v>
      </c>
      <c r="GU63" s="13">
        <f>IF('Données projet'!$A$270&gt;35,GU62+GT63-HC62,IF(A63&lt;'Données projet'!$A$270,$GR$205^A63,IF(A63='Données projet'!$A$270,'Données projet'!$B$270,GU62+GT63-HC62)))</f>
        <v>73.62</v>
      </c>
      <c r="GV63" s="18">
        <f>GU63*VLOOKUP('Données projet'!$B$18,Paramètres!$A$1:$I$89,3,0)*VLOOKUP('Données projet'!$B$18,Paramètres!$A$1:$I$89,5,0)</f>
        <v>74.650680000000008</v>
      </c>
      <c r="GW63" s="14">
        <f t="shared" si="51"/>
        <v>20.824026241014682</v>
      </c>
      <c r="GX63" s="22">
        <f t="shared" si="28"/>
        <v>166.28511336976726</v>
      </c>
      <c r="GY63" s="62">
        <f t="shared" si="29"/>
        <v>427.54081970124474</v>
      </c>
      <c r="GZ63" s="62">
        <f ca="1">AVERAGE(OFFSET($GY$3,0,0,'Données projet'!$E$18+1,1))-AVERAGE(OFFSET($H$3,0,0,'Données projet'!$E$18+1,1))</f>
        <v>220.89224520315713</v>
      </c>
      <c r="HA63" s="62">
        <f t="shared" si="52"/>
        <v>141.82763623159096</v>
      </c>
      <c r="HB63" s="16">
        <f>IF(ISNA(VLOOKUP(A63,'Données projet'!$A$269:$I$289,3,0)),0,VLOOKUP(A63,'Données projet'!$A$269:$I$289,3,0))</f>
        <v>6</v>
      </c>
      <c r="HC63" s="16">
        <f>IF(ISNA(VLOOKUP(A63,'Données projet'!$A$269:$I$289,4,0)),0,VLOOKUP(A63,'Données projet'!$A$269:$I$289,4,0))</f>
        <v>10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1.2759999999999998</v>
      </c>
      <c r="N64" s="14">
        <f>IF('Données projet'!$A$36&gt;35,N63+M64-V63,IF(A64&lt;'Données projet'!$A$36,$K$205^A64,IF(A64='Données projet'!$A$36,'Données projet'!$B$36,N63+M64-V63)))</f>
        <v>24.345999999999982</v>
      </c>
      <c r="O64" s="14">
        <f>N64*VLOOKUP('Données projet'!$B$9,Paramètres!$A$1:$I$89,3,0)*VLOOKUP('Données projet'!$B$9,Paramètres!$A$1:$I$89,5,0)</f>
        <v>23.547451199999983</v>
      </c>
      <c r="P64" s="14">
        <f t="shared" si="33"/>
        <v>7.5127977902453029</v>
      </c>
      <c r="Q64" s="22">
        <f t="shared" si="53"/>
        <v>54.096600324677205</v>
      </c>
      <c r="R64" s="62">
        <f t="shared" si="0"/>
        <v>315.90878176980652</v>
      </c>
      <c r="S64" s="62">
        <f ca="1">AVERAGE(OFFSET($R$3,0,0,'Données projet'!$E$9+1,1))-AVERAGE(OFFSET($H$3,0,0,'Données projet'!$E$9+1,1))</f>
        <v>84.959354125980269</v>
      </c>
      <c r="T64" s="62">
        <f t="shared" si="34"/>
        <v>89.658970210276806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3.1333352292968</v>
      </c>
      <c r="AB64" s="23">
        <f>EXP(-LN(2)/2)*AB63+(1-EXP(-LN(2)/2))/(LN(2)/2)*V64*Y64*VLOOKUP('Données projet'!$B$9,Paramètres!$A$1:$I$89,3,0)*0.475*44/12</f>
        <v>3.1662796754729952E-2</v>
      </c>
      <c r="AC64" s="24">
        <f t="shared" si="3"/>
        <v>3.16499802605153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9.6040000000000028</v>
      </c>
      <c r="AI64" s="14">
        <f>IF('Données projet'!$A$62&gt;35,AI63+AH64-AQ63,IF(A64&lt;'Données projet'!$A$62,$AF$205^A64,IF(A64='Données projet'!$A$62,'Données projet'!$B$62,AI63+AH64-AQ63)))</f>
        <v>176.69400000000002</v>
      </c>
      <c r="AJ64" s="14">
        <f>AI64*VLOOKUP('Données projet'!$B$10,Paramètres!$A$1:$I$89,3,0)*VLOOKUP('Données projet'!$B$10,Paramètres!$A$1:$I$89,5,0)</f>
        <v>168.14201040000003</v>
      </c>
      <c r="AK64" s="14">
        <f t="shared" si="35"/>
        <v>42.673629945288134</v>
      </c>
      <c r="AL64" s="22">
        <f t="shared" si="4"/>
        <v>367.17057360137687</v>
      </c>
      <c r="AM64" s="62">
        <f t="shared" si="5"/>
        <v>628.98275504650621</v>
      </c>
      <c r="AN64" s="62">
        <f ca="1">AVERAGE(OFFSET($AM$3,0,0,'Données projet'!$E$10+1,1))-AVERAGE(OFFSET($H$3,0,0,'Données projet'!$E$10+1,1))</f>
        <v>592.76231355549089</v>
      </c>
      <c r="AO64" s="62">
        <f t="shared" si="36"/>
        <v>200.66895551079014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3.1757244744542379</v>
      </c>
      <c r="AV64" s="23">
        <f>EXP(-LN(2)/25)*AV63+(1-EXP(-LN(2)/25))/(LN(2)/25)*Calculateur!AQ64*Calculateur!AS64*VLOOKUP('Données projet'!$B$10,Paramètres!$A$1:$I$89,3,0)*0.475*44/12</f>
        <v>17.64007585722111</v>
      </c>
      <c r="AW64" s="23">
        <f>EXP(-LN(2)/2)*AW63+(1-EXP(-LN(2)/2))/(LN(2)/2)*AQ64*AT64*VLOOKUP('Données projet'!$B$10,Paramètres!$A$1:$I$89,3,0)*0.475*44/12</f>
        <v>9.0929030606602552</v>
      </c>
      <c r="AX64" s="23">
        <f t="shared" si="6"/>
        <v>29.908703392335603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4.5479999999999992</v>
      </c>
      <c r="BD64" s="13">
        <f>IF('Données projet'!$A$88&gt;35,BD63+BC64-BL63,IF(A64&lt;'Données projet'!$A$88,$BA$205^A64,IF(A64='Données projet'!$A$88,'Données projet'!$B$88,BD63+BC64-BL63)))</f>
        <v>101.90800000000006</v>
      </c>
      <c r="BE64" s="14">
        <f>BD64*VLOOKUP('Données projet'!$B$11,Paramètres!$A$1:$I$89,3,0)*VLOOKUP('Données projet'!$B$11,Paramètres!$A$1:$I$89,5,0)</f>
        <v>92.206358400000042</v>
      </c>
      <c r="BF64" s="14">
        <f t="shared" si="37"/>
        <v>25.096593130683406</v>
      </c>
      <c r="BG64" s="22">
        <f t="shared" si="7"/>
        <v>204.30264058260698</v>
      </c>
      <c r="BH64" s="62">
        <f t="shared" si="8"/>
        <v>466.1148220277363</v>
      </c>
      <c r="BI64" s="62">
        <f ca="1">AVERAGE(OFFSET($BH$3,0,0,'Données projet'!$E$11+1,1))-AVERAGE(OFFSET($H$3,0,0,'Données projet'!$E$11+1,1))</f>
        <v>316.71836722354374</v>
      </c>
      <c r="BJ64" s="62">
        <f t="shared" si="38"/>
        <v>164.34067012996618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2.582274953654585</v>
      </c>
      <c r="BQ64" s="23">
        <f>EXP(-LN(2)/25)*BQ63+(1-EXP(-LN(2)/25))/(LN(2)/25)*Calculateur!BL64*Calculateur!BN64*VLOOKUP('Données projet'!$B$11,Paramètres!$A$1:$I$89,3,0)*0.475*44/12</f>
        <v>2.5497604826406972</v>
      </c>
      <c r="BR64" s="23">
        <f>EXP(-LN(2)/2)*BR63+(1-EXP(-LN(2)/2))/(LN(2)/2)*BL64*BO64*VLOOKUP('Données projet'!$B$11,Paramètres!$A$1:$I$89,3,0)*0.475*44/12</f>
        <v>0.58745013477835328</v>
      </c>
      <c r="BS64" s="24">
        <f t="shared" si="9"/>
        <v>5.7194855710736361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6.5780000000000003</v>
      </c>
      <c r="BY64" s="13">
        <f>IF('Données projet'!$A$114&gt;35,BY63+BX64-CG63,IF(A64&lt;'Données projet'!$A$114,$BV$205^A64,IF(A64='Données projet'!$A$114,'Données projet'!$B$114,BY63+BX64-CG63)))</f>
        <v>245.15799999999993</v>
      </c>
      <c r="BZ64" s="14">
        <f>BY64*VLOOKUP('Données projet'!$B$12,Paramètres!$A$1:$I$89,3,0)*VLOOKUP('Données projet'!$B$12,Paramètres!$A$1:$I$89,5,0)</f>
        <v>279.1859303999999</v>
      </c>
      <c r="CA64" s="14">
        <f t="shared" si="39"/>
        <v>66.794943431057831</v>
      </c>
      <c r="CB64" s="22">
        <f t="shared" si="10"/>
        <v>602.58335525575887</v>
      </c>
      <c r="CC64" s="62">
        <f t="shared" si="11"/>
        <v>864.39553670088821</v>
      </c>
      <c r="CD64" s="62">
        <f ca="1">AVERAGE(OFFSET($CC$3,0,0,'Données projet'!$E$12+1,1))-AVERAGE(OFFSET($H$3,0,0,'Données projet'!$E$12+1,1))</f>
        <v>454.9779384236806</v>
      </c>
      <c r="CE64" s="62">
        <f t="shared" si="40"/>
        <v>379.32753348721906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4.214687988326479</v>
      </c>
      <c r="CM64" s="23">
        <f>EXP(-LN(2)/2)*CM63+(1-EXP(-LN(2)/2))/(LN(2)/2)*CG64*CJ64*VLOOKUP('Données projet'!$B$12,Paramètres!$A$1:$I$89,3,0)*0.475*44/12</f>
        <v>3.9453092958285287E-2</v>
      </c>
      <c r="CN64" s="24">
        <f t="shared" si="12"/>
        <v>4.2541410812847644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8.085999999999995</v>
      </c>
      <c r="CT64" s="13">
        <f>IF('Données projet'!$A$140&gt;35,CT63+CS64-DB63,IF(A64&lt;'Données projet'!$A$140,$CQ$205^A64,IF(A64='Données projet'!$A$140,'Données projet'!$B$140,CT63+CS64-DB63)))</f>
        <v>184.54600000000005</v>
      </c>
      <c r="CU64" s="18">
        <f>CT64*VLOOKUP('Données projet'!$B$13,Paramètres!$A$1:$I$89,3,0)*VLOOKUP('Données projet'!$B$13,Paramètres!$A$1:$I$89,5,0)</f>
        <v>143.94588000000005</v>
      </c>
      <c r="CV64" s="14">
        <f t="shared" si="41"/>
        <v>37.199483722367908</v>
      </c>
      <c r="CW64" s="22">
        <f t="shared" si="13"/>
        <v>315.49484181645755</v>
      </c>
      <c r="CX64" s="62">
        <f t="shared" si="14"/>
        <v>577.30702326158689</v>
      </c>
      <c r="CY64" s="62">
        <f ca="1">AVERAGE(OFFSET($CX$3,0,0,'Données projet'!$E$13+1,1))-AVERAGE(OFFSET($H$3,0,0,'Données projet'!$E$13+1,1))</f>
        <v>252.10592533338991</v>
      </c>
      <c r="CZ64" s="62">
        <f t="shared" si="42"/>
        <v>272.71831345325313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38.233659645812899</v>
      </c>
      <c r="DH64" s="23">
        <f>EXP(-LN(2)/2)*DH63+(1-EXP(-LN(2)/2))/(LN(2)/2)*DB64*DE64*VLOOKUP('Données projet'!$B$13,Paramètres!$A$1:$I$89,3,0)*0.475*44/12</f>
        <v>2.1339476615428765</v>
      </c>
      <c r="DI64" s="24">
        <f t="shared" si="15"/>
        <v>40.367607307355776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21.3764</v>
      </c>
      <c r="DO64" s="13">
        <f>IF('Données projet'!$A$166&gt;35,DO63+DN64-DW63,IF(A64&lt;'Données projet'!$A$166,$DL$205^A64,IF(A64='Données projet'!$A$166,'Données projet'!$B$166,DO63+DN64-DW63)))</f>
        <v>414.89840000000009</v>
      </c>
      <c r="DP64" s="18">
        <f>DO64*VLOOKUP('Données projet'!$B$14,Paramètres!$A$1:$I$89,3,0)*VLOOKUP('Données projet'!$B$14,Paramètres!$A$1:$I$89,5,0)</f>
        <v>248.10924320000007</v>
      </c>
      <c r="DQ64" s="14">
        <f t="shared" si="43"/>
        <v>60.180885023131943</v>
      </c>
      <c r="DR64" s="22">
        <f t="shared" si="16"/>
        <v>536.93863998862162</v>
      </c>
      <c r="DS64" s="62">
        <f t="shared" si="17"/>
        <v>798.75082143375096</v>
      </c>
      <c r="DT64" s="62">
        <f ca="1">AVERAGE(OFFSET($DS$3,0,0,'Données projet'!$E$14+1,1))-AVERAGE(OFFSET($H$3,0,0,'Données projet'!$E$14+1,1))</f>
        <v>423.0896575168394</v>
      </c>
      <c r="DU64" s="62">
        <f t="shared" si="44"/>
        <v>305.98537395014284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8.5515858977617345</v>
      </c>
      <c r="EB64" s="23">
        <f>EXP(-LN(2)/25)*EB63+(1-EXP(-LN(2)/25))/(LN(2)/25)*Calculateur!DW64*Calculateur!DY64*VLOOKUP('Données projet'!$B$14,Paramètres!$A$1:$I$89,3,0)*0.475*44/12</f>
        <v>55.729517858493907</v>
      </c>
      <c r="EC64" s="23">
        <f>EXP(-LN(2)/2)*EC63+(1-EXP(-LN(2)/2))/(LN(2)/2)*DW64*DZ64*VLOOKUP('Données projet'!$B$14,Paramètres!$A$1:$I$89,3,0)*0.475*44/12</f>
        <v>2.3442889324393223</v>
      </c>
      <c r="ED64" s="24">
        <f t="shared" si="18"/>
        <v>66.625392688694973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2.2737367544323206E-13</v>
      </c>
      <c r="EK64" s="18">
        <f>EJ64*VLOOKUP('Données projet'!$B$15,Paramètres!$A$1:$I$89,3,0)*VLOOKUP('Données projet'!$B$15,Paramètres!$A$1:$I$89,5,0)</f>
        <v>1.3596945791505279E-13</v>
      </c>
      <c r="EL64" s="14">
        <f t="shared" si="45"/>
        <v>1.9708830566360721E-12</v>
      </c>
      <c r="EM64" s="22">
        <f t="shared" si="19"/>
        <v>3.669434796176543E-12</v>
      </c>
      <c r="EN64" s="62">
        <f t="shared" si="20"/>
        <v>261.81218144513304</v>
      </c>
      <c r="EO64" s="62">
        <f ca="1">AVERAGE(OFFSET($EN$3,0,0,'Données projet'!$E$15+1,1))-AVERAGE(OFFSET($H$3,0,0,'Données projet'!$E$15+1,1))</f>
        <v>281.21543175875604</v>
      </c>
      <c r="EP64" s="62">
        <f t="shared" si="46"/>
        <v>366.68536296857428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93.616056670082202</v>
      </c>
      <c r="EW64" s="23">
        <f>EXP(-LN(2)/25)*EW63+(1-EXP(-LN(2)/25))/(LN(2)/25)*Calculateur!ER64*Calculateur!ET64*VLOOKUP('Données projet'!$B$15,Paramètres!$A$1:$I$89,3,0)*0.475*44/12</f>
        <v>31.444345115474636</v>
      </c>
      <c r="EX64" s="23">
        <f>EXP(-LN(2)/2)*EX63+(1-EXP(-LN(2)/2))/(LN(2)/2)*ER64*EU64*VLOOKUP('Données projet'!$B$15,Paramètres!$A$1:$I$89,3,0)*0.475*44/12</f>
        <v>3.6890090138991272</v>
      </c>
      <c r="EY64" s="24">
        <f t="shared" si="21"/>
        <v>128.74941079945597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12.892000000000001</v>
      </c>
      <c r="FE64" s="13">
        <f>IF('Données projet'!$A$218&gt;35,FE63+FD64-FM63,IF(A64&lt;'Données projet'!$A$218,$FB$205^A64,IF(A64='Données projet'!$A$218,'Données projet'!$B$218,FE63+FD64-FM63)))</f>
        <v>265.86199999999997</v>
      </c>
      <c r="FF64" s="18">
        <f>FE64*VLOOKUP('Données projet'!$B$16,Paramètres!$A$1:$I$89,3,0)*VLOOKUP('Données projet'!$B$16,Paramètres!$A$1:$I$89,5,0)</f>
        <v>148.61685799999998</v>
      </c>
      <c r="FG64" s="14">
        <f t="shared" si="47"/>
        <v>38.264092371643343</v>
      </c>
      <c r="FH64" s="22">
        <f t="shared" si="22"/>
        <v>325.48432189727879</v>
      </c>
      <c r="FI64" s="62">
        <f t="shared" si="23"/>
        <v>587.29650334240819</v>
      </c>
      <c r="FJ64" s="62">
        <f ca="1">AVERAGE(OFFSET($FI$3,0,0,'Données projet'!$E$16+1,1))-AVERAGE(OFFSET($H$3,0,0,'Données projet'!$E$16+1,1))</f>
        <v>280.9225643428145</v>
      </c>
      <c r="FK64" s="62">
        <f t="shared" si="48"/>
        <v>236.89414218053955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57.600200396179922</v>
      </c>
      <c r="FR64" s="23">
        <f>EXP(-LN(2)/25)*FR63+(1-EXP(-LN(2)/25))/(LN(2)/25)*Calculateur!FM64*Calculateur!FO64*VLOOKUP('Données projet'!$B$16,Paramètres!$A$1:$I$89,3,0)*0.475*44/12</f>
        <v>33.328919447018741</v>
      </c>
      <c r="FS64" s="23">
        <f>EXP(-LN(2)/2)*FS63+(1-EXP(-LN(2)/2))/(LN(2)/2)*FM64*FP64*VLOOKUP('Données projet'!$B$16,Paramètres!$A$1:$I$89,3,0)*0.475*44/12</f>
        <v>9.7107990203965336E-2</v>
      </c>
      <c r="FT64" s="24">
        <f t="shared" si="24"/>
        <v>91.026227833402629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7.3879999999999999</v>
      </c>
      <c r="FZ64" s="13">
        <f>IF('Données projet'!$A$244&gt;35,FZ63+FY64-GH63,IF(A64&lt;'Données projet'!$A$244,$FW$205^A64,IF(A64='Données projet'!$A$244,'Données projet'!$B$244,FZ63+FY64-GH63)))</f>
        <v>319.75799999999953</v>
      </c>
      <c r="GA64" s="18">
        <f>FZ64*VLOOKUP('Données projet'!$B$17,Paramètres!$A$1:$I$89,3,0)*VLOOKUP('Données projet'!$B$17,Paramètres!$A$1:$I$89,5,0)</f>
        <v>141.33303599999979</v>
      </c>
      <c r="GB64" s="14">
        <f t="shared" si="49"/>
        <v>36.602216690207044</v>
      </c>
      <c r="GC64" s="22">
        <f t="shared" si="25"/>
        <v>309.90389843544352</v>
      </c>
      <c r="GD64" s="62">
        <f t="shared" si="26"/>
        <v>571.71607988057281</v>
      </c>
      <c r="GE64" s="62">
        <f ca="1">AVERAGE(OFFSET($GD$3,0,0,'Données projet'!$E$17+1,1))-AVERAGE(OFFSET($H$3,0,0,'Données projet'!$E$17+1,1))</f>
        <v>325.67421864225201</v>
      </c>
      <c r="GF64" s="62">
        <f t="shared" si="50"/>
        <v>542.01920418736745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37.763226675677451</v>
      </c>
      <c r="GM64" s="23">
        <f>EXP(-LN(2)/25)*GM63+(1-EXP(-LN(2)/25))/(LN(2)/25)*Calculateur!GH64*Calculateur!GJ64*VLOOKUP('Données projet'!$B$17,Paramètres!$A$1:$I$89,3,0)*0.475*44/12</f>
        <v>74.93676626418798</v>
      </c>
      <c r="GN64" s="23">
        <f>EXP(-LN(2)/2)*GN63+(1-EXP(-LN(2)/2))/(LN(2)/2)*GH64*GK64*VLOOKUP('Données projet'!$B$17,Paramètres!$A$1:$I$89,3,0)*0.475*44/12</f>
        <v>9.8907405542139157E-2</v>
      </c>
      <c r="GO64" s="23">
        <f t="shared" si="27"/>
        <v>112.79890034540757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2.8979999999999988</v>
      </c>
      <c r="GU64" s="13">
        <f>IF('Données projet'!$A$270&gt;35,GU63+GT64-HC63,IF(A64&lt;'Données projet'!$A$270,$GR$205^A64,IF(A64='Données projet'!$A$270,'Données projet'!$B$270,GU63+GT64-HC63)))</f>
        <v>66.518000000000001</v>
      </c>
      <c r="GV64" s="18">
        <f>GU64*VLOOKUP('Données projet'!$B$18,Paramètres!$A$1:$I$89,3,0)*VLOOKUP('Données projet'!$B$18,Paramètres!$A$1:$I$89,5,0)</f>
        <v>67.449252000000001</v>
      </c>
      <c r="GW64" s="14">
        <f t="shared" si="51"/>
        <v>19.038654988792771</v>
      </c>
      <c r="GX64" s="22">
        <f t="shared" si="28"/>
        <v>150.63310467214743</v>
      </c>
      <c r="GY64" s="62">
        <f t="shared" si="29"/>
        <v>412.44528611727674</v>
      </c>
      <c r="GZ64" s="62">
        <f ca="1">AVERAGE(OFFSET($GY$3,0,0,'Données projet'!$E$18+1,1))-AVERAGE(OFFSET($H$3,0,0,'Données projet'!$E$18+1,1))</f>
        <v>220.89224520315713</v>
      </c>
      <c r="HA64" s="62">
        <f t="shared" si="52"/>
        <v>141.82763623159096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1.2759999999999998</v>
      </c>
      <c r="N65" s="14">
        <f>IF('Données projet'!$A$36&gt;35,N64+M65-V64,IF(A65&lt;'Données projet'!$A$36,$K$205^A65,IF(A65='Données projet'!$A$36,'Données projet'!$B$36,N64+M65-V64)))</f>
        <v>25.621999999999982</v>
      </c>
      <c r="O65" s="14">
        <f>N65*VLOOKUP('Données projet'!$B$9,Paramètres!$A$1:$I$89,3,0)*VLOOKUP('Données projet'!$B$9,Paramètres!$A$1:$I$89,5,0)</f>
        <v>24.781598399999982</v>
      </c>
      <c r="P65" s="14">
        <f t="shared" si="33"/>
        <v>7.85967751821312</v>
      </c>
      <c r="Q65" s="22">
        <f t="shared" si="53"/>
        <v>56.850222224221149</v>
      </c>
      <c r="R65" s="62">
        <f t="shared" si="0"/>
        <v>319.20922518387249</v>
      </c>
      <c r="S65" s="62">
        <f ca="1">AVERAGE(OFFSET($R$3,0,0,'Données projet'!$E$9+1,1))-AVERAGE(OFFSET($H$3,0,0,'Données projet'!$E$9+1,1))</f>
        <v>84.959354125980269</v>
      </c>
      <c r="T65" s="62">
        <f t="shared" si="34"/>
        <v>89.658970210276806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3.0476540126767406</v>
      </c>
      <c r="AB65" s="23">
        <f>EXP(-LN(2)/2)*AB64+(1-EXP(-LN(2)/2))/(LN(2)/2)*V65*Y65*VLOOKUP('Données projet'!$B$9,Paramètres!$A$1:$I$89,3,0)*0.475*44/12</f>
        <v>2.2388978296600959E-2</v>
      </c>
      <c r="AC65" s="24">
        <f t="shared" si="3"/>
        <v>3.0700429909733415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9.6040000000000028</v>
      </c>
      <c r="AI65" s="14">
        <f>IF('Données projet'!$A$62&gt;35,AI64+AH65-AQ64,IF(A65&lt;'Données projet'!$A$62,$AF$205^A65,IF(A65='Données projet'!$A$62,'Données projet'!$B$62,AI64+AH65-AQ64)))</f>
        <v>186.29800000000003</v>
      </c>
      <c r="AJ65" s="14">
        <f>AI65*VLOOKUP('Données projet'!$B$10,Paramètres!$A$1:$I$89,3,0)*VLOOKUP('Données projet'!$B$10,Paramètres!$A$1:$I$89,5,0)</f>
        <v>177.28117680000003</v>
      </c>
      <c r="AK65" s="14">
        <f t="shared" si="35"/>
        <v>44.716763334144467</v>
      </c>
      <c r="AL65" s="22">
        <f t="shared" si="4"/>
        <v>386.64641240030164</v>
      </c>
      <c r="AM65" s="62">
        <f t="shared" si="5"/>
        <v>649.00541535995296</v>
      </c>
      <c r="AN65" s="62">
        <f ca="1">AVERAGE(OFFSET($AM$3,0,0,'Données projet'!$E$10+1,1))-AVERAGE(OFFSET($H$3,0,0,'Données projet'!$E$10+1,1))</f>
        <v>592.76231355549089</v>
      </c>
      <c r="AO65" s="62">
        <f t="shared" si="36"/>
        <v>200.66895551079014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3.1134504545108568</v>
      </c>
      <c r="AV65" s="23">
        <f>EXP(-LN(2)/25)*AV64+(1-EXP(-LN(2)/25))/(LN(2)/25)*Calculateur!AQ65*Calculateur!AS65*VLOOKUP('Données projet'!$B$10,Paramètres!$A$1:$I$89,3,0)*0.475*44/12</f>
        <v>17.157707055254125</v>
      </c>
      <c r="AW65" s="23">
        <f>EXP(-LN(2)/2)*AW64+(1-EXP(-LN(2)/2))/(LN(2)/2)*AQ65*AT65*VLOOKUP('Données projet'!$B$10,Paramètres!$A$1:$I$89,3,0)*0.475*44/12</f>
        <v>6.4296534148647799</v>
      </c>
      <c r="AX65" s="23">
        <f t="shared" si="6"/>
        <v>26.700810924629764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4.5479999999999992</v>
      </c>
      <c r="BD65" s="13">
        <f>IF('Données projet'!$A$88&gt;35,BD64+BC65-BL64,IF(A65&lt;'Données projet'!$A$88,$BA$205^A65,IF(A65='Données projet'!$A$88,'Données projet'!$B$88,BD64+BC65-BL64)))</f>
        <v>106.45600000000006</v>
      </c>
      <c r="BE65" s="14">
        <f>BD65*VLOOKUP('Données projet'!$B$11,Paramètres!$A$1:$I$89,3,0)*VLOOKUP('Données projet'!$B$11,Paramètres!$A$1:$I$89,5,0)</f>
        <v>96.321388800000051</v>
      </c>
      <c r="BF65" s="14">
        <f t="shared" si="37"/>
        <v>26.083716676169136</v>
      </c>
      <c r="BG65" s="22">
        <f t="shared" si="7"/>
        <v>213.1888920376613</v>
      </c>
      <c r="BH65" s="62">
        <f t="shared" si="8"/>
        <v>475.5478949973126</v>
      </c>
      <c r="BI65" s="62">
        <f ca="1">AVERAGE(OFFSET($BH$3,0,0,'Données projet'!$E$11+1,1))-AVERAGE(OFFSET($H$3,0,0,'Données projet'!$E$11+1,1))</f>
        <v>316.71836722354374</v>
      </c>
      <c r="BJ65" s="62">
        <f t="shared" si="38"/>
        <v>164.34067012996618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2.531638116845619</v>
      </c>
      <c r="BQ65" s="23">
        <f>EXP(-LN(2)/25)*BQ64+(1-EXP(-LN(2)/25))/(LN(2)/25)*Calculateur!BL65*Calculateur!BN65*VLOOKUP('Données projet'!$B$11,Paramètres!$A$1:$I$89,3,0)*0.475*44/12</f>
        <v>2.4800371481568111</v>
      </c>
      <c r="BR65" s="23">
        <f>EXP(-LN(2)/2)*BR64+(1-EXP(-LN(2)/2))/(LN(2)/2)*BL65*BO65*VLOOKUP('Données projet'!$B$11,Paramètres!$A$1:$I$89,3,0)*0.475*44/12</f>
        <v>0.41538997391072491</v>
      </c>
      <c r="BS65" s="24">
        <f t="shared" si="9"/>
        <v>5.4270652389131548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6.5780000000000003</v>
      </c>
      <c r="BY65" s="13">
        <f>IF('Données projet'!$A$114&gt;35,BY64+BX65-CG64,IF(A65&lt;'Données projet'!$A$114,$BV$205^A65,IF(A65='Données projet'!$A$114,'Données projet'!$B$114,BY64+BX65-CG64)))</f>
        <v>251.73599999999993</v>
      </c>
      <c r="BZ65" s="14">
        <f>BY65*VLOOKUP('Données projet'!$B$12,Paramètres!$A$1:$I$89,3,0)*VLOOKUP('Données projet'!$B$12,Paramètres!$A$1:$I$89,5,0)</f>
        <v>286.67695679999991</v>
      </c>
      <c r="CA65" s="14">
        <f t="shared" si="39"/>
        <v>68.376100648194935</v>
      </c>
      <c r="CB65" s="22">
        <f t="shared" si="10"/>
        <v>618.38407505560599</v>
      </c>
      <c r="CC65" s="62">
        <f t="shared" si="11"/>
        <v>880.74307801525731</v>
      </c>
      <c r="CD65" s="62">
        <f ca="1">AVERAGE(OFFSET($CC$3,0,0,'Données projet'!$E$12+1,1))-AVERAGE(OFFSET($H$3,0,0,'Données projet'!$E$12+1,1))</f>
        <v>454.9779384236806</v>
      </c>
      <c r="CE65" s="62">
        <f t="shared" si="40"/>
        <v>379.32753348721906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4.0994371236448828</v>
      </c>
      <c r="CM65" s="23">
        <f>EXP(-LN(2)/2)*CM64+(1-EXP(-LN(2)/2))/(LN(2)/2)*CG65*CJ65*VLOOKUP('Données projet'!$B$12,Paramètres!$A$1:$I$89,3,0)*0.475*44/12</f>
        <v>2.7897549569586753E-2</v>
      </c>
      <c r="CN65" s="24">
        <f t="shared" si="12"/>
        <v>4.1273346732144693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8.085999999999995</v>
      </c>
      <c r="CT65" s="13">
        <f>IF('Données projet'!$A$140&gt;35,CT64+CS65-DB64,IF(A65&lt;'Données projet'!$A$140,$CQ$205^A65,IF(A65='Données projet'!$A$140,'Données projet'!$B$140,CT64+CS65-DB64)))</f>
        <v>192.63200000000003</v>
      </c>
      <c r="CU65" s="18">
        <f>CT65*VLOOKUP('Données projet'!$B$13,Paramètres!$A$1:$I$89,3,0)*VLOOKUP('Données projet'!$B$13,Paramètres!$A$1:$I$89,5,0)</f>
        <v>150.25296000000003</v>
      </c>
      <c r="CV65" s="14">
        <f t="shared" si="41"/>
        <v>38.636066049933746</v>
      </c>
      <c r="CW65" s="22">
        <f t="shared" si="13"/>
        <v>328.98172037030128</v>
      </c>
      <c r="CX65" s="62">
        <f t="shared" si="14"/>
        <v>591.34072332995265</v>
      </c>
      <c r="CY65" s="62">
        <f ca="1">AVERAGE(OFFSET($CX$3,0,0,'Données projet'!$E$13+1,1))-AVERAGE(OFFSET($H$3,0,0,'Données projet'!$E$13+1,1))</f>
        <v>252.10592533338991</v>
      </c>
      <c r="CZ65" s="62">
        <f t="shared" si="42"/>
        <v>272.71831345325313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37.18815821217737</v>
      </c>
      <c r="DH65" s="23">
        <f>EXP(-LN(2)/2)*DH64+(1-EXP(-LN(2)/2))/(LN(2)/2)*DB65*DE65*VLOOKUP('Données projet'!$B$13,Paramètres!$A$1:$I$89,3,0)*0.475*44/12</f>
        <v>1.5089288621741437</v>
      </c>
      <c r="DI65" s="24">
        <f t="shared" si="15"/>
        <v>38.697087074351515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21.3764</v>
      </c>
      <c r="DO65" s="13">
        <f>IF('Données projet'!$A$166&gt;35,DO64+DN65-DW64,IF(A65&lt;'Données projet'!$A$166,$DL$205^A65,IF(A65='Données projet'!$A$166,'Données projet'!$B$166,DO64+DN65-DW64)))</f>
        <v>436.27480000000008</v>
      </c>
      <c r="DP65" s="18">
        <f>DO65*VLOOKUP('Données projet'!$B$14,Paramètres!$A$1:$I$89,3,0)*VLOOKUP('Données projet'!$B$14,Paramètres!$A$1:$I$89,5,0)</f>
        <v>260.89233040000011</v>
      </c>
      <c r="DQ65" s="14">
        <f t="shared" si="43"/>
        <v>62.912548792789401</v>
      </c>
      <c r="DR65" s="22">
        <f t="shared" si="16"/>
        <v>563.96016459410839</v>
      </c>
      <c r="DS65" s="62">
        <f t="shared" si="17"/>
        <v>826.31916755375971</v>
      </c>
      <c r="DT65" s="62">
        <f ca="1">AVERAGE(OFFSET($DS$3,0,0,'Données projet'!$E$14+1,1))-AVERAGE(OFFSET($H$3,0,0,'Données projet'!$E$14+1,1))</f>
        <v>423.0896575168394</v>
      </c>
      <c r="DU65" s="62">
        <f t="shared" si="44"/>
        <v>305.98537395014284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8.3838945142589925</v>
      </c>
      <c r="EB65" s="23">
        <f>EXP(-LN(2)/25)*EB64+(1-EXP(-LN(2)/25))/(LN(2)/25)*Calculateur!DW65*Calculateur!DY65*VLOOKUP('Données projet'!$B$14,Paramètres!$A$1:$I$89,3,0)*0.475*44/12</f>
        <v>54.205591261965417</v>
      </c>
      <c r="EC65" s="23">
        <f>EXP(-LN(2)/2)*EC64+(1-EXP(-LN(2)/2))/(LN(2)/2)*DW65*DZ65*VLOOKUP('Données projet'!$B$14,Paramètres!$A$1:$I$89,3,0)*0.475*44/12</f>
        <v>1.657662601188417</v>
      </c>
      <c r="ED65" s="24">
        <f t="shared" si="18"/>
        <v>64.247148377412827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2.2737367544323206E-13</v>
      </c>
      <c r="EK65" s="18">
        <f>EJ65*VLOOKUP('Données projet'!$B$15,Paramètres!$A$1:$I$89,3,0)*VLOOKUP('Données projet'!$B$15,Paramètres!$A$1:$I$89,5,0)</f>
        <v>1.3596945791505279E-13</v>
      </c>
      <c r="EL65" s="14">
        <f t="shared" si="45"/>
        <v>1.9708830566360721E-12</v>
      </c>
      <c r="EM65" s="22">
        <f t="shared" si="19"/>
        <v>3.669434796176543E-12</v>
      </c>
      <c r="EN65" s="62">
        <f t="shared" si="20"/>
        <v>262.35900295965502</v>
      </c>
      <c r="EO65" s="62">
        <f ca="1">AVERAGE(OFFSET($EN$3,0,0,'Données projet'!$E$15+1,1))-AVERAGE(OFFSET($H$3,0,0,'Données projet'!$E$15+1,1))</f>
        <v>281.21543175875604</v>
      </c>
      <c r="EP65" s="62">
        <f t="shared" si="46"/>
        <v>366.68536296857428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91.780302898938288</v>
      </c>
      <c r="EW65" s="23">
        <f>EXP(-LN(2)/25)*EW64+(1-EXP(-LN(2)/25))/(LN(2)/25)*Calculateur!ER65*Calculateur!ET65*VLOOKUP('Données projet'!$B$15,Paramètres!$A$1:$I$89,3,0)*0.475*44/12</f>
        <v>30.584497844705741</v>
      </c>
      <c r="EX65" s="23">
        <f>EXP(-LN(2)/2)*EX64+(1-EXP(-LN(2)/2))/(LN(2)/2)*ER65*EU65*VLOOKUP('Données projet'!$B$15,Paramètres!$A$1:$I$89,3,0)*0.475*44/12</f>
        <v>2.6085232895863717</v>
      </c>
      <c r="EY65" s="24">
        <f t="shared" si="21"/>
        <v>124.9733240332304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12.892000000000001</v>
      </c>
      <c r="FE65" s="13">
        <f>IF('Données projet'!$A$218&gt;35,FE64+FD65-FM64,IF(A65&lt;'Données projet'!$A$218,$FB$205^A65,IF(A65='Données projet'!$A$218,'Données projet'!$B$218,FE64+FD65-FM64)))</f>
        <v>278.75399999999996</v>
      </c>
      <c r="FF65" s="18">
        <f>FE65*VLOOKUP('Données projet'!$B$16,Paramètres!$A$1:$I$89,3,0)*VLOOKUP('Données projet'!$B$16,Paramètres!$A$1:$I$89,5,0)</f>
        <v>155.823486</v>
      </c>
      <c r="FG65" s="14">
        <f t="shared" si="47"/>
        <v>39.899045788933996</v>
      </c>
      <c r="FH65" s="22">
        <f t="shared" si="22"/>
        <v>340.88340953239339</v>
      </c>
      <c r="FI65" s="62">
        <f t="shared" si="23"/>
        <v>603.24241249204465</v>
      </c>
      <c r="FJ65" s="62">
        <f ca="1">AVERAGE(OFFSET($FI$3,0,0,'Données projet'!$E$16+1,1))-AVERAGE(OFFSET($H$3,0,0,'Données projet'!$E$16+1,1))</f>
        <v>280.9225643428145</v>
      </c>
      <c r="FK65" s="62">
        <f t="shared" si="48"/>
        <v>236.89414218053955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56.470695599064015</v>
      </c>
      <c r="FR65" s="23">
        <f>EXP(-LN(2)/25)*FR64+(1-EXP(-LN(2)/25))/(LN(2)/25)*Calculateur!FM65*Calculateur!FO65*VLOOKUP('Données projet'!$B$16,Paramètres!$A$1:$I$89,3,0)*0.475*44/12</f>
        <v>32.417538392048314</v>
      </c>
      <c r="FS65" s="23">
        <f>EXP(-LN(2)/2)*FS64+(1-EXP(-LN(2)/2))/(LN(2)/2)*FM65*FP65*VLOOKUP('Données projet'!$B$16,Paramètres!$A$1:$I$89,3,0)*0.475*44/12</f>
        <v>6.8665718380620716E-2</v>
      </c>
      <c r="FT65" s="24">
        <f t="shared" si="24"/>
        <v>88.956899709492944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7.3879999999999999</v>
      </c>
      <c r="FZ65" s="13">
        <f>IF('Données projet'!$A$244&gt;35,FZ64+FY65-GH64,IF(A65&lt;'Données projet'!$A$244,$FW$205^A65,IF(A65='Données projet'!$A$244,'Données projet'!$B$244,FZ64+FY65-GH64)))</f>
        <v>327.1459999999995</v>
      </c>
      <c r="GA65" s="18">
        <f>FZ65*VLOOKUP('Données projet'!$B$17,Paramètres!$A$1:$I$89,3,0)*VLOOKUP('Données projet'!$B$17,Paramètres!$A$1:$I$89,5,0)</f>
        <v>144.59853199999978</v>
      </c>
      <c r="GB65" s="14">
        <f t="shared" si="49"/>
        <v>37.348474926581446</v>
      </c>
      <c r="GC65" s="22">
        <f t="shared" si="25"/>
        <v>316.89103706379564</v>
      </c>
      <c r="GD65" s="62">
        <f t="shared" si="26"/>
        <v>579.2500400234469</v>
      </c>
      <c r="GE65" s="62">
        <f ca="1">AVERAGE(OFFSET($GD$3,0,0,'Données projet'!$E$17+1,1))-AVERAGE(OFFSET($H$3,0,0,'Données projet'!$E$17+1,1))</f>
        <v>325.67421864225201</v>
      </c>
      <c r="GF65" s="62">
        <f t="shared" si="50"/>
        <v>542.01920418736745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37.022712833861341</v>
      </c>
      <c r="GM65" s="23">
        <f>EXP(-LN(2)/25)*GM64+(1-EXP(-LN(2)/25))/(LN(2)/25)*Calculateur!GH65*Calculateur!GJ65*VLOOKUP('Données projet'!$B$17,Paramètres!$A$1:$I$89,3,0)*0.475*44/12</f>
        <v>72.887616449940495</v>
      </c>
      <c r="GN65" s="23">
        <f>EXP(-LN(2)/2)*GN64+(1-EXP(-LN(2)/2))/(LN(2)/2)*GH65*GK65*VLOOKUP('Données projet'!$B$17,Paramètres!$A$1:$I$89,3,0)*0.475*44/12</f>
        <v>6.9938097168414509E-2</v>
      </c>
      <c r="GO65" s="23">
        <f t="shared" si="27"/>
        <v>109.98026738097026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2.8979999999999988</v>
      </c>
      <c r="GU65" s="13">
        <f>IF('Données projet'!$A$270&gt;35,GU64+GT65-HC64,IF(A65&lt;'Données projet'!$A$270,$GR$205^A65,IF(A65='Données projet'!$A$270,'Données projet'!$B$270,GU64+GT65-HC64)))</f>
        <v>69.415999999999997</v>
      </c>
      <c r="GV65" s="18">
        <f>GU65*VLOOKUP('Données projet'!$B$18,Paramètres!$A$1:$I$89,3,0)*VLOOKUP('Données projet'!$B$18,Paramètres!$A$1:$I$89,5,0)</f>
        <v>70.387823999999995</v>
      </c>
      <c r="GW65" s="14">
        <f t="shared" si="51"/>
        <v>19.769736947974259</v>
      </c>
      <c r="GX65" s="22">
        <f t="shared" si="28"/>
        <v>157.02441865105513</v>
      </c>
      <c r="GY65" s="62">
        <f t="shared" si="29"/>
        <v>419.38342161070648</v>
      </c>
      <c r="GZ65" s="62">
        <f ca="1">AVERAGE(OFFSET($GY$3,0,0,'Données projet'!$E$18+1,1))-AVERAGE(OFFSET($H$3,0,0,'Données projet'!$E$18+1,1))</f>
        <v>220.89224520315713</v>
      </c>
      <c r="HA65" s="62">
        <f t="shared" si="52"/>
        <v>141.82763623159096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1.2759999999999998</v>
      </c>
      <c r="N66" s="14">
        <f>IF('Données projet'!$A$36&gt;35,N65+M66-V65,IF(A66&lt;'Données projet'!$A$36,$K$205^A66,IF(A66='Données projet'!$A$36,'Données projet'!$B$36,N65+M66-V65)))</f>
        <v>26.897999999999982</v>
      </c>
      <c r="O66" s="14">
        <f>N66*VLOOKUP('Données projet'!$B$9,Paramètres!$A$1:$I$89,3,0)*VLOOKUP('Données projet'!$B$9,Paramètres!$A$1:$I$89,5,0)</f>
        <v>26.015745599999981</v>
      </c>
      <c r="P66" s="14">
        <f t="shared" si="33"/>
        <v>8.2045513845944829</v>
      </c>
      <c r="Q66" s="22">
        <f t="shared" si="53"/>
        <v>59.60035058150202</v>
      </c>
      <c r="R66" s="62">
        <f t="shared" si="0"/>
        <v>322.49668892490814</v>
      </c>
      <c r="S66" s="62">
        <f ca="1">AVERAGE(OFFSET($R$3,0,0,'Données projet'!$E$9+1,1))-AVERAGE(OFFSET($H$3,0,0,'Données projet'!$E$9+1,1))</f>
        <v>84.959354125980269</v>
      </c>
      <c r="T66" s="62">
        <f t="shared" si="34"/>
        <v>89.658970210276806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2.9643157534309363</v>
      </c>
      <c r="AB66" s="23">
        <f>EXP(-LN(2)/2)*AB65+(1-EXP(-LN(2)/2))/(LN(2)/2)*V66*Y66*VLOOKUP('Données projet'!$B$9,Paramètres!$A$1:$I$89,3,0)*0.475*44/12</f>
        <v>1.5831398377364976E-2</v>
      </c>
      <c r="AC66" s="24">
        <f t="shared" si="3"/>
        <v>2.9801471518083011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9.6040000000000028</v>
      </c>
      <c r="AI66" s="14">
        <f>IF('Données projet'!$A$62&gt;35,AI65+AH66-AQ65,IF(A66&lt;'Données projet'!$A$62,$AF$205^A66,IF(A66='Données projet'!$A$62,'Données projet'!$B$62,AI65+AH66-AQ65)))</f>
        <v>195.90200000000004</v>
      </c>
      <c r="AJ66" s="14">
        <f>AI66*VLOOKUP('Données projet'!$B$10,Paramètres!$A$1:$I$89,3,0)*VLOOKUP('Données projet'!$B$10,Paramètres!$A$1:$I$89,5,0)</f>
        <v>186.42034320000005</v>
      </c>
      <c r="AK66" s="14">
        <f t="shared" si="35"/>
        <v>46.747667625211804</v>
      </c>
      <c r="AL66" s="22">
        <f t="shared" si="4"/>
        <v>406.10095218724399</v>
      </c>
      <c r="AM66" s="62">
        <f t="shared" si="5"/>
        <v>668.99729053065016</v>
      </c>
      <c r="AN66" s="62">
        <f ca="1">AVERAGE(OFFSET($AM$3,0,0,'Données projet'!$E$10+1,1))-AVERAGE(OFFSET($H$3,0,0,'Données projet'!$E$10+1,1))</f>
        <v>592.76231355549089</v>
      </c>
      <c r="AO66" s="62">
        <f t="shared" si="36"/>
        <v>200.66895551079014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3.0523975901151639</v>
      </c>
      <c r="AV66" s="23">
        <f>EXP(-LN(2)/25)*AV65+(1-EXP(-LN(2)/25))/(LN(2)/25)*Calculateur!AQ66*Calculateur!AS66*VLOOKUP('Données projet'!$B$10,Paramètres!$A$1:$I$89,3,0)*0.475*44/12</f>
        <v>16.688528653543603</v>
      </c>
      <c r="AW66" s="23">
        <f>EXP(-LN(2)/2)*AW65+(1-EXP(-LN(2)/2))/(LN(2)/2)*AQ66*AT66*VLOOKUP('Données projet'!$B$10,Paramètres!$A$1:$I$89,3,0)*0.475*44/12</f>
        <v>4.5464515303301285</v>
      </c>
      <c r="AX66" s="23">
        <f t="shared" si="6"/>
        <v>24.287377773988894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4.5479999999999992</v>
      </c>
      <c r="BD66" s="13">
        <f>IF('Données projet'!$A$88&gt;35,BD65+BC66-BL65,IF(A66&lt;'Données projet'!$A$88,$BA$205^A66,IF(A66='Données projet'!$A$88,'Données projet'!$B$88,BD65+BC66-BL65)))</f>
        <v>111.00400000000006</v>
      </c>
      <c r="BE66" s="14">
        <f>BD66*VLOOKUP('Données projet'!$B$11,Paramètres!$A$1:$I$89,3,0)*VLOOKUP('Données projet'!$B$11,Paramètres!$A$1:$I$89,5,0)</f>
        <v>100.43641920000006</v>
      </c>
      <c r="BF66" s="14">
        <f t="shared" si="37"/>
        <v>27.065942039288171</v>
      </c>
      <c r="BG66" s="22">
        <f t="shared" si="7"/>
        <v>222.06661249176034</v>
      </c>
      <c r="BH66" s="62">
        <f t="shared" si="8"/>
        <v>484.96295083516645</v>
      </c>
      <c r="BI66" s="62">
        <f ca="1">AVERAGE(OFFSET($BH$3,0,0,'Données projet'!$E$11+1,1))-AVERAGE(OFFSET($H$3,0,0,'Données projet'!$E$11+1,1))</f>
        <v>316.71836722354374</v>
      </c>
      <c r="BJ66" s="62">
        <f t="shared" si="38"/>
        <v>164.34067012996618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2.481994237521056</v>
      </c>
      <c r="BQ66" s="23">
        <f>EXP(-LN(2)/25)*BQ65+(1-EXP(-LN(2)/25))/(LN(2)/25)*Calculateur!BL66*Calculateur!BN66*VLOOKUP('Données projet'!$B$11,Paramètres!$A$1:$I$89,3,0)*0.475*44/12</f>
        <v>2.4122204019209779</v>
      </c>
      <c r="BR66" s="23">
        <f>EXP(-LN(2)/2)*BR65+(1-EXP(-LN(2)/2))/(LN(2)/2)*BL66*BO66*VLOOKUP('Données projet'!$B$11,Paramètres!$A$1:$I$89,3,0)*0.475*44/12</f>
        <v>0.29372506738917664</v>
      </c>
      <c r="BS66" s="24">
        <f t="shared" si="9"/>
        <v>5.1879397068312096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6.5780000000000003</v>
      </c>
      <c r="BY66" s="13">
        <f>IF('Données projet'!$A$114&gt;35,BY65+BX66-CG65,IF(A66&lt;'Données projet'!$A$114,$BV$205^A66,IF(A66='Données projet'!$A$114,'Données projet'!$B$114,BY65+BX66-CG65)))</f>
        <v>258.31399999999991</v>
      </c>
      <c r="BZ66" s="14">
        <f>BY66*VLOOKUP('Données projet'!$B$12,Paramètres!$A$1:$I$89,3,0)*VLOOKUP('Données projet'!$B$12,Paramètres!$A$1:$I$89,5,0)</f>
        <v>294.16798319999987</v>
      </c>
      <c r="CA66" s="14">
        <f t="shared" si="39"/>
        <v>69.952455352851842</v>
      </c>
      <c r="CB66" s="22">
        <f t="shared" si="10"/>
        <v>634.17643047955005</v>
      </c>
      <c r="CC66" s="62">
        <f t="shared" si="11"/>
        <v>897.07276882295616</v>
      </c>
      <c r="CD66" s="62">
        <f ca="1">AVERAGE(OFFSET($CC$3,0,0,'Données projet'!$E$12+1,1))-AVERAGE(OFFSET($H$3,0,0,'Données projet'!$E$12+1,1))</f>
        <v>454.9779384236806</v>
      </c>
      <c r="CE66" s="62">
        <f t="shared" si="40"/>
        <v>379.32753348721906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3.9873377999187847</v>
      </c>
      <c r="CM66" s="23">
        <f>EXP(-LN(2)/2)*CM65+(1-EXP(-LN(2)/2))/(LN(2)/2)*CG66*CJ66*VLOOKUP('Données projet'!$B$12,Paramètres!$A$1:$I$89,3,0)*0.475*44/12</f>
        <v>1.9726546479142643E-2</v>
      </c>
      <c r="CN66" s="24">
        <f t="shared" si="12"/>
        <v>4.007064346397927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8.085999999999995</v>
      </c>
      <c r="CT66" s="13">
        <f>IF('Données projet'!$A$140&gt;35,CT65+CS66-DB65,IF(A66&lt;'Données projet'!$A$140,$CQ$205^A66,IF(A66='Données projet'!$A$140,'Données projet'!$B$140,CT65+CS66-DB65)))</f>
        <v>200.71800000000002</v>
      </c>
      <c r="CU66" s="18">
        <f>CT66*VLOOKUP('Données projet'!$B$13,Paramètres!$A$1:$I$89,3,0)*VLOOKUP('Données projet'!$B$13,Paramètres!$A$1:$I$89,5,0)</f>
        <v>156.56004000000001</v>
      </c>
      <c r="CV66" s="14">
        <f t="shared" si="41"/>
        <v>40.065644106305342</v>
      </c>
      <c r="CW66" s="22">
        <f t="shared" si="13"/>
        <v>342.45639981848177</v>
      </c>
      <c r="CX66" s="62">
        <f t="shared" si="14"/>
        <v>605.35273816188783</v>
      </c>
      <c r="CY66" s="62">
        <f ca="1">AVERAGE(OFFSET($CX$3,0,0,'Données projet'!$E$13+1,1))-AVERAGE(OFFSET($H$3,0,0,'Données projet'!$E$13+1,1))</f>
        <v>252.10592533338991</v>
      </c>
      <c r="CZ66" s="62">
        <f t="shared" si="42"/>
        <v>272.71831345325313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36.171246070225138</v>
      </c>
      <c r="DH66" s="23">
        <f>EXP(-LN(2)/2)*DH65+(1-EXP(-LN(2)/2))/(LN(2)/2)*DB66*DE66*VLOOKUP('Données projet'!$B$13,Paramètres!$A$1:$I$89,3,0)*0.475*44/12</f>
        <v>1.0669738307714385</v>
      </c>
      <c r="DI66" s="24">
        <f t="shared" si="15"/>
        <v>37.238219900996576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21.3764</v>
      </c>
      <c r="DO66" s="13">
        <f>IF('Données projet'!$A$166&gt;35,DO65+DN66-DW65,IF(A66&lt;'Données projet'!$A$166,$DL$205^A66,IF(A66='Données projet'!$A$166,'Données projet'!$B$166,DO65+DN66-DW65)))</f>
        <v>457.65120000000007</v>
      </c>
      <c r="DP66" s="18">
        <f>DO66*VLOOKUP('Données projet'!$B$14,Paramètres!$A$1:$I$89,3,0)*VLOOKUP('Données projet'!$B$14,Paramètres!$A$1:$I$89,5,0)</f>
        <v>273.67541760000006</v>
      </c>
      <c r="DQ66" s="14">
        <f t="shared" si="43"/>
        <v>65.628670798811626</v>
      </c>
      <c r="DR66" s="22">
        <f t="shared" si="16"/>
        <v>590.95462062793024</v>
      </c>
      <c r="DS66" s="62">
        <f t="shared" si="17"/>
        <v>853.85095897133635</v>
      </c>
      <c r="DT66" s="62">
        <f ca="1">AVERAGE(OFFSET($DS$3,0,0,'Données projet'!$E$14+1,1))-AVERAGE(OFFSET($H$3,0,0,'Données projet'!$E$14+1,1))</f>
        <v>423.0896575168394</v>
      </c>
      <c r="DU66" s="62">
        <f t="shared" si="44"/>
        <v>305.98537395014284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8.2194914565050947</v>
      </c>
      <c r="EB66" s="23">
        <f>EXP(-LN(2)/25)*EB65+(1-EXP(-LN(2)/25))/(LN(2)/25)*Calculateur!DW66*Calculateur!DY66*VLOOKUP('Données projet'!$B$14,Paramètres!$A$1:$I$89,3,0)*0.475*44/12</f>
        <v>52.723336518358813</v>
      </c>
      <c r="EC66" s="23">
        <f>EXP(-LN(2)/2)*EC65+(1-EXP(-LN(2)/2))/(LN(2)/2)*DW66*DZ66*VLOOKUP('Données projet'!$B$14,Paramètres!$A$1:$I$89,3,0)*0.475*44/12</f>
        <v>1.1721444662196612</v>
      </c>
      <c r="ED66" s="24">
        <f t="shared" si="18"/>
        <v>62.114972441083573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2.2737367544323206E-13</v>
      </c>
      <c r="EK66" s="18">
        <f>EJ66*VLOOKUP('Données projet'!$B$15,Paramètres!$A$1:$I$89,3,0)*VLOOKUP('Données projet'!$B$15,Paramètres!$A$1:$I$89,5,0)</f>
        <v>1.3596945791505279E-13</v>
      </c>
      <c r="EL66" s="14">
        <f t="shared" si="45"/>
        <v>1.9708830566360721E-12</v>
      </c>
      <c r="EM66" s="22">
        <f t="shared" si="19"/>
        <v>3.669434796176543E-12</v>
      </c>
      <c r="EN66" s="62">
        <f t="shared" si="20"/>
        <v>262.89633834340981</v>
      </c>
      <c r="EO66" s="62">
        <f ca="1">AVERAGE(OFFSET($EN$3,0,0,'Données projet'!$E$15+1,1))-AVERAGE(OFFSET($H$3,0,0,'Données projet'!$E$15+1,1))</f>
        <v>281.21543175875604</v>
      </c>
      <c r="EP66" s="62">
        <f t="shared" si="46"/>
        <v>366.68536296857428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89.980547139547269</v>
      </c>
      <c r="EW66" s="23">
        <f>EXP(-LN(2)/25)*EW65+(1-EXP(-LN(2)/25))/(LN(2)/25)*Calculateur!ER66*Calculateur!ET66*VLOOKUP('Données projet'!$B$15,Paramètres!$A$1:$I$89,3,0)*0.475*44/12</f>
        <v>29.748163142773421</v>
      </c>
      <c r="EX66" s="23">
        <f>EXP(-LN(2)/2)*EX65+(1-EXP(-LN(2)/2))/(LN(2)/2)*ER66*EU66*VLOOKUP('Données projet'!$B$15,Paramètres!$A$1:$I$89,3,0)*0.475*44/12</f>
        <v>1.8445045069495638</v>
      </c>
      <c r="EY66" s="24">
        <f t="shared" si="21"/>
        <v>121.57321478927025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12.892000000000001</v>
      </c>
      <c r="FE66" s="13">
        <f>IF('Données projet'!$A$218&gt;35,FE65+FD66-FM65,IF(A66&lt;'Données projet'!$A$218,$FB$205^A66,IF(A66='Données projet'!$A$218,'Données projet'!$B$218,FE65+FD66-FM65)))</f>
        <v>291.64599999999996</v>
      </c>
      <c r="FF66" s="18">
        <f>FE66*VLOOKUP('Données projet'!$B$16,Paramètres!$A$1:$I$89,3,0)*VLOOKUP('Données projet'!$B$16,Paramètres!$A$1:$I$89,5,0)</f>
        <v>163.03011399999997</v>
      </c>
      <c r="FG66" s="14">
        <f t="shared" si="47"/>
        <v>41.525218031763245</v>
      </c>
      <c r="FH66" s="22">
        <f t="shared" si="22"/>
        <v>356.26720328865423</v>
      </c>
      <c r="FI66" s="62">
        <f t="shared" si="23"/>
        <v>619.16354163206029</v>
      </c>
      <c r="FJ66" s="62">
        <f ca="1">AVERAGE(OFFSET($FI$3,0,0,'Données projet'!$E$16+1,1))-AVERAGE(OFFSET($H$3,0,0,'Données projet'!$E$16+1,1))</f>
        <v>280.9225643428145</v>
      </c>
      <c r="FK66" s="62">
        <f t="shared" si="48"/>
        <v>236.89414218053955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55.363339702089647</v>
      </c>
      <c r="FR66" s="23">
        <f>EXP(-LN(2)/25)*FR65+(1-EXP(-LN(2)/25))/(LN(2)/25)*Calculateur!FM66*Calculateur!FO66*VLOOKUP('Données projet'!$B$16,Paramètres!$A$1:$I$89,3,0)*0.475*44/12</f>
        <v>31.531079099953502</v>
      </c>
      <c r="FS66" s="23">
        <f>EXP(-LN(2)/2)*FS65+(1-EXP(-LN(2)/2))/(LN(2)/2)*FM66*FP66*VLOOKUP('Données projet'!$B$16,Paramètres!$A$1:$I$89,3,0)*0.475*44/12</f>
        <v>4.8553995101982668E-2</v>
      </c>
      <c r="FT66" s="24">
        <f t="shared" si="24"/>
        <v>86.942972797145131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7.3879999999999999</v>
      </c>
      <c r="FZ66" s="13">
        <f>IF('Données projet'!$A$244&gt;35,FZ65+FY66-GH65,IF(A66&lt;'Données projet'!$A$244,$FW$205^A66,IF(A66='Données projet'!$A$244,'Données projet'!$B$244,FZ65+FY66-GH65)))</f>
        <v>334.53399999999948</v>
      </c>
      <c r="GA66" s="18">
        <f>FZ66*VLOOKUP('Données projet'!$B$17,Paramètres!$A$1:$I$89,3,0)*VLOOKUP('Données projet'!$B$17,Paramètres!$A$1:$I$89,5,0)</f>
        <v>147.86402799999979</v>
      </c>
      <c r="GB66" s="14">
        <f t="shared" si="49"/>
        <v>38.092773886487642</v>
      </c>
      <c r="GC66" s="22">
        <f t="shared" si="25"/>
        <v>323.87476328563224</v>
      </c>
      <c r="GD66" s="62">
        <f t="shared" si="26"/>
        <v>586.77110162903841</v>
      </c>
      <c r="GE66" s="62">
        <f ca="1">AVERAGE(OFFSET($GD$3,0,0,'Données projet'!$E$17+1,1))-AVERAGE(OFFSET($H$3,0,0,'Données projet'!$E$17+1,1))</f>
        <v>325.67421864225201</v>
      </c>
      <c r="GF66" s="62">
        <f t="shared" si="50"/>
        <v>542.01920418736745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36.296720016814398</v>
      </c>
      <c r="GM66" s="23">
        <f>EXP(-LN(2)/25)*GM65+(1-EXP(-LN(2)/25))/(LN(2)/25)*Calculateur!GH66*Calculateur!GJ66*VLOOKUP('Données projet'!$B$17,Paramètres!$A$1:$I$89,3,0)*0.475*44/12</f>
        <v>70.894500745123707</v>
      </c>
      <c r="GN66" s="23">
        <f>EXP(-LN(2)/2)*GN65+(1-EXP(-LN(2)/2))/(LN(2)/2)*GH66*GK66*VLOOKUP('Données projet'!$B$17,Paramètres!$A$1:$I$89,3,0)*0.475*44/12</f>
        <v>4.9453702771069578E-2</v>
      </c>
      <c r="GO66" s="23">
        <f t="shared" si="27"/>
        <v>107.24067446470917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2.8979999999999988</v>
      </c>
      <c r="GU66" s="13">
        <f>IF('Données projet'!$A$270&gt;35,GU65+GT66-HC65,IF(A66&lt;'Données projet'!$A$270,$GR$205^A66,IF(A66='Données projet'!$A$270,'Données projet'!$B$270,GU65+GT66-HC65)))</f>
        <v>72.313999999999993</v>
      </c>
      <c r="GV66" s="18">
        <f>GU66*VLOOKUP('Données projet'!$B$18,Paramètres!$A$1:$I$89,3,0)*VLOOKUP('Données projet'!$B$18,Paramètres!$A$1:$I$89,5,0)</f>
        <v>73.326395999999988</v>
      </c>
      <c r="GW66" s="14">
        <f t="shared" si="51"/>
        <v>20.497273743440751</v>
      </c>
      <c r="GX66" s="22">
        <f t="shared" si="28"/>
        <v>163.40955813649262</v>
      </c>
      <c r="GY66" s="62">
        <f t="shared" si="29"/>
        <v>426.30589647989871</v>
      </c>
      <c r="GZ66" s="62">
        <f ca="1">AVERAGE(OFFSET($GY$3,0,0,'Données projet'!$E$18+1,1))-AVERAGE(OFFSET($H$3,0,0,'Données projet'!$E$18+1,1))</f>
        <v>220.89224520315713</v>
      </c>
      <c r="HA66" s="62">
        <f t="shared" si="52"/>
        <v>141.82763623159096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1.2759999999999998</v>
      </c>
      <c r="N67" s="14">
        <f>IF('Données projet'!$A$36&gt;35,N66+M67-V66,IF(A67&lt;'Données projet'!$A$36,$K$205^A67,IF(A67='Données projet'!$A$36,'Données projet'!$B$36,N66+M67-V66)))</f>
        <v>28.173999999999982</v>
      </c>
      <c r="O67" s="14">
        <f>N67*VLOOKUP('Données projet'!$B$9,Paramètres!$A$1:$I$89,3,0)*VLOOKUP('Données projet'!$B$9,Paramètres!$A$1:$I$89,5,0)</f>
        <v>27.249892799999987</v>
      </c>
      <c r="P67" s="14">
        <f t="shared" si="33"/>
        <v>8.5475254090219259</v>
      </c>
      <c r="Q67" s="22">
        <f t="shared" ref="Q67:Q98" si="54">(O67+P67)*0.475*44/12</f>
        <v>62.347170047379826</v>
      </c>
      <c r="R67" s="62">
        <f t="shared" ref="R67:R130" si="55">Q67+(I67+J67)*44/12</f>
        <v>325.77152220693461</v>
      </c>
      <c r="S67" s="62">
        <f ca="1">AVERAGE(OFFSET($R$3,0,0,'Données projet'!$E$9+1,1))-AVERAGE(OFFSET($H$3,0,0,'Données projet'!$E$9+1,1))</f>
        <v>84.959354125980269</v>
      </c>
      <c r="T67" s="62">
        <f t="shared" si="34"/>
        <v>89.658970210276806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2.8832563832667768</v>
      </c>
      <c r="AB67" s="23">
        <f>EXP(-LN(2)/2)*AB66+(1-EXP(-LN(2)/2))/(LN(2)/2)*V67*Y67*VLOOKUP('Données projet'!$B$9,Paramètres!$A$1:$I$89,3,0)*0.475*44/12</f>
        <v>1.119448914830048E-2</v>
      </c>
      <c r="AC67" s="24">
        <f t="shared" si="3"/>
        <v>2.8944508724150775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9.6040000000000028</v>
      </c>
      <c r="AI67" s="14">
        <f>IF('Données projet'!$A$62&gt;35,AI66+AH67-AQ66,IF(A67&lt;'Données projet'!$A$62,$AF$205^A67,IF(A67='Données projet'!$A$62,'Données projet'!$B$62,AI66+AH67-AQ66)))</f>
        <v>205.50600000000006</v>
      </c>
      <c r="AJ67" s="14">
        <f>AI67*VLOOKUP('Données projet'!$B$10,Paramètres!$A$1:$I$89,3,0)*VLOOKUP('Données projet'!$B$10,Paramètres!$A$1:$I$89,5,0)</f>
        <v>195.55950960000004</v>
      </c>
      <c r="AK67" s="14">
        <f t="shared" si="35"/>
        <v>48.76701077049109</v>
      </c>
      <c r="AL67" s="22">
        <f t="shared" si="4"/>
        <v>425.53535631193864</v>
      </c>
      <c r="AM67" s="62">
        <f t="shared" si="5"/>
        <v>688.9597084714934</v>
      </c>
      <c r="AN67" s="62">
        <f ca="1">AVERAGE(OFFSET($AM$3,0,0,'Données projet'!$E$10+1,1))-AVERAGE(OFFSET($H$3,0,0,'Données projet'!$E$10+1,1))</f>
        <v>592.76231355549089</v>
      </c>
      <c r="AO67" s="62">
        <f t="shared" si="36"/>
        <v>200.66895551079014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2.9925419351517002</v>
      </c>
      <c r="AV67" s="23">
        <f>EXP(-LN(2)/25)*AV66+(1-EXP(-LN(2)/25))/(LN(2)/25)*Calculateur!AQ67*Calculateur!AS67*VLOOKUP('Données projet'!$B$10,Paramètres!$A$1:$I$89,3,0)*0.475*44/12</f>
        <v>16.232179959900872</v>
      </c>
      <c r="AW67" s="23">
        <f>EXP(-LN(2)/2)*AW66+(1-EXP(-LN(2)/2))/(LN(2)/2)*AQ67*AT67*VLOOKUP('Données projet'!$B$10,Paramètres!$A$1:$I$89,3,0)*0.475*44/12</f>
        <v>3.2148267074323904</v>
      </c>
      <c r="AX67" s="23">
        <f t="shared" si="6"/>
        <v>22.439548602484962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4.5479999999999992</v>
      </c>
      <c r="BD67" s="13">
        <f>IF('Données projet'!$A$88&gt;35,BD66+BC67-BL66,IF(A67&lt;'Données projet'!$A$88,$BA$205^A67,IF(A67='Données projet'!$A$88,'Données projet'!$B$88,BD66+BC67-BL66)))</f>
        <v>115.55200000000006</v>
      </c>
      <c r="BE67" s="14">
        <f>BD67*VLOOKUP('Données projet'!$B$11,Paramètres!$A$1:$I$89,3,0)*VLOOKUP('Données projet'!$B$11,Paramètres!$A$1:$I$89,5,0)</f>
        <v>104.55144960000005</v>
      </c>
      <c r="BF67" s="14">
        <f t="shared" si="37"/>
        <v>28.043492859907495</v>
      </c>
      <c r="BG67" s="22">
        <f t="shared" si="7"/>
        <v>230.93619145100561</v>
      </c>
      <c r="BH67" s="62">
        <f t="shared" si="8"/>
        <v>494.3605436105604</v>
      </c>
      <c r="BI67" s="62">
        <f ca="1">AVERAGE(OFFSET($BH$3,0,0,'Données projet'!$E$11+1,1))-AVERAGE(OFFSET($H$3,0,0,'Données projet'!$E$11+1,1))</f>
        <v>316.71836722354374</v>
      </c>
      <c r="BJ67" s="62">
        <f t="shared" si="38"/>
        <v>164.34067012996618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2.4333238443902712</v>
      </c>
      <c r="BQ67" s="23">
        <f>EXP(-LN(2)/25)*BQ66+(1-EXP(-LN(2)/25))/(LN(2)/25)*Calculateur!BL67*Calculateur!BN67*VLOOKUP('Données projet'!$B$11,Paramètres!$A$1:$I$89,3,0)*0.475*44/12</f>
        <v>2.3462581081772909</v>
      </c>
      <c r="BR67" s="23">
        <f>EXP(-LN(2)/2)*BR66+(1-EXP(-LN(2)/2))/(LN(2)/2)*BL67*BO67*VLOOKUP('Données projet'!$B$11,Paramètres!$A$1:$I$89,3,0)*0.475*44/12</f>
        <v>0.20769498695536245</v>
      </c>
      <c r="BS67" s="24">
        <f t="shared" si="9"/>
        <v>4.9872769395229248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6.5780000000000003</v>
      </c>
      <c r="BY67" s="13">
        <f>IF('Données projet'!$A$114&gt;35,BY66+BX67-CG66,IF(A67&lt;'Données projet'!$A$114,$BV$205^A67,IF(A67='Données projet'!$A$114,'Données projet'!$B$114,BY66+BX67-CG66)))</f>
        <v>264.89199999999988</v>
      </c>
      <c r="BZ67" s="14">
        <f>BY67*VLOOKUP('Données projet'!$B$12,Paramètres!$A$1:$I$89,3,0)*VLOOKUP('Données projet'!$B$12,Paramètres!$A$1:$I$89,5,0)</f>
        <v>301.65900959999988</v>
      </c>
      <c r="CA67" s="14">
        <f t="shared" si="39"/>
        <v>71.524143904637384</v>
      </c>
      <c r="CB67" s="22">
        <f t="shared" si="10"/>
        <v>649.9606590205766</v>
      </c>
      <c r="CC67" s="62">
        <f t="shared" si="11"/>
        <v>913.38501118013141</v>
      </c>
      <c r="CD67" s="62">
        <f ca="1">AVERAGE(OFFSET($CC$3,0,0,'Données projet'!$E$12+1,1))-AVERAGE(OFFSET($H$3,0,0,'Données projet'!$E$12+1,1))</f>
        <v>454.9779384236806</v>
      </c>
      <c r="CE67" s="62">
        <f t="shared" si="40"/>
        <v>379.32753348721906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3.8783038380950239</v>
      </c>
      <c r="CM67" s="23">
        <f>EXP(-LN(2)/2)*CM66+(1-EXP(-LN(2)/2))/(LN(2)/2)*CG67*CJ67*VLOOKUP('Données projet'!$B$12,Paramètres!$A$1:$I$89,3,0)*0.475*44/12</f>
        <v>1.3948774784793377E-2</v>
      </c>
      <c r="CN67" s="24">
        <f t="shared" si="12"/>
        <v>3.8922526128798172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8.085999999999995</v>
      </c>
      <c r="CT67" s="13">
        <f>IF('Données projet'!$A$140&gt;35,CT66+CS67-DB66,IF(A67&lt;'Données projet'!$A$140,$CQ$205^A67,IF(A67='Données projet'!$A$140,'Données projet'!$B$140,CT66+CS67-DB66)))</f>
        <v>208.804</v>
      </c>
      <c r="CU67" s="18">
        <f>CT67*VLOOKUP('Données projet'!$B$13,Paramètres!$A$1:$I$89,3,0)*VLOOKUP('Données projet'!$B$13,Paramètres!$A$1:$I$89,5,0)</f>
        <v>162.86712</v>
      </c>
      <c r="CV67" s="14">
        <f t="shared" si="41"/>
        <v>41.488532341650476</v>
      </c>
      <c r="CW67" s="22">
        <f t="shared" si="13"/>
        <v>355.91942782837458</v>
      </c>
      <c r="CX67" s="62">
        <f t="shared" si="14"/>
        <v>619.34377998792934</v>
      </c>
      <c r="CY67" s="62">
        <f ca="1">AVERAGE(OFFSET($CX$3,0,0,'Données projet'!$E$13+1,1))-AVERAGE(OFFSET($H$3,0,0,'Données projet'!$E$13+1,1))</f>
        <v>252.10592533338991</v>
      </c>
      <c r="CZ67" s="62">
        <f t="shared" si="42"/>
        <v>272.71831345325313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35.182141444271672</v>
      </c>
      <c r="DH67" s="23">
        <f>EXP(-LN(2)/2)*DH66+(1-EXP(-LN(2)/2))/(LN(2)/2)*DB67*DE67*VLOOKUP('Données projet'!$B$13,Paramètres!$A$1:$I$89,3,0)*0.475*44/12</f>
        <v>0.75446443108707195</v>
      </c>
      <c r="DI67" s="24">
        <f t="shared" si="15"/>
        <v>35.936605875358744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21.3764</v>
      </c>
      <c r="DO67" s="13">
        <f>IF('Données projet'!$A$166&gt;35,DO66+DN67-DW66,IF(A67&lt;'Données projet'!$A$166,$DL$205^A67,IF(A67='Données projet'!$A$166,'Données projet'!$B$166,DO66+DN67-DW66)))</f>
        <v>479.02760000000006</v>
      </c>
      <c r="DP67" s="18">
        <f>DO67*VLOOKUP('Données projet'!$B$14,Paramètres!$A$1:$I$89,3,0)*VLOOKUP('Données projet'!$B$14,Paramètres!$A$1:$I$89,5,0)</f>
        <v>286.45850480000007</v>
      </c>
      <c r="DQ67" s="14">
        <f t="shared" si="43"/>
        <v>68.330059881971707</v>
      </c>
      <c r="DR67" s="22">
        <f t="shared" si="16"/>
        <v>617.92341682110077</v>
      </c>
      <c r="DS67" s="62">
        <f t="shared" si="17"/>
        <v>881.34776898065547</v>
      </c>
      <c r="DT67" s="62">
        <f ca="1">AVERAGE(OFFSET($DS$3,0,0,'Données projet'!$E$14+1,1))-AVERAGE(OFFSET($H$3,0,0,'Données projet'!$E$14+1,1))</f>
        <v>423.0896575168394</v>
      </c>
      <c r="DU67" s="62">
        <f t="shared" si="44"/>
        <v>305.98537395014284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8.0583122424377862</v>
      </c>
      <c r="EB67" s="23">
        <f>EXP(-LN(2)/25)*EB66+(1-EXP(-LN(2)/25))/(LN(2)/25)*Calculateur!DW67*Calculateur!DY67*VLOOKUP('Données projet'!$B$14,Paramètres!$A$1:$I$89,3,0)*0.475*44/12</f>
        <v>51.281614108664527</v>
      </c>
      <c r="EC67" s="23">
        <f>EXP(-LN(2)/2)*EC66+(1-EXP(-LN(2)/2))/(LN(2)/2)*DW67*DZ67*VLOOKUP('Données projet'!$B$14,Paramètres!$A$1:$I$89,3,0)*0.475*44/12</f>
        <v>0.82883130059420851</v>
      </c>
      <c r="ED67" s="24">
        <f t="shared" si="18"/>
        <v>60.168757651696524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2.2737367544323206E-13</v>
      </c>
      <c r="EK67" s="18">
        <f>EJ67*VLOOKUP('Données projet'!$B$15,Paramètres!$A$1:$I$89,3,0)*VLOOKUP('Données projet'!$B$15,Paramètres!$A$1:$I$89,5,0)</f>
        <v>1.3596945791505279E-13</v>
      </c>
      <c r="EL67" s="14">
        <f t="shared" si="45"/>
        <v>1.9708830566360721E-12</v>
      </c>
      <c r="EM67" s="22">
        <f t="shared" si="19"/>
        <v>3.669434796176543E-12</v>
      </c>
      <c r="EN67" s="62">
        <f t="shared" si="20"/>
        <v>263.42435215955845</v>
      </c>
      <c r="EO67" s="62">
        <f ca="1">AVERAGE(OFFSET($EN$3,0,0,'Données projet'!$E$15+1,1))-AVERAGE(OFFSET($H$3,0,0,'Données projet'!$E$15+1,1))</f>
        <v>281.21543175875604</v>
      </c>
      <c r="EP67" s="62">
        <f t="shared" si="46"/>
        <v>366.68536296857428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88.21608349285529</v>
      </c>
      <c r="EW67" s="23">
        <f>EXP(-LN(2)/25)*EW66+(1-EXP(-LN(2)/25))/(LN(2)/25)*Calculateur!ER67*Calculateur!ET67*VLOOKUP('Données projet'!$B$15,Paramètres!$A$1:$I$89,3,0)*0.475*44/12</f>
        <v>28.934698057246372</v>
      </c>
      <c r="EX67" s="23">
        <f>EXP(-LN(2)/2)*EX66+(1-EXP(-LN(2)/2))/(LN(2)/2)*ER67*EU67*VLOOKUP('Données projet'!$B$15,Paramètres!$A$1:$I$89,3,0)*0.475*44/12</f>
        <v>1.3042616447931861</v>
      </c>
      <c r="EY67" s="24">
        <f t="shared" si="21"/>
        <v>118.45504319489486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12.892000000000001</v>
      </c>
      <c r="FE67" s="13">
        <f>IF('Données projet'!$A$218&gt;35,FE66+FD67-FM66,IF(A67&lt;'Données projet'!$A$218,$FB$205^A67,IF(A67='Données projet'!$A$218,'Données projet'!$B$218,FE66+FD67-FM66)))</f>
        <v>304.53799999999995</v>
      </c>
      <c r="FF67" s="18">
        <f>FE67*VLOOKUP('Données projet'!$B$16,Paramètres!$A$1:$I$89,3,0)*VLOOKUP('Données projet'!$B$16,Paramètres!$A$1:$I$89,5,0)</f>
        <v>170.23674199999999</v>
      </c>
      <c r="FG67" s="14">
        <f t="shared" si="47"/>
        <v>43.143041622737712</v>
      </c>
      <c r="FH67" s="22">
        <f t="shared" si="22"/>
        <v>371.63645647626817</v>
      </c>
      <c r="FI67" s="62">
        <f t="shared" si="23"/>
        <v>635.06080863582292</v>
      </c>
      <c r="FJ67" s="62">
        <f ca="1">AVERAGE(OFFSET($FI$3,0,0,'Données projet'!$E$16+1,1))-AVERAGE(OFFSET($H$3,0,0,'Données projet'!$E$16+1,1))</f>
        <v>280.9225643428145</v>
      </c>
      <c r="FK67" s="62">
        <f t="shared" si="48"/>
        <v>236.89414218053955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54.277698378834543</v>
      </c>
      <c r="FR67" s="23">
        <f>EXP(-LN(2)/25)*FR66+(1-EXP(-LN(2)/25))/(LN(2)/25)*Calculateur!FM67*Calculateur!FO67*VLOOKUP('Données projet'!$B$16,Paramètres!$A$1:$I$89,3,0)*0.475*44/12</f>
        <v>30.66886008381789</v>
      </c>
      <c r="FS67" s="23">
        <f>EXP(-LN(2)/2)*FS66+(1-EXP(-LN(2)/2))/(LN(2)/2)*FM67*FP67*VLOOKUP('Données projet'!$B$16,Paramètres!$A$1:$I$89,3,0)*0.475*44/12</f>
        <v>3.4332859190310358E-2</v>
      </c>
      <c r="FT67" s="24">
        <f t="shared" si="24"/>
        <v>84.980891321842748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7.3879999999999999</v>
      </c>
      <c r="FZ67" s="13">
        <f>IF('Données projet'!$A$244&gt;35,FZ66+FY67-GH66,IF(A67&lt;'Données projet'!$A$244,$FW$205^A67,IF(A67='Données projet'!$A$244,'Données projet'!$B$244,FZ66+FY67-GH66)))</f>
        <v>341.92199999999946</v>
      </c>
      <c r="GA67" s="18">
        <f>FZ67*VLOOKUP('Données projet'!$B$17,Paramètres!$A$1:$I$89,3,0)*VLOOKUP('Données projet'!$B$17,Paramètres!$A$1:$I$89,5,0)</f>
        <v>151.12952399999978</v>
      </c>
      <c r="GB67" s="14">
        <f t="shared" si="49"/>
        <v>38.835161821935934</v>
      </c>
      <c r="GC67" s="22">
        <f t="shared" si="25"/>
        <v>330.85516113987137</v>
      </c>
      <c r="GD67" s="62">
        <f t="shared" si="26"/>
        <v>594.27951329942607</v>
      </c>
      <c r="GE67" s="62">
        <f ca="1">AVERAGE(OFFSET($GD$3,0,0,'Données projet'!$E$17+1,1))-AVERAGE(OFFSET($H$3,0,0,'Données projet'!$E$17+1,1))</f>
        <v>325.67421864225201</v>
      </c>
      <c r="GF67" s="62">
        <f t="shared" si="50"/>
        <v>542.01920418736745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35.584963476097855</v>
      </c>
      <c r="GM67" s="23">
        <f>EXP(-LN(2)/25)*GM66+(1-EXP(-LN(2)/25))/(LN(2)/25)*Calculateur!GH67*Calculateur!GJ67*VLOOKUP('Données projet'!$B$17,Paramètres!$A$1:$I$89,3,0)*0.475*44/12</f>
        <v>68.955886894068541</v>
      </c>
      <c r="GN67" s="23">
        <f>EXP(-LN(2)/2)*GN66+(1-EXP(-LN(2)/2))/(LN(2)/2)*GH67*GK67*VLOOKUP('Données projet'!$B$17,Paramètres!$A$1:$I$89,3,0)*0.475*44/12</f>
        <v>3.4969048584207255E-2</v>
      </c>
      <c r="GO67" s="23">
        <f t="shared" si="27"/>
        <v>104.5758194187506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2.8979999999999988</v>
      </c>
      <c r="GU67" s="13">
        <f>IF('Données projet'!$A$270&gt;35,GU66+GT67-HC66,IF(A67&lt;'Données projet'!$A$270,$GR$205^A67,IF(A67='Données projet'!$A$270,'Données projet'!$B$270,GU66+GT67-HC66)))</f>
        <v>75.211999999999989</v>
      </c>
      <c r="GV67" s="18">
        <f>GU67*VLOOKUP('Données projet'!$B$18,Paramètres!$A$1:$I$89,3,0)*VLOOKUP('Données projet'!$B$18,Paramètres!$A$1:$I$89,5,0)</f>
        <v>76.264967999999996</v>
      </c>
      <c r="GW67" s="14">
        <f t="shared" si="51"/>
        <v>21.221423702761321</v>
      </c>
      <c r="GX67" s="22">
        <f t="shared" si="28"/>
        <v>169.78879888230929</v>
      </c>
      <c r="GY67" s="62">
        <f t="shared" si="29"/>
        <v>433.21315104186408</v>
      </c>
      <c r="GZ67" s="62">
        <f ca="1">AVERAGE(OFFSET($GY$3,0,0,'Données projet'!$E$18+1,1))-AVERAGE(OFFSET($H$3,0,0,'Données projet'!$E$18+1,1))</f>
        <v>220.89224520315713</v>
      </c>
      <c r="HA67" s="62">
        <f t="shared" si="52"/>
        <v>141.82763623159096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1.2759999999999998</v>
      </c>
      <c r="N68" s="14">
        <f>IF('Données projet'!$A$36&gt;35,N67+M68-V67,IF(A68&lt;'Données projet'!$A$36,$K$205^A68,IF(A68='Données projet'!$A$36,'Données projet'!$B$36,N67+M68-V67)))</f>
        <v>29.449999999999982</v>
      </c>
      <c r="O68" s="14">
        <f>N68*VLOOKUP('Données projet'!$B$9,Paramètres!$A$1:$I$89,3,0)*VLOOKUP('Données projet'!$B$9,Paramètres!$A$1:$I$89,5,0)</f>
        <v>28.484039999999986</v>
      </c>
      <c r="P68" s="14">
        <f t="shared" si="33"/>
        <v>8.8886954650196301</v>
      </c>
      <c r="Q68" s="22">
        <f t="shared" si="54"/>
        <v>65.090847601575831</v>
      </c>
      <c r="R68" s="62">
        <f t="shared" si="55"/>
        <v>329.03405371803103</v>
      </c>
      <c r="S68" s="62">
        <f ca="1">AVERAGE(OFFSET($R$3,0,0,'Données projet'!$E$9+1,1))-AVERAGE(OFFSET($H$3,0,0,'Données projet'!$E$9+1,1))</f>
        <v>84.959354125980269</v>
      </c>
      <c r="T68" s="62">
        <f t="shared" si="34"/>
        <v>89.658970210276806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2.8044135858424832</v>
      </c>
      <c r="AB68" s="23">
        <f>EXP(-LN(2)/2)*AB67+(1-EXP(-LN(2)/2))/(LN(2)/2)*V68*Y68*VLOOKUP('Données projet'!$B$9,Paramètres!$A$1:$I$89,3,0)*0.475*44/12</f>
        <v>7.915699188682488E-3</v>
      </c>
      <c r="AC68" s="24">
        <f t="shared" ref="AC68:AC131" si="57">SUM(Z68:AB68)</f>
        <v>2.8123292850311659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9.6040000000000028</v>
      </c>
      <c r="AI68" s="14">
        <f>IF('Données projet'!$A$62&gt;35,AI67+AH68-AQ67,IF(A68&lt;'Données projet'!$A$62,$AF$205^A68,IF(A68='Données projet'!$A$62,'Données projet'!$B$62,AI67+AH68-AQ67)))</f>
        <v>215.11000000000007</v>
      </c>
      <c r="AJ68" s="14">
        <f>AI68*VLOOKUP('Données projet'!$B$10,Paramètres!$A$1:$I$89,3,0)*VLOOKUP('Données projet'!$B$10,Paramètres!$A$1:$I$89,5,0)</f>
        <v>204.69867600000006</v>
      </c>
      <c r="AK68" s="14">
        <f t="shared" si="35"/>
        <v>50.775394762400246</v>
      </c>
      <c r="AL68" s="22">
        <f t="shared" ref="AL68:AL131" si="58">(AJ68+AK68)*0.475*44/12</f>
        <v>444.95067324451384</v>
      </c>
      <c r="AM68" s="62">
        <f t="shared" ref="AM68:AM131" si="59">AL68+(AD68+AE68)*44/12</f>
        <v>708.89387936096909</v>
      </c>
      <c r="AN68" s="62">
        <f ca="1">AVERAGE(OFFSET($AM$3,0,0,'Données projet'!$E$10+1,1))-AVERAGE(OFFSET($H$3,0,0,'Données projet'!$E$10+1,1))</f>
        <v>592.76231355549089</v>
      </c>
      <c r="AO68" s="62">
        <f t="shared" si="36"/>
        <v>200.66895551079014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2.9338600130737253</v>
      </c>
      <c r="AV68" s="23">
        <f>EXP(-LN(2)/25)*AV67+(1-EXP(-LN(2)/25))/(LN(2)/25)*Calculateur!AQ68*Calculateur!AS68*VLOOKUP('Données projet'!$B$10,Paramètres!$A$1:$I$89,3,0)*0.475*44/12</f>
        <v>15.788310145284138</v>
      </c>
      <c r="AW68" s="23">
        <f>EXP(-LN(2)/2)*AW67+(1-EXP(-LN(2)/2))/(LN(2)/2)*AQ68*AT68*VLOOKUP('Données projet'!$B$10,Paramètres!$A$1:$I$89,3,0)*0.475*44/12</f>
        <v>2.2732257651650647</v>
      </c>
      <c r="AX68" s="23">
        <f t="shared" ref="AX68:AX131" si="60">SUM(AU68:AW68)</f>
        <v>20.995395923522928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120.1</v>
      </c>
      <c r="BB68" s="13">
        <f>VLOOKUP(A68,'Données projet'!$A$87:$I$107,9,0)</f>
        <v>4.5479999999999992</v>
      </c>
      <c r="BC68" s="13">
        <f t="array" ref="BC68">INDEX(BB:BB,MIN(IF(ISNUMBER(BB68:BB264),ROW(BB68:BB264),"")))</f>
        <v>4.5479999999999992</v>
      </c>
      <c r="BD68" s="13">
        <f>IF('Données projet'!$A$88&gt;35,BD67+BC68-BL67,IF(A68&lt;'Données projet'!$A$88,$BA$205^A68,IF(A68='Données projet'!$A$88,'Données projet'!$B$88,BD67+BC68-BL67)))</f>
        <v>120.10000000000007</v>
      </c>
      <c r="BE68" s="14">
        <f>BD68*VLOOKUP('Données projet'!$B$11,Paramètres!$A$1:$I$89,3,0)*VLOOKUP('Données projet'!$B$11,Paramètres!$A$1:$I$89,5,0)</f>
        <v>108.66648000000005</v>
      </c>
      <c r="BF68" s="14">
        <f t="shared" si="37"/>
        <v>29.016574176786783</v>
      </c>
      <c r="BG68" s="22">
        <f t="shared" ref="BG68:BG131" si="61">(BE68+BF68)*0.475*44/12</f>
        <v>239.79798602457041</v>
      </c>
      <c r="BH68" s="62">
        <f t="shared" ref="BH68:BH131" si="62">BG68+(AY68+AZ68)*44/12</f>
        <v>503.74119214102564</v>
      </c>
      <c r="BI68" s="62">
        <f ca="1">AVERAGE(OFFSET($BH$3,0,0,'Données projet'!$E$11+1,1))-AVERAGE(OFFSET($H$3,0,0,'Données projet'!$E$11+1,1))</f>
        <v>316.71836722354374</v>
      </c>
      <c r="BJ68" s="62">
        <f t="shared" si="38"/>
        <v>164.34067012996618</v>
      </c>
      <c r="BK68" s="16">
        <f>IF(ISNA(VLOOKUP(A68,'Données projet'!$A$87:$I$107,3,0)),0,VLOOKUP(A68,'Données projet'!$A$87:$I$107,3,0))</f>
        <v>7</v>
      </c>
      <c r="BL68" s="16">
        <f>IF(ISNA(VLOOKUP(A68,'Données projet'!$A$87:$I$107,4,0)),0,VLOOKUP(A68,'Données projet'!$A$87:$I$107,4,0))</f>
        <v>15.86</v>
      </c>
      <c r="BM68" s="17">
        <f>IF(ISNA(VLOOKUP(A68,'Données projet'!$A$87:$I$107,5,0)),0%,VLOOKUP(A68,'Données projet'!$A$87:$I$107,5,0)*VLOOKUP('Données projet'!$B$11,Paramètres!$A$1:$I$89,7,0))</f>
        <v>0.17200000000000001</v>
      </c>
      <c r="BN68" s="17">
        <f>IF(ISNA(VLOOKUP(A68,'Données projet'!$A$87:$I$107,6,0)),0%,VLOOKUP(A68,'Données projet'!$A$87:$I$107,6,0)*VLOOKUP('Données projet'!$B$11,Paramètres!$A$1:$I$89,7,0))</f>
        <v>0.129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5.1141541767818754</v>
      </c>
      <c r="BQ68" s="23">
        <f>EXP(-LN(2)/25)*BQ67+(1-EXP(-LN(2)/25))/(LN(2)/25)*Calculateur!BL68*Calculateur!BN68*VLOOKUP('Données projet'!$B$11,Paramètres!$A$1:$I$89,3,0)*0.475*44/12</f>
        <v>4.3204518085085528</v>
      </c>
      <c r="BR68" s="23">
        <f>EXP(-LN(2)/2)*BR67+(1-EXP(-LN(2)/2))/(LN(2)/2)*BL68*BO68*VLOOKUP('Données projet'!$B$11,Paramètres!$A$1:$I$89,3,0)*0.475*44/12</f>
        <v>0.14686253369458832</v>
      </c>
      <c r="BS68" s="24">
        <f t="shared" ref="BS68:BS131" si="63">SUM(BP68:BR68)</f>
        <v>9.5814685189850159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271.47000000000003</v>
      </c>
      <c r="BW68" s="13">
        <f>VLOOKUP(A68,'Données projet'!$A$113:$I$133,9,0)</f>
        <v>6.5780000000000003</v>
      </c>
      <c r="BX68" s="13">
        <f t="array" ref="BX68">INDEX(BW:BW,MIN(IF(ISNUMBER(BW68:BW264),ROW(BW68:BW264),"")))</f>
        <v>6.5780000000000003</v>
      </c>
      <c r="BY68" s="13">
        <f>IF('Données projet'!$A$114&gt;35,BY67+BX68-CG67,IF(A68&lt;'Données projet'!$A$114,$BV$205^A68,IF(A68='Données projet'!$A$114,'Données projet'!$B$114,BY67+BX68-CG67)))</f>
        <v>271.46999999999986</v>
      </c>
      <c r="BZ68" s="14">
        <f>BY68*VLOOKUP('Données projet'!$B$12,Paramètres!$A$1:$I$89,3,0)*VLOOKUP('Données projet'!$B$12,Paramètres!$A$1:$I$89,5,0)</f>
        <v>309.15003599999983</v>
      </c>
      <c r="CA68" s="14">
        <f t="shared" si="39"/>
        <v>73.091295504766677</v>
      </c>
      <c r="CB68" s="22">
        <f t="shared" ref="CB68:CB131" si="64">(BZ68+CA68)*0.475*44/12</f>
        <v>665.73698570413501</v>
      </c>
      <c r="CC68" s="62">
        <f t="shared" ref="CC68:CC131" si="65">CB68+(BT68+BU68)*44/12</f>
        <v>929.68019182059015</v>
      </c>
      <c r="CD68" s="62">
        <f ca="1">AVERAGE(OFFSET($CC$3,0,0,'Données projet'!$E$12+1,1))-AVERAGE(OFFSET($H$3,0,0,'Données projet'!$E$12+1,1))</f>
        <v>454.9779384236806</v>
      </c>
      <c r="CE68" s="62">
        <f t="shared" si="40"/>
        <v>379.32753348721906</v>
      </c>
      <c r="CF68" s="16">
        <f>IF(ISNA(VLOOKUP(A68,'Données projet'!$A$113:$I$133,3,0)),0,VLOOKUP(A68,'Données projet'!$A$113:$I$133,3,0))</f>
        <v>4</v>
      </c>
      <c r="CG68" s="16">
        <f>IF(ISNA(VLOOKUP(A68,'Données projet'!$A$113:$I$133,4,0)),0,VLOOKUP(A68,'Données projet'!$A$113:$I$133,4,0))</f>
        <v>90.49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8.6000000000000007E-2</v>
      </c>
      <c r="CJ68" s="17">
        <f>IF(ISNA(VLOOKUP(A68,'Données projet'!$A$113:$I$133,7,0)),0%,VLOOKUP(A68,'Données projet'!$A$113:$I$133,7,0))</f>
        <v>0.2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13.530688134686974</v>
      </c>
      <c r="CM68" s="23">
        <f>EXP(-LN(2)/2)*CM67+(1-EXP(-LN(2)/2))/(LN(2)/2)*CG68*CJ68*VLOOKUP('Données projet'!$B$12,Paramètres!$A$1:$I$89,3,0)*0.475*44/12</f>
        <v>19.455955247721217</v>
      </c>
      <c r="CN68" s="24">
        <f t="shared" ref="CN68:CN131" si="66">SUM(CK68:CM68)</f>
        <v>32.986643382408189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216.89</v>
      </c>
      <c r="CR68" s="13">
        <f>VLOOKUP(A68,'Données projet'!$A$139:$I$159,9,0)</f>
        <v>8.085999999999995</v>
      </c>
      <c r="CS68" s="13">
        <f t="array" ref="CS68">INDEX(CR:CR,MIN(IF(ISNUMBER(CR68:CR264),ROW(CR68:CR264),"")))</f>
        <v>8.085999999999995</v>
      </c>
      <c r="CT68" s="13">
        <f>IF('Données projet'!$A$140&gt;35,CT67+CS68-DB67,IF(A68&lt;'Données projet'!$A$140,$CQ$205^A68,IF(A68='Données projet'!$A$140,'Données projet'!$B$140,CT67+CS68-DB67)))</f>
        <v>216.89</v>
      </c>
      <c r="CU68" s="18">
        <f>CT68*VLOOKUP('Données projet'!$B$13,Paramètres!$A$1:$I$89,3,0)*VLOOKUP('Données projet'!$B$13,Paramètres!$A$1:$I$89,5,0)</f>
        <v>169.17419999999998</v>
      </c>
      <c r="CV68" s="14">
        <f t="shared" si="41"/>
        <v>42.905019472679093</v>
      </c>
      <c r="CW68" s="22">
        <f t="shared" ref="CW68:CW131" si="67">(CU68+CV68)*0.475*44/12</f>
        <v>369.37130724824937</v>
      </c>
      <c r="CX68" s="62">
        <f t="shared" ref="CX68:CX131" si="68">CW68+(CO68+CP68)*44/12</f>
        <v>633.31451336470457</v>
      </c>
      <c r="CY68" s="62">
        <f ca="1">AVERAGE(OFFSET($CX$3,0,0,'Données projet'!$E$13+1,1))-AVERAGE(OFFSET($H$3,0,0,'Données projet'!$E$13+1,1))</f>
        <v>252.10592533338991</v>
      </c>
      <c r="CZ68" s="62">
        <f t="shared" si="42"/>
        <v>272.71831345325313</v>
      </c>
      <c r="DA68" s="16">
        <f>IF(ISNA(VLOOKUP(A68,'Données projet'!$A$139:$I$159,3,0)),0,VLOOKUP(A68,'Données projet'!$A$139:$I$159,3,0))</f>
        <v>10</v>
      </c>
      <c r="DB68" s="16">
        <f>IF(ISNA(VLOOKUP(A68,'Données projet'!$A$139:$I$159,4,0)),0,VLOOKUP(A68,'Données projet'!$A$139:$I$159,4,0))</f>
        <v>33.369999999999997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0.34400000000000003</v>
      </c>
      <c r="DE68" s="17">
        <f>IF(ISNA(VLOOKUP(A68,'Données projet'!$A$139:$I$159,7,0)),0%,VLOOKUP(A68,'Données projet'!$A$139:$I$159,7,0))</f>
        <v>0.1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44.079314073403445</v>
      </c>
      <c r="DH68" s="23">
        <f>EXP(-LN(2)/2)*DH67+(1-EXP(-LN(2)/2))/(LN(2)/2)*DB68*DE68*VLOOKUP('Données projet'!$B$13,Paramètres!$A$1:$I$89,3,0)*0.475*44/12</f>
        <v>2.9893553803354997</v>
      </c>
      <c r="DI68" s="24">
        <f t="shared" ref="DI68:DI131" si="69">SUM(DF68:DH68)</f>
        <v>47.068669453738949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21.3764</v>
      </c>
      <c r="DO68" s="13">
        <f>IF('Données projet'!$A$166&gt;35,DO67+DN68-DW67,IF(A68&lt;'Données projet'!$A$166,$DL$205^A68,IF(A68='Données projet'!$A$166,'Données projet'!$B$166,DO67+DN68-DW67)))</f>
        <v>500.40400000000005</v>
      </c>
      <c r="DP68" s="18">
        <f>DO68*VLOOKUP('Données projet'!$B$14,Paramètres!$A$1:$I$89,3,0)*VLOOKUP('Données projet'!$B$14,Paramètres!$A$1:$I$89,5,0)</f>
        <v>299.24159200000008</v>
      </c>
      <c r="DQ68" s="14">
        <f t="shared" si="43"/>
        <v>71.017448613484419</v>
      </c>
      <c r="DR68" s="22">
        <f t="shared" ref="DR68:DR131" si="70">(DP68+DQ68)*0.475*44/12</f>
        <v>644.86782906848555</v>
      </c>
      <c r="DS68" s="62">
        <f t="shared" ref="DS68:DS131" si="71">DR68+(DJ68+DK68)*44/12</f>
        <v>908.81103518494069</v>
      </c>
      <c r="DT68" s="62">
        <f ca="1">AVERAGE(OFFSET($DS$3,0,0,'Données projet'!$E$14+1,1))-AVERAGE(OFFSET($H$3,0,0,'Données projet'!$E$14+1,1))</f>
        <v>423.0896575168394</v>
      </c>
      <c r="DU68" s="62">
        <f t="shared" si="44"/>
        <v>305.98537395014284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7.900293654448725</v>
      </c>
      <c r="EB68" s="23">
        <f>EXP(-LN(2)/25)*EB67+(1-EXP(-LN(2)/25))/(LN(2)/25)*Calculateur!DW68*Calculateur!DY68*VLOOKUP('Données projet'!$B$14,Paramètres!$A$1:$I$89,3,0)*0.475*44/12</f>
        <v>49.879315674080217</v>
      </c>
      <c r="EC68" s="23">
        <f>EXP(-LN(2)/2)*EC67+(1-EXP(-LN(2)/2))/(LN(2)/2)*DW68*DZ68*VLOOKUP('Données projet'!$B$14,Paramètres!$A$1:$I$89,3,0)*0.475*44/12</f>
        <v>0.58607223310983059</v>
      </c>
      <c r="ED68" s="24">
        <f t="shared" ref="ED68:ED131" si="72">SUM(EA68:EC68)</f>
        <v>58.365681561638773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2.2737367544323206E-13</v>
      </c>
      <c r="EK68" s="18">
        <f>EJ68*VLOOKUP('Données projet'!$B$15,Paramètres!$A$1:$I$89,3,0)*VLOOKUP('Données projet'!$B$15,Paramètres!$A$1:$I$89,5,0)</f>
        <v>1.3596945791505279E-13</v>
      </c>
      <c r="EL68" s="14">
        <f t="shared" si="45"/>
        <v>1.9708830566360721E-12</v>
      </c>
      <c r="EM68" s="22">
        <f t="shared" ref="EM68:EM131" si="73">(EK68+EL68)*0.475*44/12</f>
        <v>3.669434796176543E-12</v>
      </c>
      <c r="EN68" s="62">
        <f t="shared" ref="EN68:EN131" si="74">EM68+(EE68+EF68)*44/12</f>
        <v>263.9432061164589</v>
      </c>
      <c r="EO68" s="62">
        <f ca="1">AVERAGE(OFFSET($EN$3,0,0,'Données projet'!$E$15+1,1))-AVERAGE(OFFSET($H$3,0,0,'Données projet'!$E$15+1,1))</f>
        <v>281.21543175875604</v>
      </c>
      <c r="EP68" s="62">
        <f t="shared" si="46"/>
        <v>366.68536296857428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86.48621990205838</v>
      </c>
      <c r="EW68" s="23">
        <f>EXP(-LN(2)/25)*EW67+(1-EXP(-LN(2)/25))/(LN(2)/25)*Calculateur!ER68*Calculateur!ET68*VLOOKUP('Données projet'!$B$15,Paramètres!$A$1:$I$89,3,0)*0.475*44/12</f>
        <v>28.143477217261331</v>
      </c>
      <c r="EX68" s="23">
        <f>EXP(-LN(2)/2)*EX67+(1-EXP(-LN(2)/2))/(LN(2)/2)*ER68*EU68*VLOOKUP('Données projet'!$B$15,Paramètres!$A$1:$I$89,3,0)*0.475*44/12</f>
        <v>0.92225225347478201</v>
      </c>
      <c r="EY68" s="24">
        <f t="shared" ref="EY68:EY131" si="75">SUM(EV68:EX68)</f>
        <v>115.5519493727945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317.43</v>
      </c>
      <c r="FC68" s="13">
        <f>VLOOKUP(A68,'Données projet'!$A$217:$I$237,9,0)</f>
        <v>12.892000000000001</v>
      </c>
      <c r="FD68" s="13">
        <f t="array" ref="FD68">INDEX(FC:FC,MIN(IF(ISNUMBER(FC68:FC264),ROW(FC68:FC264),"")))</f>
        <v>12.892000000000001</v>
      </c>
      <c r="FE68" s="13">
        <f>IF('Données projet'!$A$218&gt;35,FE67+FD68-FM67,IF(A68&lt;'Données projet'!$A$218,$FB$205^A68,IF(A68='Données projet'!$A$218,'Données projet'!$B$218,FE67+FD68-FM67)))</f>
        <v>317.42999999999995</v>
      </c>
      <c r="FF68" s="18">
        <f>FE68*VLOOKUP('Données projet'!$B$16,Paramètres!$A$1:$I$89,3,0)*VLOOKUP('Données projet'!$B$16,Paramètres!$A$1:$I$89,5,0)</f>
        <v>177.44336999999996</v>
      </c>
      <c r="FG68" s="14">
        <f t="shared" si="47"/>
        <v>44.752910393083177</v>
      </c>
      <c r="FH68" s="22">
        <f t="shared" ref="FH68:FH131" si="76">(FF68+FG68)*0.475*44/12</f>
        <v>386.99185501795313</v>
      </c>
      <c r="FI68" s="62">
        <f t="shared" ref="FI68:FI131" si="77">FH68+(EZ68+FA68)*44/12</f>
        <v>650.93506113440833</v>
      </c>
      <c r="FJ68" s="62">
        <f ca="1">AVERAGE(OFFSET($FI$3,0,0,'Données projet'!$E$16+1,1))-AVERAGE(OFFSET($H$3,0,0,'Données projet'!$E$16+1,1))</f>
        <v>280.9225643428145</v>
      </c>
      <c r="FK68" s="62">
        <f t="shared" si="48"/>
        <v>236.89414218053955</v>
      </c>
      <c r="FL68" s="16">
        <f>IF(ISNA(VLOOKUP(A68,'Données projet'!$A$217:$I$237,3,0)),0,VLOOKUP(A68,'Données projet'!$A$217:$I$237,3,0))</f>
        <v>9</v>
      </c>
      <c r="FM68" s="16">
        <f>IF(ISNA(VLOOKUP(A68,'Données projet'!$A$217:$I$237,4,0)),0,VLOOKUP(A68,'Données projet'!$A$217:$I$237,4,0))</f>
        <v>45.71</v>
      </c>
      <c r="FN68" s="17">
        <f>IF(ISNA(VLOOKUP(A68,'Données projet'!$A$217:$I$237,5,0)),0%,VLOOKUP(A68,'Données projet'!$A$217:$I$237,5,0)*VLOOKUP('Données projet'!$B$16,Paramètres!$A$1:$I$89,7,0))</f>
        <v>0.44000000000000006</v>
      </c>
      <c r="FO68" s="17">
        <f>IF(ISNA(VLOOKUP(A68,'Données projet'!$A$217:$I$237,6,0)),0%,VLOOKUP(A68,'Données projet'!$A$217:$I$237,6,0)*VLOOKUP('Données projet'!$B$16,Paramètres!$A$1:$I$89,7,0))</f>
        <v>0.11000000000000001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68.127686598805113</v>
      </c>
      <c r="FR68" s="23">
        <f>EXP(-LN(2)/25)*FR67+(1-EXP(-LN(2)/25))/(LN(2)/25)*Calculateur!FM68*Calculateur!FO68*VLOOKUP('Données projet'!$B$16,Paramètres!$A$1:$I$89,3,0)*0.475*44/12</f>
        <v>33.544122826169627</v>
      </c>
      <c r="FS68" s="23">
        <f>EXP(-LN(2)/2)*FS67+(1-EXP(-LN(2)/2))/(LN(2)/2)*FM68*FP68*VLOOKUP('Données projet'!$B$16,Paramètres!$A$1:$I$89,3,0)*0.475*44/12</f>
        <v>2.4276997550991334E-2</v>
      </c>
      <c r="FT68" s="24">
        <f t="shared" ref="FT68:FT131" si="78">SUM(FQ68:FS68)</f>
        <v>101.69608642252572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349.31</v>
      </c>
      <c r="FX68" s="13">
        <f>VLOOKUP(A68,'Données projet'!$A$243:$I$263,9,0)</f>
        <v>7.3879999999999999</v>
      </c>
      <c r="FY68" s="13">
        <f t="array" ref="FY68">INDEX(FX:FX,MIN(IF(ISNUMBER(FX68:FX264),ROW(FX68:FX264),"")))</f>
        <v>7.3879999999999999</v>
      </c>
      <c r="FZ68" s="13">
        <f>IF('Données projet'!$A$244&gt;35,FZ67+FY68-GH67,IF(A68&lt;'Données projet'!$A$244,$FW$205^A68,IF(A68='Données projet'!$A$244,'Données projet'!$B$244,FZ67+FY68-GH67)))</f>
        <v>349.30999999999943</v>
      </c>
      <c r="GA68" s="18">
        <f>FZ68*VLOOKUP('Données projet'!$B$17,Paramètres!$A$1:$I$89,3,0)*VLOOKUP('Données projet'!$B$17,Paramètres!$A$1:$I$89,5,0)</f>
        <v>154.39501999999976</v>
      </c>
      <c r="GB68" s="14">
        <f t="shared" si="49"/>
        <v>39.575684780647975</v>
      </c>
      <c r="GC68" s="22">
        <f t="shared" ref="GC68:GC131" si="79">(GA68+GB68)*0.475*44/12</f>
        <v>337.83231082629476</v>
      </c>
      <c r="GD68" s="62">
        <f t="shared" ref="GD68:GD131" si="80">GC68+(FU68+FV68)*44/12</f>
        <v>601.77551694274996</v>
      </c>
      <c r="GE68" s="62">
        <f ca="1">AVERAGE(OFFSET($GD$3,0,0,'Données projet'!$E$17+1,1))-AVERAGE(OFFSET($H$3,0,0,'Données projet'!$E$17+1,1))</f>
        <v>325.67421864225201</v>
      </c>
      <c r="GF68" s="62">
        <f t="shared" si="50"/>
        <v>542.01920418736745</v>
      </c>
      <c r="GG68" s="16">
        <f>IF(ISNA(VLOOKUP(A68,'Données projet'!$A$243:$I$263,3,0)),0,VLOOKUP(A68,'Données projet'!$A$243:$I$263,3,0))</f>
        <v>9</v>
      </c>
      <c r="GH68" s="16">
        <f>IF(ISNA(VLOOKUP(A68,'Données projet'!$A$243:$I$263,4,0)),0,VLOOKUP(A68,'Données projet'!$A$243:$I$263,4,0))</f>
        <v>52.75</v>
      </c>
      <c r="GI68" s="17">
        <f>IF(ISNA(VLOOKUP(A68,'Données projet'!$A$243:$I$263,5,0)),0%,VLOOKUP(A68,'Données projet'!$A$243:$I$263,5,0)*VLOOKUP('Données projet'!$B$17,Paramètres!$A$1:$I$89,7,0))</f>
        <v>0.44000000000000006</v>
      </c>
      <c r="GJ68" s="17">
        <f>IF(ISNA(VLOOKUP(A68,'Données projet'!$A$243:$I$263,6,0)),0%,VLOOKUP(A68,'Données projet'!$A$243:$I$263,6,0)*VLOOKUP('Données projet'!$B$17,Paramètres!$A$1:$I$89,7,0))</f>
        <v>0.11000000000000001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48.4961500137684</v>
      </c>
      <c r="GM68" s="23">
        <f>EXP(-LN(2)/25)*GM67+(1-EXP(-LN(2)/25))/(LN(2)/25)*Calculateur!GH68*Calculateur!GJ68*VLOOKUP('Données projet'!$B$17,Paramètres!$A$1:$I$89,3,0)*0.475*44/12</f>
        <v>70.459135091610491</v>
      </c>
      <c r="GN68" s="23">
        <f>EXP(-LN(2)/2)*GN67+(1-EXP(-LN(2)/2))/(LN(2)/2)*GH68*GK68*VLOOKUP('Données projet'!$B$17,Paramètres!$A$1:$I$89,3,0)*0.475*44/12</f>
        <v>2.4726851385534789E-2</v>
      </c>
      <c r="GO68" s="23">
        <f t="shared" ref="GO68:GO131" si="81">SUM(GL68:GN68)</f>
        <v>118.98001195676443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78.11</v>
      </c>
      <c r="GS68" s="13">
        <f>VLOOKUP(A68,'Données projet'!$A$269:$I$289,9,0)</f>
        <v>2.8979999999999988</v>
      </c>
      <c r="GT68" s="13">
        <f t="array" ref="GT68">INDEX(GS:GS,MIN(IF(ISNUMBER(GS68:GS264),ROW(GS68:GS264),"")))</f>
        <v>2.8979999999999988</v>
      </c>
      <c r="GU68" s="13">
        <f>IF('Données projet'!$A$270&gt;35,GU67+GT68-HC67,IF(A68&lt;'Données projet'!$A$270,$GR$205^A68,IF(A68='Données projet'!$A$270,'Données projet'!$B$270,GU67+GT68-HC67)))</f>
        <v>78.109999999999985</v>
      </c>
      <c r="GV68" s="18">
        <f>GU68*VLOOKUP('Données projet'!$B$18,Paramètres!$A$1:$I$89,3,0)*VLOOKUP('Données projet'!$B$18,Paramètres!$A$1:$I$89,5,0)</f>
        <v>79.20353999999999</v>
      </c>
      <c r="GW68" s="14">
        <f t="shared" si="51"/>
        <v>21.942332261493174</v>
      </c>
      <c r="GX68" s="22">
        <f t="shared" ref="GX68:GX131" si="82">(GV68+GW68)*0.475*44/12</f>
        <v>176.16239418876725</v>
      </c>
      <c r="GY68" s="62">
        <f t="shared" ref="GY68:GY131" si="83">GX68+(GP68+GQ68)*44/12</f>
        <v>440.10560030522242</v>
      </c>
      <c r="GZ68" s="62">
        <f ca="1">AVERAGE(OFFSET($GY$3,0,0,'Données projet'!$E$18+1,1))-AVERAGE(OFFSET($H$3,0,0,'Données projet'!$E$18+1,1))</f>
        <v>220.89224520315713</v>
      </c>
      <c r="HA68" s="62">
        <f t="shared" si="52"/>
        <v>141.82763623159096</v>
      </c>
      <c r="HB68" s="16">
        <f>IF(ISNA(VLOOKUP(A68,'Données projet'!$A$269:$I$289,3,0)),0,VLOOKUP(A68,'Données projet'!$A$269:$I$289,3,0))</f>
        <v>7</v>
      </c>
      <c r="HC68" s="16">
        <f>IF(ISNA(VLOOKUP(A68,'Données projet'!$A$269:$I$289,4,0)),0,VLOOKUP(A68,'Données projet'!$A$269:$I$289,4,0))</f>
        <v>10.32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1.2759999999999998</v>
      </c>
      <c r="N69" s="14">
        <f>IF('Données projet'!$A$36&gt;35,N68+M69-V68,IF(A69&lt;'Données projet'!$A$36,$K$205^A69,IF(A69='Données projet'!$A$36,'Données projet'!$B$36,N68+M69-V68)))</f>
        <v>30.725999999999981</v>
      </c>
      <c r="O69" s="14">
        <f>N69*VLOOKUP('Données projet'!$B$9,Paramètres!$A$1:$I$89,3,0)*VLOOKUP('Données projet'!$B$9,Paramètres!$A$1:$I$89,5,0)</f>
        <v>29.718187199999985</v>
      </c>
      <c r="P69" s="14">
        <f t="shared" ref="P69:P132" si="87">EXP(-1.0587+0.8836*LN(O69)+0.284)</f>
        <v>9.2281486483263908</v>
      </c>
      <c r="Q69" s="22">
        <f t="shared" si="54"/>
        <v>67.831534935835109</v>
      </c>
      <c r="R69" s="62">
        <f t="shared" si="55"/>
        <v>332.2845940530222</v>
      </c>
      <c r="S69" s="62">
        <f ca="1">AVERAGE(OFFSET($R$3,0,0,'Données projet'!$E$9+1,1))-AVERAGE(OFFSET($H$3,0,0,'Données projet'!$E$9+1,1))</f>
        <v>84.959354125980269</v>
      </c>
      <c r="T69" s="62">
        <f t="shared" ref="T69:T132" si="88">$T$3</f>
        <v>89.658970210276806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2.7277267488599195</v>
      </c>
      <c r="AB69" s="23">
        <f>EXP(-LN(2)/2)*AB68+(1-EXP(-LN(2)/2))/(LN(2)/2)*V69*Y69*VLOOKUP('Données projet'!$B$9,Paramètres!$A$1:$I$89,3,0)*0.475*44/12</f>
        <v>5.5972445741502399E-3</v>
      </c>
      <c r="AC69" s="24">
        <f t="shared" si="57"/>
        <v>2.7333239934340696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9.6040000000000028</v>
      </c>
      <c r="AI69" s="14">
        <f>IF('Données projet'!$A$62&gt;35,AI68+AH69-AQ68,IF(A69&lt;'Données projet'!$A$62,$AF$205^A69,IF(A69='Données projet'!$A$62,'Données projet'!$B$62,AI68+AH69-AQ68)))</f>
        <v>224.71400000000008</v>
      </c>
      <c r="AJ69" s="14">
        <f>AI69*VLOOKUP('Données projet'!$B$10,Paramètres!$A$1:$I$89,3,0)*VLOOKUP('Données projet'!$B$10,Paramètres!$A$1:$I$89,5,0)</f>
        <v>213.83784240000008</v>
      </c>
      <c r="AK69" s="14">
        <f t="shared" ref="AK69:AK132" si="89">EXP(-1.0587+0.8836*LN(AJ69)+0.284)</f>
        <v>52.773364800119204</v>
      </c>
      <c r="AL69" s="22">
        <f t="shared" si="58"/>
        <v>464.34785254020767</v>
      </c>
      <c r="AM69" s="62">
        <f t="shared" si="59"/>
        <v>728.80091165739475</v>
      </c>
      <c r="AN69" s="62">
        <f ca="1">AVERAGE(OFFSET($AM$3,0,0,'Données projet'!$E$10+1,1))-AVERAGE(OFFSET($H$3,0,0,'Données projet'!$E$10+1,1))</f>
        <v>592.76231355549089</v>
      </c>
      <c r="AO69" s="62">
        <f t="shared" ref="AO69:AO132" si="90">$AO$3</f>
        <v>200.66895551079014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2.8763288076952613</v>
      </c>
      <c r="AV69" s="23">
        <f>EXP(-LN(2)/25)*AV68+(1-EXP(-LN(2)/25))/(LN(2)/25)*Calculateur!AQ69*Calculateur!AS69*VLOOKUP('Données projet'!$B$10,Paramètres!$A$1:$I$89,3,0)*0.475*44/12</f>
        <v>15.356577974090197</v>
      </c>
      <c r="AW69" s="23">
        <f>EXP(-LN(2)/2)*AW68+(1-EXP(-LN(2)/2))/(LN(2)/2)*AQ69*AT69*VLOOKUP('Données projet'!$B$10,Paramètres!$A$1:$I$89,3,0)*0.475*44/12</f>
        <v>1.6074133537161956</v>
      </c>
      <c r="AX69" s="23">
        <f t="shared" si="60"/>
        <v>19.840320135501656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4.444</v>
      </c>
      <c r="BD69" s="13">
        <f>IF('Données projet'!$A$88&gt;35,BD68+BC69-BL68,IF(A69&lt;'Données projet'!$A$88,$BA$205^A69,IF(A69='Données projet'!$A$88,'Données projet'!$B$88,BD68+BC69-BL68)))</f>
        <v>108.68400000000007</v>
      </c>
      <c r="BE69" s="14">
        <f>BD69*VLOOKUP('Données projet'!$B$11,Paramètres!$A$1:$I$89,3,0)*VLOOKUP('Données projet'!$B$11,Paramètres!$A$1:$I$89,5,0)</f>
        <v>98.337283200000059</v>
      </c>
      <c r="BF69" s="14">
        <f t="shared" ref="BF69:BF132" si="91">EXP(-1.0587+0.8836*LN(BE69)+0.284)</f>
        <v>26.565492480975962</v>
      </c>
      <c r="BG69" s="22">
        <f t="shared" si="61"/>
        <v>217.53900097769989</v>
      </c>
      <c r="BH69" s="62">
        <f t="shared" si="62"/>
        <v>481.99206009488694</v>
      </c>
      <c r="BI69" s="62">
        <f ca="1">AVERAGE(OFFSET($BH$3,0,0,'Données projet'!$E$11+1,1))-AVERAGE(OFFSET($H$3,0,0,'Données projet'!$E$11+1,1))</f>
        <v>316.71836722354374</v>
      </c>
      <c r="BJ69" s="62">
        <f t="shared" ref="BJ69:BJ132" si="92">$BJ$3</f>
        <v>164.34067012996618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5.0138687327012228</v>
      </c>
      <c r="BQ69" s="23">
        <f>EXP(-LN(2)/25)*BQ68+(1-EXP(-LN(2)/25))/(LN(2)/25)*Calculateur!BL69*Calculateur!BN69*VLOOKUP('Données projet'!$B$11,Paramètres!$A$1:$I$89,3,0)*0.475*44/12</f>
        <v>4.2023088266022004</v>
      </c>
      <c r="BR69" s="23">
        <f>EXP(-LN(2)/2)*BR68+(1-EXP(-LN(2)/2))/(LN(2)/2)*BL69*BO69*VLOOKUP('Données projet'!$B$11,Paramètres!$A$1:$I$89,3,0)*0.475*44/12</f>
        <v>0.10384749347768123</v>
      </c>
      <c r="BS69" s="24">
        <f t="shared" si="63"/>
        <v>9.320025052781105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4.8845000000000001</v>
      </c>
      <c r="BY69" s="13">
        <f>IF('Données projet'!$A$114&gt;35,BY68+BX69-CG68,IF(A69&lt;'Données projet'!$A$114,$BV$205^A69,IF(A69='Données projet'!$A$114,'Données projet'!$B$114,BY68+BX69-CG68)))</f>
        <v>185.86449999999985</v>
      </c>
      <c r="BZ69" s="14">
        <f>BY69*VLOOKUP('Données projet'!$B$12,Paramètres!$A$1:$I$89,3,0)*VLOOKUP('Données projet'!$B$12,Paramètres!$A$1:$I$89,5,0)</f>
        <v>211.66249259999984</v>
      </c>
      <c r="CA69" s="14">
        <f t="shared" ref="CA69:CA132" si="93">EXP(-1.0587+0.8836*LN(BZ69)+0.284)</f>
        <v>52.298715262083071</v>
      </c>
      <c r="CB69" s="22">
        <f t="shared" si="64"/>
        <v>459.73243702646101</v>
      </c>
      <c r="CC69" s="62">
        <f t="shared" si="65"/>
        <v>724.18549614364815</v>
      </c>
      <c r="CD69" s="62">
        <f ca="1">AVERAGE(OFFSET($CC$3,0,0,'Données projet'!$E$12+1,1))-AVERAGE(OFFSET($H$3,0,0,'Données projet'!$E$12+1,1))</f>
        <v>454.9779384236806</v>
      </c>
      <c r="CE69" s="62">
        <f t="shared" ref="CE69:CE132" si="94">$CE$3</f>
        <v>379.32753348721906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13.160690756095995</v>
      </c>
      <c r="CM69" s="23">
        <f>EXP(-LN(2)/2)*CM68+(1-EXP(-LN(2)/2))/(LN(2)/2)*CG69*CJ69*VLOOKUP('Données projet'!$B$12,Paramètres!$A$1:$I$89,3,0)*0.475*44/12</f>
        <v>13.757437890125669</v>
      </c>
      <c r="CN69" s="24">
        <f t="shared" si="66"/>
        <v>26.918128646221664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7.9060000000000059</v>
      </c>
      <c r="CT69" s="13">
        <f>IF('Données projet'!$A$140&gt;35,CT68+CS69-DB68,IF(A69&lt;'Données projet'!$A$140,$CQ$205^A69,IF(A69='Données projet'!$A$140,'Données projet'!$B$140,CT68+CS69-DB68)))</f>
        <v>191.42599999999999</v>
      </c>
      <c r="CU69" s="18">
        <f>CT69*VLOOKUP('Données projet'!$B$13,Paramètres!$A$1:$I$89,3,0)*VLOOKUP('Données projet'!$B$13,Paramètres!$A$1:$I$89,5,0)</f>
        <v>149.31227999999999</v>
      </c>
      <c r="CV69" s="14">
        <f t="shared" ref="CV69:CV132" si="95">EXP(-1.0587+0.8836*LN(CU69)+0.284)</f>
        <v>38.422257008884721</v>
      </c>
      <c r="CW69" s="22">
        <f t="shared" si="67"/>
        <v>326.97098529047418</v>
      </c>
      <c r="CX69" s="62">
        <f t="shared" si="68"/>
        <v>591.42404440766131</v>
      </c>
      <c r="CY69" s="62">
        <f ca="1">AVERAGE(OFFSET($CX$3,0,0,'Données projet'!$E$13+1,1))-AVERAGE(OFFSET($H$3,0,0,'Données projet'!$E$13+1,1))</f>
        <v>252.10592533338991</v>
      </c>
      <c r="CZ69" s="62">
        <f t="shared" ref="CZ69:CZ132" si="96">$CZ$3</f>
        <v>272.71831345325313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42.873962912035843</v>
      </c>
      <c r="DH69" s="23">
        <f>EXP(-LN(2)/2)*DH68+(1-EXP(-LN(2)/2))/(LN(2)/2)*DB69*DE69*VLOOKUP('Données projet'!$B$13,Paramètres!$A$1:$I$89,3,0)*0.475*44/12</f>
        <v>2.1137934608117228</v>
      </c>
      <c r="DI69" s="24">
        <f t="shared" si="69"/>
        <v>44.987756372847564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21.3764</v>
      </c>
      <c r="DO69" s="13">
        <f>IF('Données projet'!$A$166&gt;35,DO68+DN69-DW68,IF(A69&lt;'Données projet'!$A$166,$DL$205^A69,IF(A69='Données projet'!$A$166,'Données projet'!$B$166,DO68+DN69-DW68)))</f>
        <v>521.7804000000001</v>
      </c>
      <c r="DP69" s="18">
        <f>DO69*VLOOKUP('Données projet'!$B$14,Paramètres!$A$1:$I$89,3,0)*VLOOKUP('Données projet'!$B$14,Paramètres!$A$1:$I$89,5,0)</f>
        <v>312.02467920000009</v>
      </c>
      <c r="DQ69" s="14">
        <f t="shared" ref="DQ69:DQ132" si="97">EXP(-1.0587+0.8836*LN(DP69)+0.284)</f>
        <v>73.691503436169612</v>
      </c>
      <c r="DR69" s="22">
        <f t="shared" si="70"/>
        <v>671.7890180913289</v>
      </c>
      <c r="DS69" s="62">
        <f t="shared" si="71"/>
        <v>936.24207720851598</v>
      </c>
      <c r="DT69" s="62">
        <f ca="1">AVERAGE(OFFSET($DS$3,0,0,'Données projet'!$E$14+1,1))-AVERAGE(OFFSET($H$3,0,0,'Données projet'!$E$14+1,1))</f>
        <v>423.0896575168394</v>
      </c>
      <c r="DU69" s="62">
        <f t="shared" ref="DU69:DU132" si="98">$DU$3</f>
        <v>305.98537395014284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7.7453737145883075</v>
      </c>
      <c r="EB69" s="23">
        <f>EXP(-LN(2)/25)*EB68+(1-EXP(-LN(2)/25))/(LN(2)/25)*Calculateur!DW69*Calculateur!DY69*VLOOKUP('Données projet'!$B$14,Paramètres!$A$1:$I$89,3,0)*0.475*44/12</f>
        <v>48.51536316393328</v>
      </c>
      <c r="EC69" s="23">
        <f>EXP(-LN(2)/2)*EC68+(1-EXP(-LN(2)/2))/(LN(2)/2)*DW69*DZ69*VLOOKUP('Données projet'!$B$14,Paramètres!$A$1:$I$89,3,0)*0.475*44/12</f>
        <v>0.41441565029710425</v>
      </c>
      <c r="ED69" s="24">
        <f t="shared" si="72"/>
        <v>56.675152528818685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2.2737367544323206E-13</v>
      </c>
      <c r="EK69" s="18">
        <f>EJ69*VLOOKUP('Données projet'!$B$15,Paramètres!$A$1:$I$89,3,0)*VLOOKUP('Données projet'!$B$15,Paramètres!$A$1:$I$89,5,0)</f>
        <v>1.3596945791505279E-13</v>
      </c>
      <c r="EL69" s="14">
        <f t="shared" ref="EL69:EL132" si="99">EXP(-1.0587+0.8836*LN(EK69)+0.284)</f>
        <v>1.9708830566360721E-12</v>
      </c>
      <c r="EM69" s="22">
        <f t="shared" si="73"/>
        <v>3.669434796176543E-12</v>
      </c>
      <c r="EN69" s="62">
        <f t="shared" si="74"/>
        <v>264.45305911719078</v>
      </c>
      <c r="EO69" s="62">
        <f ca="1">AVERAGE(OFFSET($EN$3,0,0,'Données projet'!$E$15+1,1))-AVERAGE(OFFSET($H$3,0,0,'Données projet'!$E$15+1,1))</f>
        <v>281.21543175875604</v>
      </c>
      <c r="EP69" s="62">
        <f t="shared" ref="EP69:EP132" si="100">$EP$3</f>
        <v>366.68536296857428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84.790277881164386</v>
      </c>
      <c r="EW69" s="23">
        <f>EXP(-LN(2)/25)*EW68+(1-EXP(-LN(2)/25))/(LN(2)/25)*Calculateur!ER69*Calculateur!ET69*VLOOKUP('Données projet'!$B$15,Paramètres!$A$1:$I$89,3,0)*0.475*44/12</f>
        <v>27.373892352754176</v>
      </c>
      <c r="EX69" s="23">
        <f>EXP(-LN(2)/2)*EX68+(1-EXP(-LN(2)/2))/(LN(2)/2)*ER69*EU69*VLOOKUP('Données projet'!$B$15,Paramètres!$A$1:$I$89,3,0)*0.475*44/12</f>
        <v>0.65213082239659315</v>
      </c>
      <c r="EY69" s="24">
        <f t="shared" si="75"/>
        <v>112.81630105631515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13.032999999999998</v>
      </c>
      <c r="FE69" s="13">
        <f>IF('Données projet'!$A$218&gt;35,FE68+FD69-FM68,IF(A69&lt;'Données projet'!$A$218,$FB$205^A69,IF(A69='Données projet'!$A$218,'Données projet'!$B$218,FE68+FD69-FM68)))</f>
        <v>284.75299999999999</v>
      </c>
      <c r="FF69" s="18">
        <f>FE69*VLOOKUP('Données projet'!$B$16,Paramètres!$A$1:$I$89,3,0)*VLOOKUP('Données projet'!$B$16,Paramètres!$A$1:$I$89,5,0)</f>
        <v>159.17692700000001</v>
      </c>
      <c r="FG69" s="14">
        <f t="shared" ref="FG69:FG132" si="101">EXP(-1.0587+0.8836*LN(FF69)+0.284)</f>
        <v>40.656813306183324</v>
      </c>
      <c r="FH69" s="22">
        <f t="shared" si="76"/>
        <v>348.0437643666026</v>
      </c>
      <c r="FI69" s="62">
        <f t="shared" si="77"/>
        <v>612.49682348378974</v>
      </c>
      <c r="FJ69" s="62">
        <f ca="1">AVERAGE(OFFSET($FI$3,0,0,'Données projet'!$E$16+1,1))-AVERAGE(OFFSET($H$3,0,0,'Données projet'!$E$16+1,1))</f>
        <v>280.9225643428145</v>
      </c>
      <c r="FK69" s="62">
        <f t="shared" ref="FK69:FK132" si="102">$FK$3</f>
        <v>236.89414218053955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66.791744218388274</v>
      </c>
      <c r="FR69" s="23">
        <f>EXP(-LN(2)/25)*FR68+(1-EXP(-LN(2)/25))/(LN(2)/25)*Calculateur!FM69*Calculateur!FO69*VLOOKUP('Données projet'!$B$16,Paramètres!$A$1:$I$89,3,0)*0.475*44/12</f>
        <v>32.626857023479268</v>
      </c>
      <c r="FS69" s="23">
        <f>EXP(-LN(2)/2)*FS68+(1-EXP(-LN(2)/2))/(LN(2)/2)*FM69*FP69*VLOOKUP('Données projet'!$B$16,Paramètres!$A$1:$I$89,3,0)*0.475*44/12</f>
        <v>1.7166429595155179E-2</v>
      </c>
      <c r="FT69" s="24">
        <f t="shared" si="78"/>
        <v>99.435767671462699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6.1779999999999973</v>
      </c>
      <c r="FZ69" s="13">
        <f>IF('Données projet'!$A$244&gt;35,FZ68+FY69-GH68,IF(A69&lt;'Données projet'!$A$244,$FW$205^A69,IF(A69='Données projet'!$A$244,'Données projet'!$B$244,FZ68+FY69-GH68)))</f>
        <v>302.73799999999943</v>
      </c>
      <c r="GA69" s="18">
        <f>FZ69*VLOOKUP('Données projet'!$B$17,Paramètres!$A$1:$I$89,3,0)*VLOOKUP('Données projet'!$B$17,Paramètres!$A$1:$I$89,5,0)</f>
        <v>133.81019599999976</v>
      </c>
      <c r="GB69" s="14">
        <f t="shared" ref="GB69:GB132" si="103">EXP(-1.0587+0.8836*LN(GA69)+0.284)</f>
        <v>34.875298064692764</v>
      </c>
      <c r="GC69" s="22">
        <f t="shared" si="79"/>
        <v>293.79390216267285</v>
      </c>
      <c r="GD69" s="62">
        <f t="shared" si="80"/>
        <v>558.24696127985999</v>
      </c>
      <c r="GE69" s="62">
        <f ca="1">AVERAGE(OFFSET($GD$3,0,0,'Données projet'!$E$17+1,1))-AVERAGE(OFFSET($H$3,0,0,'Données projet'!$E$17+1,1))</f>
        <v>325.67421864225201</v>
      </c>
      <c r="GF69" s="62">
        <f t="shared" ref="GF69:GF132" si="104">$GF$3</f>
        <v>542.01920418736745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47.545170091729155</v>
      </c>
      <c r="GM69" s="23">
        <f>EXP(-LN(2)/25)*GM68+(1-EXP(-LN(2)/25))/(LN(2)/25)*Calculateur!GH69*Calculateur!GJ69*VLOOKUP('Données projet'!$B$17,Paramètres!$A$1:$I$89,3,0)*0.475*44/12</f>
        <v>68.532426337245525</v>
      </c>
      <c r="GN69" s="23">
        <f>EXP(-LN(2)/2)*GN68+(1-EXP(-LN(2)/2))/(LN(2)/2)*GH69*GK69*VLOOKUP('Données projet'!$B$17,Paramètres!$A$1:$I$89,3,0)*0.475*44/12</f>
        <v>1.7484524292103627E-2</v>
      </c>
      <c r="GO69" s="23">
        <f t="shared" si="81"/>
        <v>116.09508095326679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2.8100000000000023</v>
      </c>
      <c r="GU69" s="13">
        <f>IF('Données projet'!$A$270&gt;35,GU68+GT69-HC68,IF(A69&lt;'Données projet'!$A$270,$GR$205^A69,IF(A69='Données projet'!$A$270,'Données projet'!$B$270,GU68+GT69-HC68)))</f>
        <v>70.599999999999994</v>
      </c>
      <c r="GV69" s="18">
        <f>GU69*VLOOKUP('Données projet'!$B$18,Paramètres!$A$1:$I$89,3,0)*VLOOKUP('Données projet'!$B$18,Paramètres!$A$1:$I$89,5,0)</f>
        <v>71.588400000000007</v>
      </c>
      <c r="GW69" s="14">
        <f t="shared" ref="GW69:GW132" si="105">EXP(-1.0587+0.8836*LN(GV69)+0.284)</f>
        <v>20.067396686017538</v>
      </c>
      <c r="GX69" s="22">
        <f t="shared" si="82"/>
        <v>159.63384589481387</v>
      </c>
      <c r="GY69" s="62">
        <f t="shared" si="83"/>
        <v>424.08690501200095</v>
      </c>
      <c r="GZ69" s="62">
        <f ca="1">AVERAGE(OFFSET($GY$3,0,0,'Données projet'!$E$18+1,1))-AVERAGE(OFFSET($H$3,0,0,'Données projet'!$E$18+1,1))</f>
        <v>220.89224520315713</v>
      </c>
      <c r="HA69" s="62">
        <f t="shared" ref="HA69:HA132" si="106">$HA$3</f>
        <v>141.82763623159096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1.2759999999999998</v>
      </c>
      <c r="N70" s="14">
        <f>IF('Données projet'!$A$36&gt;35,N69+M70-V69,IF(A70&lt;'Données projet'!$A$36,$K$205^A70,IF(A70='Données projet'!$A$36,'Données projet'!$B$36,N69+M70-V69)))</f>
        <v>32.001999999999981</v>
      </c>
      <c r="O70" s="14">
        <f>N70*VLOOKUP('Données projet'!$B$9,Paramètres!$A$1:$I$89,3,0)*VLOOKUP('Données projet'!$B$9,Paramètres!$A$1:$I$89,5,0)</f>
        <v>30.952334399999984</v>
      </c>
      <c r="P70" s="14">
        <f t="shared" si="87"/>
        <v>9.5659644115176228</v>
      </c>
      <c r="Q70" s="22">
        <f t="shared" si="54"/>
        <v>70.569370430059834</v>
      </c>
      <c r="R70" s="62">
        <f t="shared" si="55"/>
        <v>335.52343773827675</v>
      </c>
      <c r="S70" s="62">
        <f ca="1">AVERAGE(OFFSET($R$3,0,0,'Données projet'!$E$9+1,1))-AVERAGE(OFFSET($H$3,0,0,'Données projet'!$E$9+1,1))</f>
        <v>84.959354125980269</v>
      </c>
      <c r="T70" s="62">
        <f t="shared" si="88"/>
        <v>89.658970210276806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2.6531369174674295</v>
      </c>
      <c r="AB70" s="23">
        <f>EXP(-LN(2)/2)*AB69+(1-EXP(-LN(2)/2))/(LN(2)/2)*V70*Y70*VLOOKUP('Données projet'!$B$9,Paramètres!$A$1:$I$89,3,0)*0.475*44/12</f>
        <v>3.957849594341244E-3</v>
      </c>
      <c r="AC70" s="24">
        <f t="shared" si="57"/>
        <v>2.6570947670617708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9.6040000000000028</v>
      </c>
      <c r="AI70" s="14">
        <f>IF('Données projet'!$A$62&gt;35,AI69+AH70-AQ69,IF(A70&lt;'Données projet'!$A$62,$AF$205^A70,IF(A70='Données projet'!$A$62,'Données projet'!$B$62,AI69+AH70-AQ69)))</f>
        <v>234.3180000000001</v>
      </c>
      <c r="AJ70" s="14">
        <f>AI70*VLOOKUP('Données projet'!$B$10,Paramètres!$A$1:$I$89,3,0)*VLOOKUP('Données projet'!$B$10,Paramètres!$A$1:$I$89,5,0)</f>
        <v>222.97700880000008</v>
      </c>
      <c r="AK70" s="14">
        <f t="shared" si="89"/>
        <v>54.761416844711228</v>
      </c>
      <c r="AL70" s="22">
        <f t="shared" si="58"/>
        <v>483.72775799787217</v>
      </c>
      <c r="AM70" s="62">
        <f t="shared" si="59"/>
        <v>748.68182530608908</v>
      </c>
      <c r="AN70" s="62">
        <f ca="1">AVERAGE(OFFSET($AM$3,0,0,'Données projet'!$E$10+1,1))-AVERAGE(OFFSET($H$3,0,0,'Données projet'!$E$10+1,1))</f>
        <v>592.76231355549089</v>
      </c>
      <c r="AO70" s="62">
        <f t="shared" si="90"/>
        <v>200.66895551079014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2.8199257541636986</v>
      </c>
      <c r="AV70" s="23">
        <f>EXP(-LN(2)/25)*AV69+(1-EXP(-LN(2)/25))/(LN(2)/25)*Calculateur!AQ70*Calculateur!AS70*VLOOKUP('Données projet'!$B$10,Paramètres!$A$1:$I$89,3,0)*0.475*44/12</f>
        <v>14.936651541821362</v>
      </c>
      <c r="AW70" s="23">
        <f>EXP(-LN(2)/2)*AW69+(1-EXP(-LN(2)/2))/(LN(2)/2)*AQ70*AT70*VLOOKUP('Données projet'!$B$10,Paramètres!$A$1:$I$89,3,0)*0.475*44/12</f>
        <v>1.1366128825825326</v>
      </c>
      <c r="AX70" s="23">
        <f t="shared" si="60"/>
        <v>18.893190178567593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4.444</v>
      </c>
      <c r="BD70" s="13">
        <f>IF('Données projet'!$A$88&gt;35,BD69+BC70-BL69,IF(A70&lt;'Données projet'!$A$88,$BA$205^A70,IF(A70='Données projet'!$A$88,'Données projet'!$B$88,BD69+BC70-BL69)))</f>
        <v>113.12800000000007</v>
      </c>
      <c r="BE70" s="14">
        <f>BD70*VLOOKUP('Données projet'!$B$11,Paramètres!$A$1:$I$89,3,0)*VLOOKUP('Données projet'!$B$11,Paramètres!$A$1:$I$89,5,0)</f>
        <v>102.35821440000007</v>
      </c>
      <c r="BF70" s="14">
        <f t="shared" si="91"/>
        <v>27.523045217438337</v>
      </c>
      <c r="BG70" s="22">
        <f t="shared" si="61"/>
        <v>226.20986050037183</v>
      </c>
      <c r="BH70" s="62">
        <f t="shared" si="62"/>
        <v>491.16392780858871</v>
      </c>
      <c r="BI70" s="62">
        <f ca="1">AVERAGE(OFFSET($BH$3,0,0,'Données projet'!$E$11+1,1))-AVERAGE(OFFSET($H$3,0,0,'Données projet'!$E$11+1,1))</f>
        <v>316.71836722354374</v>
      </c>
      <c r="BJ70" s="62">
        <f t="shared" si="92"/>
        <v>164.34067012996618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4.9155498250109106</v>
      </c>
      <c r="BQ70" s="23">
        <f>EXP(-LN(2)/25)*BQ69+(1-EXP(-LN(2)/25))/(LN(2)/25)*Calculateur!BL70*Calculateur!BN70*VLOOKUP('Données projet'!$B$11,Paramètres!$A$1:$I$89,3,0)*0.475*44/12</f>
        <v>4.0873964707489465</v>
      </c>
      <c r="BR70" s="23">
        <f>EXP(-LN(2)/2)*BR69+(1-EXP(-LN(2)/2))/(LN(2)/2)*BL70*BO70*VLOOKUP('Données projet'!$B$11,Paramètres!$A$1:$I$89,3,0)*0.475*44/12</f>
        <v>7.343126684729416E-2</v>
      </c>
      <c r="BS70" s="24">
        <f t="shared" si="63"/>
        <v>9.076377562607151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4.8845000000000001</v>
      </c>
      <c r="BY70" s="13">
        <f>IF('Données projet'!$A$114&gt;35,BY69+BX70-CG69,IF(A70&lt;'Données projet'!$A$114,$BV$205^A70,IF(A70='Données projet'!$A$114,'Données projet'!$B$114,BY69+BX70-CG69)))</f>
        <v>190.74899999999985</v>
      </c>
      <c r="BZ70" s="14">
        <f>BY70*VLOOKUP('Données projet'!$B$12,Paramètres!$A$1:$I$89,3,0)*VLOOKUP('Données projet'!$B$12,Paramètres!$A$1:$I$89,5,0)</f>
        <v>217.22496119999983</v>
      </c>
      <c r="CA70" s="14">
        <f t="shared" si="93"/>
        <v>53.5112998757401</v>
      </c>
      <c r="CB70" s="22">
        <f t="shared" si="64"/>
        <v>471.53232137358037</v>
      </c>
      <c r="CC70" s="62">
        <f t="shared" si="65"/>
        <v>736.48638868179728</v>
      </c>
      <c r="CD70" s="62">
        <f ca="1">AVERAGE(OFFSET($CC$3,0,0,'Données projet'!$E$12+1,1))-AVERAGE(OFFSET($H$3,0,0,'Données projet'!$E$12+1,1))</f>
        <v>454.9779384236806</v>
      </c>
      <c r="CE70" s="62">
        <f t="shared" si="94"/>
        <v>379.32753348721906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12.800810975279903</v>
      </c>
      <c r="CM70" s="23">
        <f>EXP(-LN(2)/2)*CM69+(1-EXP(-LN(2)/2))/(LN(2)/2)*CG70*CJ70*VLOOKUP('Données projet'!$B$12,Paramètres!$A$1:$I$89,3,0)*0.475*44/12</f>
        <v>9.7279776238606104</v>
      </c>
      <c r="CN70" s="24">
        <f t="shared" si="66"/>
        <v>22.528788599140512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7.9060000000000059</v>
      </c>
      <c r="CT70" s="13">
        <f>IF('Données projet'!$A$140&gt;35,CT69+CS70-DB69,IF(A70&lt;'Données projet'!$A$140,$CQ$205^A70,IF(A70='Données projet'!$A$140,'Données projet'!$B$140,CT69+CS70-DB69)))</f>
        <v>199.33199999999999</v>
      </c>
      <c r="CU70" s="18">
        <f>CT70*VLOOKUP('Données projet'!$B$13,Paramètres!$A$1:$I$89,3,0)*VLOOKUP('Données projet'!$B$13,Paramètres!$A$1:$I$89,5,0)</f>
        <v>155.47896</v>
      </c>
      <c r="CV70" s="14">
        <f t="shared" si="95"/>
        <v>39.821087332747787</v>
      </c>
      <c r="CW70" s="22">
        <f t="shared" si="67"/>
        <v>340.14758243786906</v>
      </c>
      <c r="CX70" s="62">
        <f t="shared" si="68"/>
        <v>605.10164974608597</v>
      </c>
      <c r="CY70" s="62">
        <f ca="1">AVERAGE(OFFSET($CX$3,0,0,'Données projet'!$E$13+1,1))-AVERAGE(OFFSET($H$3,0,0,'Données projet'!$E$13+1,1))</f>
        <v>252.10592533338991</v>
      </c>
      <c r="CZ70" s="62">
        <f t="shared" si="96"/>
        <v>272.71831345325313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41.701572141562501</v>
      </c>
      <c r="DH70" s="23">
        <f>EXP(-LN(2)/2)*DH69+(1-EXP(-LN(2)/2))/(LN(2)/2)*DB70*DE70*VLOOKUP('Données projet'!$B$13,Paramètres!$A$1:$I$89,3,0)*0.475*44/12</f>
        <v>1.4946776901677501</v>
      </c>
      <c r="DI70" s="24">
        <f t="shared" si="69"/>
        <v>43.196249831730249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21.3764</v>
      </c>
      <c r="DO70" s="13">
        <f>IF('Données projet'!$A$166&gt;35,DO69+DN70-DW69,IF(A70&lt;'Données projet'!$A$166,$DL$205^A70,IF(A70='Données projet'!$A$166,'Données projet'!$B$166,DO69+DN70-DW69)))</f>
        <v>543.15680000000009</v>
      </c>
      <c r="DP70" s="18">
        <f>DO70*VLOOKUP('Données projet'!$B$14,Paramètres!$A$1:$I$89,3,0)*VLOOKUP('Données projet'!$B$14,Paramètres!$A$1:$I$89,5,0)</f>
        <v>324.80776640000005</v>
      </c>
      <c r="DQ70" s="14">
        <f t="shared" si="97"/>
        <v>76.352833096948643</v>
      </c>
      <c r="DR70" s="22">
        <f t="shared" si="70"/>
        <v>698.68804412385225</v>
      </c>
      <c r="DS70" s="62">
        <f t="shared" si="71"/>
        <v>963.64211143206921</v>
      </c>
      <c r="DT70" s="62">
        <f ca="1">AVERAGE(OFFSET($DS$3,0,0,'Données projet'!$E$14+1,1))-AVERAGE(OFFSET($H$3,0,0,'Données projet'!$E$14+1,1))</f>
        <v>423.0896575168394</v>
      </c>
      <c r="DU70" s="62">
        <f t="shared" si="98"/>
        <v>305.98537395014284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7.5934916602567197</v>
      </c>
      <c r="EB70" s="23">
        <f>EXP(-LN(2)/25)*EB69+(1-EXP(-LN(2)/25))/(LN(2)/25)*Calculateur!DW70*Calculateur!DY70*VLOOKUP('Données projet'!$B$14,Paramètres!$A$1:$I$89,3,0)*0.475*44/12</f>
        <v>47.188708006903461</v>
      </c>
      <c r="EC70" s="23">
        <f>EXP(-LN(2)/2)*EC69+(1-EXP(-LN(2)/2))/(LN(2)/2)*DW70*DZ70*VLOOKUP('Données projet'!$B$14,Paramètres!$A$1:$I$89,3,0)*0.475*44/12</f>
        <v>0.29303611655491529</v>
      </c>
      <c r="ED70" s="24">
        <f t="shared" si="72"/>
        <v>55.075235783715094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2.2737367544323206E-13</v>
      </c>
      <c r="EK70" s="18">
        <f>EJ70*VLOOKUP('Données projet'!$B$15,Paramètres!$A$1:$I$89,3,0)*VLOOKUP('Données projet'!$B$15,Paramètres!$A$1:$I$89,5,0)</f>
        <v>1.3596945791505279E-13</v>
      </c>
      <c r="EL70" s="14">
        <f t="shared" si="99"/>
        <v>1.9708830566360721E-12</v>
      </c>
      <c r="EM70" s="22">
        <f t="shared" si="73"/>
        <v>3.669434796176543E-12</v>
      </c>
      <c r="EN70" s="62">
        <f t="shared" si="74"/>
        <v>264.9540673082206</v>
      </c>
      <c r="EO70" s="62">
        <f ca="1">AVERAGE(OFFSET($EN$3,0,0,'Données projet'!$E$15+1,1))-AVERAGE(OFFSET($H$3,0,0,'Données projet'!$E$15+1,1))</f>
        <v>281.21543175875604</v>
      </c>
      <c r="EP70" s="62">
        <f t="shared" si="100"/>
        <v>366.68536296857428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83.127592248877633</v>
      </c>
      <c r="EW70" s="23">
        <f>EXP(-LN(2)/25)*EW69+(1-EXP(-LN(2)/25))/(LN(2)/25)*Calculateur!ER70*Calculateur!ET70*VLOOKUP('Données projet'!$B$15,Paramètres!$A$1:$I$89,3,0)*0.475*44/12</f>
        <v>26.625351826837679</v>
      </c>
      <c r="EX70" s="23">
        <f>EXP(-LN(2)/2)*EX69+(1-EXP(-LN(2)/2))/(LN(2)/2)*ER70*EU70*VLOOKUP('Données projet'!$B$15,Paramètres!$A$1:$I$89,3,0)*0.475*44/12</f>
        <v>0.46112612673739112</v>
      </c>
      <c r="EY70" s="24">
        <f t="shared" si="75"/>
        <v>110.2140702024527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13.032999999999998</v>
      </c>
      <c r="FE70" s="13">
        <f>IF('Données projet'!$A$218&gt;35,FE69+FD70-FM69,IF(A70&lt;'Données projet'!$A$218,$FB$205^A70,IF(A70='Données projet'!$A$218,'Données projet'!$B$218,FE69+FD70-FM69)))</f>
        <v>297.786</v>
      </c>
      <c r="FF70" s="18">
        <f>FE70*VLOOKUP('Données projet'!$B$16,Paramètres!$A$1:$I$89,3,0)*VLOOKUP('Données projet'!$B$16,Paramètres!$A$1:$I$89,5,0)</f>
        <v>166.46237400000001</v>
      </c>
      <c r="FG70" s="14">
        <f t="shared" si="101"/>
        <v>42.296745948407349</v>
      </c>
      <c r="FH70" s="22">
        <f t="shared" si="76"/>
        <v>363.58880057680949</v>
      </c>
      <c r="FI70" s="62">
        <f t="shared" si="77"/>
        <v>628.54286788502645</v>
      </c>
      <c r="FJ70" s="62">
        <f ca="1">AVERAGE(OFFSET($FI$3,0,0,'Données projet'!$E$16+1,1))-AVERAGE(OFFSET($H$3,0,0,'Données projet'!$E$16+1,1))</f>
        <v>280.9225643428145</v>
      </c>
      <c r="FK70" s="62">
        <f t="shared" si="102"/>
        <v>236.89414218053955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65.481998853207017</v>
      </c>
      <c r="FR70" s="23">
        <f>EXP(-LN(2)/25)*FR69+(1-EXP(-LN(2)/25))/(LN(2)/25)*Calculateur!FM70*Calculateur!FO70*VLOOKUP('Données projet'!$B$16,Paramètres!$A$1:$I$89,3,0)*0.475*44/12</f>
        <v>31.734673902400385</v>
      </c>
      <c r="FS70" s="23">
        <f>EXP(-LN(2)/2)*FS69+(1-EXP(-LN(2)/2))/(LN(2)/2)*FM70*FP70*VLOOKUP('Données projet'!$B$16,Paramètres!$A$1:$I$89,3,0)*0.475*44/12</f>
        <v>1.2138498775495667E-2</v>
      </c>
      <c r="FT70" s="24">
        <f t="shared" si="78"/>
        <v>97.228811254382904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6.1779999999999973</v>
      </c>
      <c r="FZ70" s="13">
        <f>IF('Données projet'!$A$244&gt;35,FZ69+FY70-GH69,IF(A70&lt;'Données projet'!$A$244,$FW$205^A70,IF(A70='Données projet'!$A$244,'Données projet'!$B$244,FZ69+FY70-GH69)))</f>
        <v>308.91599999999943</v>
      </c>
      <c r="GA70" s="18">
        <f>FZ70*VLOOKUP('Données projet'!$B$17,Paramètres!$A$1:$I$89,3,0)*VLOOKUP('Données projet'!$B$17,Paramètres!$A$1:$I$89,5,0)</f>
        <v>136.54087199999978</v>
      </c>
      <c r="GB70" s="14">
        <f t="shared" si="103"/>
        <v>35.503417695696115</v>
      </c>
      <c r="GC70" s="22">
        <f t="shared" si="79"/>
        <v>299.64380455333702</v>
      </c>
      <c r="GD70" s="62">
        <f t="shared" si="80"/>
        <v>564.59787186155393</v>
      </c>
      <c r="GE70" s="62">
        <f ca="1">AVERAGE(OFFSET($GD$3,0,0,'Données projet'!$E$17+1,1))-AVERAGE(OFFSET($H$3,0,0,'Données projet'!$E$17+1,1))</f>
        <v>325.67421864225201</v>
      </c>
      <c r="GF70" s="62">
        <f t="shared" si="104"/>
        <v>542.01920418736745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46.612838305920619</v>
      </c>
      <c r="GM70" s="23">
        <f>EXP(-LN(2)/25)*GM69+(1-EXP(-LN(2)/25))/(LN(2)/25)*Calculateur!GH70*Calculateur!GJ70*VLOOKUP('Données projet'!$B$17,Paramètres!$A$1:$I$89,3,0)*0.475*44/12</f>
        <v>66.658403535089874</v>
      </c>
      <c r="GN70" s="23">
        <f>EXP(-LN(2)/2)*GN69+(1-EXP(-LN(2)/2))/(LN(2)/2)*GH70*GK70*VLOOKUP('Données projet'!$B$17,Paramètres!$A$1:$I$89,3,0)*0.475*44/12</f>
        <v>1.2363425692767395E-2</v>
      </c>
      <c r="GO70" s="23">
        <f t="shared" si="81"/>
        <v>113.28360526670326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2.8100000000000023</v>
      </c>
      <c r="GU70" s="13">
        <f>IF('Données projet'!$A$270&gt;35,GU69+GT70-HC69,IF(A70&lt;'Données projet'!$A$270,$GR$205^A70,IF(A70='Données projet'!$A$270,'Données projet'!$B$270,GU69+GT70-HC69)))</f>
        <v>73.41</v>
      </c>
      <c r="GV70" s="18">
        <f>GU70*VLOOKUP('Données projet'!$B$18,Paramètres!$A$1:$I$89,3,0)*VLOOKUP('Données projet'!$B$18,Paramètres!$A$1:$I$89,5,0)</f>
        <v>74.437739999999991</v>
      </c>
      <c r="GW70" s="14">
        <f t="shared" si="105"/>
        <v>20.771531468131606</v>
      </c>
      <c r="GX70" s="22">
        <f t="shared" si="82"/>
        <v>165.82281447366253</v>
      </c>
      <c r="GY70" s="62">
        <f t="shared" si="83"/>
        <v>430.77688178187941</v>
      </c>
      <c r="GZ70" s="62">
        <f ca="1">AVERAGE(OFFSET($GY$3,0,0,'Données projet'!$E$18+1,1))-AVERAGE(OFFSET($H$3,0,0,'Données projet'!$E$18+1,1))</f>
        <v>220.89224520315713</v>
      </c>
      <c r="HA70" s="62">
        <f t="shared" si="106"/>
        <v>141.82763623159096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1.2759999999999998</v>
      </c>
      <c r="N71" s="14">
        <f>IF('Données projet'!$A$36&gt;35,N70+M71-V70,IF(A71&lt;'Données projet'!$A$36,$K$205^A71,IF(A71='Données projet'!$A$36,'Données projet'!$B$36,N70+M71-V70)))</f>
        <v>33.277999999999977</v>
      </c>
      <c r="O71" s="14">
        <f>N71*VLOOKUP('Données projet'!$B$9,Paramètres!$A$1:$I$89,3,0)*VLOOKUP('Données projet'!$B$9,Paramètres!$A$1:$I$89,5,0)</f>
        <v>32.186481599999979</v>
      </c>
      <c r="P71" s="14">
        <f t="shared" si="87"/>
        <v>9.9022155125729583</v>
      </c>
      <c r="Q71" s="22">
        <f t="shared" si="54"/>
        <v>73.304480804397869</v>
      </c>
      <c r="R71" s="62">
        <f t="shared" si="55"/>
        <v>338.75086493161672</v>
      </c>
      <c r="S71" s="62">
        <f ca="1">AVERAGE(OFFSET($R$3,0,0,'Données projet'!$E$9+1,1))-AVERAGE(OFFSET($H$3,0,0,'Données projet'!$E$9+1,1))</f>
        <v>84.959354125980269</v>
      </c>
      <c r="T71" s="62">
        <f t="shared" si="88"/>
        <v>89.658970210276806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2.5805867489368759</v>
      </c>
      <c r="AB71" s="23">
        <f>EXP(-LN(2)/2)*AB70+(1-EXP(-LN(2)/2))/(LN(2)/2)*V71*Y71*VLOOKUP('Données projet'!$B$9,Paramètres!$A$1:$I$89,3,0)*0.475*44/12</f>
        <v>2.7986222870751199E-3</v>
      </c>
      <c r="AC71" s="24">
        <f t="shared" si="57"/>
        <v>2.583385371223951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9.6040000000000028</v>
      </c>
      <c r="AI71" s="14">
        <f>IF('Données projet'!$A$62&gt;35,AI70+AH71-AQ70,IF(A71&lt;'Données projet'!$A$62,$AF$205^A71,IF(A71='Données projet'!$A$62,'Données projet'!$B$62,AI70+AH71-AQ70)))</f>
        <v>243.92200000000011</v>
      </c>
      <c r="AJ71" s="14">
        <f>AI71*VLOOKUP('Données projet'!$B$10,Paramètres!$A$1:$I$89,3,0)*VLOOKUP('Données projet'!$B$10,Paramètres!$A$1:$I$89,5,0)</f>
        <v>232.11617520000013</v>
      </c>
      <c r="AK71" s="14">
        <f t="shared" si="89"/>
        <v>56.740003900709134</v>
      </c>
      <c r="AL71" s="22">
        <f t="shared" si="58"/>
        <v>503.09117860040186</v>
      </c>
      <c r="AM71" s="62">
        <f t="shared" si="59"/>
        <v>768.53756272762075</v>
      </c>
      <c r="AN71" s="62">
        <f ca="1">AVERAGE(OFFSET($AM$3,0,0,'Données projet'!$E$10+1,1))-AVERAGE(OFFSET($H$3,0,0,'Données projet'!$E$10+1,1))</f>
        <v>592.76231355549089</v>
      </c>
      <c r="AO71" s="62">
        <f t="shared" si="90"/>
        <v>200.66895551079014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2.7646287301094241</v>
      </c>
      <c r="AV71" s="23">
        <f>EXP(-LN(2)/25)*AV70+(1-EXP(-LN(2)/25))/(LN(2)/25)*Calculateur!AQ71*Calculateur!AS71*VLOOKUP('Données projet'!$B$10,Paramètres!$A$1:$I$89,3,0)*0.475*44/12</f>
        <v>14.528208019925891</v>
      </c>
      <c r="AW71" s="23">
        <f>EXP(-LN(2)/2)*AW70+(1-EXP(-LN(2)/2))/(LN(2)/2)*AQ71*AT71*VLOOKUP('Données projet'!$B$10,Paramètres!$A$1:$I$89,3,0)*0.475*44/12</f>
        <v>0.80370667685809793</v>
      </c>
      <c r="AX71" s="23">
        <f t="shared" si="60"/>
        <v>18.096543426893415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4.444</v>
      </c>
      <c r="BD71" s="13">
        <f>IF('Données projet'!$A$88&gt;35,BD70+BC71-BL70,IF(A71&lt;'Données projet'!$A$88,$BA$205^A71,IF(A71='Données projet'!$A$88,'Données projet'!$B$88,BD70+BC71-BL70)))</f>
        <v>117.57200000000007</v>
      </c>
      <c r="BE71" s="14">
        <f>BD71*VLOOKUP('Données projet'!$B$11,Paramètres!$A$1:$I$89,3,0)*VLOOKUP('Données projet'!$B$11,Paramètres!$A$1:$I$89,5,0)</f>
        <v>106.37914560000007</v>
      </c>
      <c r="BF71" s="14">
        <f t="shared" si="91"/>
        <v>28.476228319759755</v>
      </c>
      <c r="BG71" s="22">
        <f t="shared" si="61"/>
        <v>234.873109576915</v>
      </c>
      <c r="BH71" s="62">
        <f t="shared" si="62"/>
        <v>500.31949370413383</v>
      </c>
      <c r="BI71" s="62">
        <f ca="1">AVERAGE(OFFSET($BH$3,0,0,'Données projet'!$E$11+1,1))-AVERAGE(OFFSET($H$3,0,0,'Données projet'!$E$11+1,1))</f>
        <v>316.71836722354374</v>
      </c>
      <c r="BJ71" s="62">
        <f t="shared" si="92"/>
        <v>164.34067012996618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4.8191588911317931</v>
      </c>
      <c r="BQ71" s="23">
        <f>EXP(-LN(2)/25)*BQ70+(1-EXP(-LN(2)/25))/(LN(2)/25)*Calculateur!BL71*Calculateur!BN71*VLOOKUP('Données projet'!$B$11,Paramètres!$A$1:$I$89,3,0)*0.475*44/12</f>
        <v>3.975626399309478</v>
      </c>
      <c r="BR71" s="23">
        <f>EXP(-LN(2)/2)*BR70+(1-EXP(-LN(2)/2))/(LN(2)/2)*BL71*BO71*VLOOKUP('Données projet'!$B$11,Paramètres!$A$1:$I$89,3,0)*0.475*44/12</f>
        <v>5.1923746738840613E-2</v>
      </c>
      <c r="BS71" s="24">
        <f t="shared" si="63"/>
        <v>8.846709037180112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4.8845000000000001</v>
      </c>
      <c r="BY71" s="13">
        <f>IF('Données projet'!$A$114&gt;35,BY70+BX71-CG70,IF(A71&lt;'Données projet'!$A$114,$BV$205^A71,IF(A71='Données projet'!$A$114,'Données projet'!$B$114,BY70+BX71-CG70)))</f>
        <v>195.63349999999986</v>
      </c>
      <c r="BZ71" s="14">
        <f>BY71*VLOOKUP('Données projet'!$B$12,Paramètres!$A$1:$I$89,3,0)*VLOOKUP('Données projet'!$B$12,Paramètres!$A$1:$I$89,5,0)</f>
        <v>222.78742979999984</v>
      </c>
      <c r="CA71" s="14">
        <f t="shared" si="93"/>
        <v>54.720275164648925</v>
      </c>
      <c r="CB71" s="22">
        <f t="shared" si="64"/>
        <v>483.3259194800965</v>
      </c>
      <c r="CC71" s="62">
        <f t="shared" si="65"/>
        <v>748.77230360731528</v>
      </c>
      <c r="CD71" s="62">
        <f ca="1">AVERAGE(OFFSET($CC$3,0,0,'Données projet'!$E$12+1,1))-AVERAGE(OFFSET($H$3,0,0,'Données projet'!$E$12+1,1))</f>
        <v>454.9779384236806</v>
      </c>
      <c r="CE71" s="62">
        <f t="shared" si="94"/>
        <v>379.32753348721906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12.450772125995481</v>
      </c>
      <c r="CM71" s="23">
        <f>EXP(-LN(2)/2)*CM70+(1-EXP(-LN(2)/2))/(LN(2)/2)*CG71*CJ71*VLOOKUP('Données projet'!$B$12,Paramètres!$A$1:$I$89,3,0)*0.475*44/12</f>
        <v>6.8787189450628352</v>
      </c>
      <c r="CN71" s="24">
        <f t="shared" si="66"/>
        <v>19.329491071058317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7.9060000000000059</v>
      </c>
      <c r="CT71" s="13">
        <f>IF('Données projet'!$A$140&gt;35,CT70+CS71-DB70,IF(A71&lt;'Données projet'!$A$140,$CQ$205^A71,IF(A71='Données projet'!$A$140,'Données projet'!$B$140,CT70+CS71-DB70)))</f>
        <v>207.238</v>
      </c>
      <c r="CU71" s="18">
        <f>CT71*VLOOKUP('Données projet'!$B$13,Paramètres!$A$1:$I$89,3,0)*VLOOKUP('Données projet'!$B$13,Paramètres!$A$1:$I$89,5,0)</f>
        <v>161.64564000000001</v>
      </c>
      <c r="CV71" s="14">
        <f t="shared" si="95"/>
        <v>41.213472759906558</v>
      </c>
      <c r="CW71" s="22">
        <f t="shared" si="67"/>
        <v>353.31295472350394</v>
      </c>
      <c r="CX71" s="62">
        <f t="shared" si="68"/>
        <v>618.75933885072277</v>
      </c>
      <c r="CY71" s="62">
        <f ca="1">AVERAGE(OFFSET($CX$3,0,0,'Données projet'!$E$13+1,1))-AVERAGE(OFFSET($H$3,0,0,'Données projet'!$E$13+1,1))</f>
        <v>252.10592533338991</v>
      </c>
      <c r="CZ71" s="62">
        <f t="shared" si="96"/>
        <v>272.71831345325313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40.561240458361105</v>
      </c>
      <c r="DH71" s="23">
        <f>EXP(-LN(2)/2)*DH70+(1-EXP(-LN(2)/2))/(LN(2)/2)*DB71*DE71*VLOOKUP('Données projet'!$B$13,Paramètres!$A$1:$I$89,3,0)*0.475*44/12</f>
        <v>1.0568967304058616</v>
      </c>
      <c r="DI71" s="24">
        <f t="shared" si="69"/>
        <v>41.618137188766966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21.3764</v>
      </c>
      <c r="DO71" s="13">
        <f>IF('Données projet'!$A$166&gt;35,DO70+DN71-DW70,IF(A71&lt;'Données projet'!$A$166,$DL$205^A71,IF(A71='Données projet'!$A$166,'Données projet'!$B$166,DO70+DN71-DW70)))</f>
        <v>564.53320000000008</v>
      </c>
      <c r="DP71" s="18">
        <f>DO71*VLOOKUP('Données projet'!$B$14,Paramètres!$A$1:$I$89,3,0)*VLOOKUP('Données projet'!$B$14,Paramètres!$A$1:$I$89,5,0)</f>
        <v>337.59085360000006</v>
      </c>
      <c r="DQ71" s="14">
        <f t="shared" si="97"/>
        <v>79.001995714514592</v>
      </c>
      <c r="DR71" s="22">
        <f t="shared" si="70"/>
        <v>725.5658792227797</v>
      </c>
      <c r="DS71" s="62">
        <f t="shared" si="71"/>
        <v>991.01226334999853</v>
      </c>
      <c r="DT71" s="62">
        <f ca="1">AVERAGE(OFFSET($DS$3,0,0,'Données projet'!$E$14+1,1))-AVERAGE(OFFSET($H$3,0,0,'Données projet'!$E$14+1,1))</f>
        <v>423.0896575168394</v>
      </c>
      <c r="DU71" s="62">
        <f t="shared" si="98"/>
        <v>305.98537395014284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7.4445879203716681</v>
      </c>
      <c r="EB71" s="23">
        <f>EXP(-LN(2)/25)*EB70+(1-EXP(-LN(2)/25))/(LN(2)/25)*Calculateur!DW71*Calculateur!DY71*VLOOKUP('Données projet'!$B$14,Paramètres!$A$1:$I$89,3,0)*0.475*44/12</f>
        <v>45.898330304908384</v>
      </c>
      <c r="EC71" s="23">
        <f>EXP(-LN(2)/2)*EC70+(1-EXP(-LN(2)/2))/(LN(2)/2)*DW71*DZ71*VLOOKUP('Données projet'!$B$14,Paramètres!$A$1:$I$89,3,0)*0.475*44/12</f>
        <v>0.20720782514855213</v>
      </c>
      <c r="ED71" s="24">
        <f t="shared" si="72"/>
        <v>53.550126050428602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2.2737367544323206E-13</v>
      </c>
      <c r="EK71" s="18">
        <f>EJ71*VLOOKUP('Données projet'!$B$15,Paramètres!$A$1:$I$89,3,0)*VLOOKUP('Données projet'!$B$15,Paramètres!$A$1:$I$89,5,0)</f>
        <v>1.3596945791505279E-13</v>
      </c>
      <c r="EL71" s="14">
        <f t="shared" si="99"/>
        <v>1.9708830566360721E-12</v>
      </c>
      <c r="EM71" s="22">
        <f t="shared" si="73"/>
        <v>3.669434796176543E-12</v>
      </c>
      <c r="EN71" s="62">
        <f t="shared" si="74"/>
        <v>265.44638412722253</v>
      </c>
      <c r="EO71" s="62">
        <f ca="1">AVERAGE(OFFSET($EN$3,0,0,'Données projet'!$E$15+1,1))-AVERAGE(OFFSET($H$3,0,0,'Données projet'!$E$15+1,1))</f>
        <v>281.21543175875604</v>
      </c>
      <c r="EP71" s="62">
        <f t="shared" si="100"/>
        <v>366.68536296857428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81.497510867701919</v>
      </c>
      <c r="EW71" s="23">
        <f>EXP(-LN(2)/25)*EW70+(1-EXP(-LN(2)/25))/(LN(2)/25)*Calculateur!ER71*Calculateur!ET71*VLOOKUP('Données projet'!$B$15,Paramètres!$A$1:$I$89,3,0)*0.475*44/12</f>
        <v>25.897280180966405</v>
      </c>
      <c r="EX71" s="23">
        <f>EXP(-LN(2)/2)*EX70+(1-EXP(-LN(2)/2))/(LN(2)/2)*ER71*EU71*VLOOKUP('Données projet'!$B$15,Paramètres!$A$1:$I$89,3,0)*0.475*44/12</f>
        <v>0.32606541119829663</v>
      </c>
      <c r="EY71" s="24">
        <f t="shared" si="75"/>
        <v>107.72085645986662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13.032999999999998</v>
      </c>
      <c r="FE71" s="13">
        <f>IF('Données projet'!$A$218&gt;35,FE70+FD71-FM70,IF(A71&lt;'Données projet'!$A$218,$FB$205^A71,IF(A71='Données projet'!$A$218,'Données projet'!$B$218,FE70+FD71-FM70)))</f>
        <v>310.81900000000002</v>
      </c>
      <c r="FF71" s="18">
        <f>FE71*VLOOKUP('Données projet'!$B$16,Paramètres!$A$1:$I$89,3,0)*VLOOKUP('Données projet'!$B$16,Paramètres!$A$1:$I$89,5,0)</f>
        <v>173.74782100000002</v>
      </c>
      <c r="FG71" s="14">
        <f t="shared" si="101"/>
        <v>43.928342550803421</v>
      </c>
      <c r="FH71" s="22">
        <f t="shared" si="76"/>
        <v>379.11931818431594</v>
      </c>
      <c r="FI71" s="62">
        <f t="shared" si="77"/>
        <v>644.56570231153478</v>
      </c>
      <c r="FJ71" s="62">
        <f ca="1">AVERAGE(OFFSET($FI$3,0,0,'Données projet'!$E$16+1,1))-AVERAGE(OFFSET($H$3,0,0,'Données projet'!$E$16+1,1))</f>
        <v>280.9225643428145</v>
      </c>
      <c r="FK71" s="62">
        <f t="shared" si="102"/>
        <v>236.89414218053955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64.19793679577117</v>
      </c>
      <c r="FR71" s="23">
        <f>EXP(-LN(2)/25)*FR70+(1-EXP(-LN(2)/25))/(LN(2)/25)*Calculateur!FM71*Calculateur!FO71*VLOOKUP('Données projet'!$B$16,Paramètres!$A$1:$I$89,3,0)*0.475*44/12</f>
        <v>30.866887575685276</v>
      </c>
      <c r="FS71" s="23">
        <f>EXP(-LN(2)/2)*FS70+(1-EXP(-LN(2)/2))/(LN(2)/2)*FM71*FP71*VLOOKUP('Données projet'!$B$16,Paramètres!$A$1:$I$89,3,0)*0.475*44/12</f>
        <v>8.5832147975775895E-3</v>
      </c>
      <c r="FT71" s="24">
        <f t="shared" si="78"/>
        <v>95.073407586254021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6.1779999999999973</v>
      </c>
      <c r="FZ71" s="13">
        <f>IF('Données projet'!$A$244&gt;35,FZ70+FY71-GH70,IF(A71&lt;'Données projet'!$A$244,$FW$205^A71,IF(A71='Données projet'!$A$244,'Données projet'!$B$244,FZ70+FY71-GH70)))</f>
        <v>315.09399999999943</v>
      </c>
      <c r="GA71" s="18">
        <f>FZ71*VLOOKUP('Données projet'!$B$17,Paramètres!$A$1:$I$89,3,0)*VLOOKUP('Données projet'!$B$17,Paramètres!$A$1:$I$89,5,0)</f>
        <v>139.27154799999977</v>
      </c>
      <c r="GB71" s="14">
        <f t="shared" si="103"/>
        <v>36.130076737593185</v>
      </c>
      <c r="GC71" s="22">
        <f t="shared" si="79"/>
        <v>305.49116308464107</v>
      </c>
      <c r="GD71" s="62">
        <f t="shared" si="80"/>
        <v>570.93754721185996</v>
      </c>
      <c r="GE71" s="62">
        <f ca="1">AVERAGE(OFFSET($GD$3,0,0,'Données projet'!$E$17+1,1))-AVERAGE(OFFSET($H$3,0,0,'Données projet'!$E$17+1,1))</f>
        <v>325.67421864225201</v>
      </c>
      <c r="GF71" s="62">
        <f t="shared" si="104"/>
        <v>542.01920418736745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45.698788977765552</v>
      </c>
      <c r="GM71" s="23">
        <f>EXP(-LN(2)/25)*GM70+(1-EXP(-LN(2)/25))/(LN(2)/25)*Calculateur!GH71*Calculateur!GJ71*VLOOKUP('Données projet'!$B$17,Paramètres!$A$1:$I$89,3,0)*0.475*44/12</f>
        <v>64.835625985009756</v>
      </c>
      <c r="GN71" s="23">
        <f>EXP(-LN(2)/2)*GN70+(1-EXP(-LN(2)/2))/(LN(2)/2)*GH71*GK71*VLOOKUP('Données projet'!$B$17,Paramètres!$A$1:$I$89,3,0)*0.475*44/12</f>
        <v>8.7422621460518136E-3</v>
      </c>
      <c r="GO71" s="23">
        <f t="shared" si="81"/>
        <v>110.54315722492137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2.8100000000000023</v>
      </c>
      <c r="GU71" s="13">
        <f>IF('Données projet'!$A$270&gt;35,GU70+GT71-HC70,IF(A71&lt;'Données projet'!$A$270,$GR$205^A71,IF(A71='Données projet'!$A$270,'Données projet'!$B$270,GU70+GT71-HC70)))</f>
        <v>76.22</v>
      </c>
      <c r="GV71" s="18">
        <f>GU71*VLOOKUP('Données projet'!$B$18,Paramètres!$A$1:$I$89,3,0)*VLOOKUP('Données projet'!$B$18,Paramètres!$A$1:$I$89,5,0)</f>
        <v>77.287080000000003</v>
      </c>
      <c r="GW71" s="14">
        <f t="shared" si="105"/>
        <v>21.472535093929235</v>
      </c>
      <c r="GX71" s="22">
        <f t="shared" si="82"/>
        <v>172.00632962192674</v>
      </c>
      <c r="GY71" s="62">
        <f t="shared" si="83"/>
        <v>437.45271374914557</v>
      </c>
      <c r="GZ71" s="62">
        <f ca="1">AVERAGE(OFFSET($GY$3,0,0,'Données projet'!$E$18+1,1))-AVERAGE(OFFSET($H$3,0,0,'Données projet'!$E$18+1,1))</f>
        <v>220.89224520315713</v>
      </c>
      <c r="HA71" s="62">
        <f t="shared" si="106"/>
        <v>141.82763623159096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1.2759999999999998</v>
      </c>
      <c r="N72" s="14">
        <f>IF('Données projet'!$A$36&gt;35,N71+M72-V71,IF(A72&lt;'Données projet'!$A$36,$K$205^A72,IF(A72='Données projet'!$A$36,'Données projet'!$B$36,N71+M72-V71)))</f>
        <v>34.553999999999974</v>
      </c>
      <c r="O72" s="14">
        <f>N72*VLOOKUP('Données projet'!$B$9,Paramètres!$A$1:$I$89,3,0)*VLOOKUP('Données projet'!$B$9,Paramètres!$A$1:$I$89,5,0)</f>
        <v>33.420628799999974</v>
      </c>
      <c r="P72" s="14">
        <f t="shared" si="87"/>
        <v>10.236968813865751</v>
      </c>
      <c r="Q72" s="22">
        <f t="shared" si="54"/>
        <v>76.036982510816145</v>
      </c>
      <c r="R72" s="62">
        <f t="shared" si="55"/>
        <v>341.96714286088269</v>
      </c>
      <c r="S72" s="62">
        <f ca="1">AVERAGE(OFFSET($R$3,0,0,'Données projet'!$E$9+1,1))-AVERAGE(OFFSET($H$3,0,0,'Données projet'!$E$9+1,1))</f>
        <v>84.959354125980269</v>
      </c>
      <c r="T72" s="62">
        <f t="shared" si="88"/>
        <v>89.658970210276806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2.5100204685800378</v>
      </c>
      <c r="AB72" s="23">
        <f>EXP(-LN(2)/2)*AB71+(1-EXP(-LN(2)/2))/(LN(2)/2)*V72*Y72*VLOOKUP('Données projet'!$B$9,Paramètres!$A$1:$I$89,3,0)*0.475*44/12</f>
        <v>1.978924797170622E-3</v>
      </c>
      <c r="AC72" s="24">
        <f t="shared" si="57"/>
        <v>2.5119993933772085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9.6040000000000028</v>
      </c>
      <c r="AI72" s="14">
        <f>IF('Données projet'!$A$62&gt;35,AI71+AH72-AQ71,IF(A72&lt;'Données projet'!$A$62,$AF$205^A72,IF(A72='Données projet'!$A$62,'Données projet'!$B$62,AI71+AH72-AQ71)))</f>
        <v>253.52600000000012</v>
      </c>
      <c r="AJ72" s="14">
        <f>AI72*VLOOKUP('Données projet'!$B$10,Paramètres!$A$1:$I$89,3,0)*VLOOKUP('Données projet'!$B$10,Paramètres!$A$1:$I$89,5,0)</f>
        <v>241.25534160000012</v>
      </c>
      <c r="AK72" s="14">
        <f t="shared" si="89"/>
        <v>58.709541280556962</v>
      </c>
      <c r="AL72" s="22">
        <f t="shared" si="58"/>
        <v>522.43883768363685</v>
      </c>
      <c r="AM72" s="62">
        <f t="shared" si="59"/>
        <v>788.36899803370341</v>
      </c>
      <c r="AN72" s="62">
        <f ca="1">AVERAGE(OFFSET($AM$3,0,0,'Données projet'!$E$10+1,1))-AVERAGE(OFFSET($H$3,0,0,'Données projet'!$E$10+1,1))</f>
        <v>592.76231355549089</v>
      </c>
      <c r="AO72" s="62">
        <f t="shared" si="90"/>
        <v>200.66895551079014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2.7104160469689997</v>
      </c>
      <c r="AV72" s="23">
        <f>EXP(-LN(2)/25)*AV71+(1-EXP(-LN(2)/25))/(LN(2)/25)*Calculateur!AQ72*Calculateur!AS72*VLOOKUP('Données projet'!$B$10,Paramètres!$A$1:$I$89,3,0)*0.475*44/12</f>
        <v>14.130933407615762</v>
      </c>
      <c r="AW72" s="23">
        <f>EXP(-LN(2)/2)*AW71+(1-EXP(-LN(2)/2))/(LN(2)/2)*AQ72*AT72*VLOOKUP('Données projet'!$B$10,Paramètres!$A$1:$I$89,3,0)*0.475*44/12</f>
        <v>0.5683064412912664</v>
      </c>
      <c r="AX72" s="23">
        <f t="shared" si="60"/>
        <v>17.409655895876028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4.444</v>
      </c>
      <c r="BD72" s="13">
        <f>IF('Données projet'!$A$88&gt;35,BD71+BC72-BL71,IF(A72&lt;'Données projet'!$A$88,$BA$205^A72,IF(A72='Données projet'!$A$88,'Données projet'!$B$88,BD71+BC72-BL71)))</f>
        <v>122.01600000000008</v>
      </c>
      <c r="BE72" s="14">
        <f>BD72*VLOOKUP('Données projet'!$B$11,Paramètres!$A$1:$I$89,3,0)*VLOOKUP('Données projet'!$B$11,Paramètres!$A$1:$I$89,5,0)</f>
        <v>110.40007680000006</v>
      </c>
      <c r="BF72" s="14">
        <f t="shared" si="91"/>
        <v>29.425225861145833</v>
      </c>
      <c r="BG72" s="22">
        <f t="shared" si="61"/>
        <v>243.5290688014957</v>
      </c>
      <c r="BH72" s="62">
        <f t="shared" si="62"/>
        <v>509.45922915156223</v>
      </c>
      <c r="BI72" s="62">
        <f ca="1">AVERAGE(OFFSET($BH$3,0,0,'Données projet'!$E$11+1,1))-AVERAGE(OFFSET($H$3,0,0,'Données projet'!$E$11+1,1))</f>
        <v>316.71836722354374</v>
      </c>
      <c r="BJ72" s="62">
        <f t="shared" si="92"/>
        <v>164.34067012996618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4.7246581246733808</v>
      </c>
      <c r="BQ72" s="23">
        <f>EXP(-LN(2)/25)*BQ71+(1-EXP(-LN(2)/25))/(LN(2)/25)*Calculateur!BL72*Calculateur!BN72*VLOOKUP('Données projet'!$B$11,Paramètres!$A$1:$I$89,3,0)*0.475*44/12</f>
        <v>3.8669126863512546</v>
      </c>
      <c r="BR72" s="23">
        <f>EXP(-LN(2)/2)*BR71+(1-EXP(-LN(2)/2))/(LN(2)/2)*BL72*BO72*VLOOKUP('Données projet'!$B$11,Paramètres!$A$1:$I$89,3,0)*0.475*44/12</f>
        <v>3.671563342364708E-2</v>
      </c>
      <c r="BS72" s="24">
        <f t="shared" si="63"/>
        <v>8.6282864444482819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4.8845000000000001</v>
      </c>
      <c r="BY72" s="13">
        <f>IF('Données projet'!$A$114&gt;35,BY71+BX72-CG71,IF(A72&lt;'Données projet'!$A$114,$BV$205^A72,IF(A72='Données projet'!$A$114,'Données projet'!$B$114,BY71+BX72-CG71)))</f>
        <v>200.51799999999986</v>
      </c>
      <c r="BZ72" s="14">
        <f>BY72*VLOOKUP('Données projet'!$B$12,Paramètres!$A$1:$I$89,3,0)*VLOOKUP('Données projet'!$B$12,Paramètres!$A$1:$I$89,5,0)</f>
        <v>228.34989839999983</v>
      </c>
      <c r="CA72" s="14">
        <f t="shared" si="93"/>
        <v>55.925741609599406</v>
      </c>
      <c r="CB72" s="22">
        <f t="shared" si="64"/>
        <v>495.11340635005195</v>
      </c>
      <c r="CC72" s="62">
        <f t="shared" si="65"/>
        <v>761.0435667001185</v>
      </c>
      <c r="CD72" s="62">
        <f ca="1">AVERAGE(OFFSET($CC$3,0,0,'Données projet'!$E$12+1,1))-AVERAGE(OFFSET($H$3,0,0,'Données projet'!$E$12+1,1))</f>
        <v>454.9779384236806</v>
      </c>
      <c r="CE72" s="62">
        <f t="shared" si="94"/>
        <v>379.32753348721906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12.110305107452485</v>
      </c>
      <c r="CM72" s="23">
        <f>EXP(-LN(2)/2)*CM71+(1-EXP(-LN(2)/2))/(LN(2)/2)*CG72*CJ72*VLOOKUP('Données projet'!$B$12,Paramètres!$A$1:$I$89,3,0)*0.475*44/12</f>
        <v>4.8639888119303052</v>
      </c>
      <c r="CN72" s="24">
        <f t="shared" si="66"/>
        <v>16.974293919382788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7.9060000000000059</v>
      </c>
      <c r="CT72" s="13">
        <f>IF('Données projet'!$A$140&gt;35,CT71+CS72-DB71,IF(A72&lt;'Données projet'!$A$140,$CQ$205^A72,IF(A72='Données projet'!$A$140,'Données projet'!$B$140,CT71+CS72-DB71)))</f>
        <v>215.14400000000001</v>
      </c>
      <c r="CU72" s="18">
        <f>CT72*VLOOKUP('Données projet'!$B$13,Paramètres!$A$1:$I$89,3,0)*VLOOKUP('Données projet'!$B$13,Paramètres!$A$1:$I$89,5,0)</f>
        <v>167.81232</v>
      </c>
      <c r="CV72" s="14">
        <f t="shared" si="95"/>
        <v>42.599687305042124</v>
      </c>
      <c r="CW72" s="22">
        <f t="shared" si="67"/>
        <v>366.46757938961508</v>
      </c>
      <c r="CX72" s="62">
        <f t="shared" si="68"/>
        <v>632.39773973968158</v>
      </c>
      <c r="CY72" s="62">
        <f ca="1">AVERAGE(OFFSET($CX$3,0,0,'Données projet'!$E$13+1,1))-AVERAGE(OFFSET($H$3,0,0,'Données projet'!$E$13+1,1))</f>
        <v>252.10592533338991</v>
      </c>
      <c r="CZ72" s="62">
        <f t="shared" si="96"/>
        <v>272.71831345325313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39.452091205004287</v>
      </c>
      <c r="DH72" s="23">
        <f>EXP(-LN(2)/2)*DH71+(1-EXP(-LN(2)/2))/(LN(2)/2)*DB72*DE72*VLOOKUP('Données projet'!$B$13,Paramètres!$A$1:$I$89,3,0)*0.475*44/12</f>
        <v>0.74733884508387516</v>
      </c>
      <c r="DI72" s="24">
        <f t="shared" si="69"/>
        <v>40.199430050088161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21.3764</v>
      </c>
      <c r="DO72" s="13">
        <f>IF('Données projet'!$A$166&gt;35,DO71+DN72-DW71,IF(A72&lt;'Données projet'!$A$166,$DL$205^A72,IF(A72='Données projet'!$A$166,'Données projet'!$B$166,DO71+DN72-DW71)))</f>
        <v>585.90960000000007</v>
      </c>
      <c r="DP72" s="18">
        <f>DO72*VLOOKUP('Données projet'!$B$14,Paramètres!$A$1:$I$89,3,0)*VLOOKUP('Données projet'!$B$14,Paramètres!$A$1:$I$89,5,0)</f>
        <v>350.37394080000007</v>
      </c>
      <c r="DQ72" s="14">
        <f t="shared" si="97"/>
        <v>81.639504746412982</v>
      </c>
      <c r="DR72" s="22">
        <f t="shared" si="70"/>
        <v>752.42341766000266</v>
      </c>
      <c r="DS72" s="62">
        <f t="shared" si="71"/>
        <v>1018.3535780100692</v>
      </c>
      <c r="DT72" s="62">
        <f ca="1">AVERAGE(OFFSET($DS$3,0,0,'Données projet'!$E$14+1,1))-AVERAGE(OFFSET($H$3,0,0,'Données projet'!$E$14+1,1))</f>
        <v>423.0896575168394</v>
      </c>
      <c r="DU72" s="62">
        <f t="shared" si="98"/>
        <v>305.98537395014284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7.2986040920034494</v>
      </c>
      <c r="EB72" s="23">
        <f>EXP(-LN(2)/25)*EB71+(1-EXP(-LN(2)/25))/(LN(2)/25)*Calculateur!DW72*Calculateur!DY72*VLOOKUP('Données projet'!$B$14,Paramètres!$A$1:$I$89,3,0)*0.475*44/12</f>
        <v>44.643238049032377</v>
      </c>
      <c r="EC72" s="23">
        <f>EXP(-LN(2)/2)*EC71+(1-EXP(-LN(2)/2))/(LN(2)/2)*DW72*DZ72*VLOOKUP('Données projet'!$B$14,Paramètres!$A$1:$I$89,3,0)*0.475*44/12</f>
        <v>0.14651805827745765</v>
      </c>
      <c r="ED72" s="24">
        <f t="shared" si="72"/>
        <v>52.088360199313286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2.2737367544323206E-13</v>
      </c>
      <c r="EK72" s="18">
        <f>EJ72*VLOOKUP('Données projet'!$B$15,Paramètres!$A$1:$I$89,3,0)*VLOOKUP('Données projet'!$B$15,Paramètres!$A$1:$I$89,5,0)</f>
        <v>1.3596945791505279E-13</v>
      </c>
      <c r="EL72" s="14">
        <f t="shared" si="99"/>
        <v>1.9708830566360721E-12</v>
      </c>
      <c r="EM72" s="22">
        <f t="shared" si="73"/>
        <v>3.669434796176543E-12</v>
      </c>
      <c r="EN72" s="62">
        <f t="shared" si="74"/>
        <v>265.93016035007025</v>
      </c>
      <c r="EO72" s="62">
        <f ca="1">AVERAGE(OFFSET($EN$3,0,0,'Données projet'!$E$15+1,1))-AVERAGE(OFFSET($H$3,0,0,'Données projet'!$E$15+1,1))</f>
        <v>281.21543175875604</v>
      </c>
      <c r="EP72" s="62">
        <f t="shared" si="100"/>
        <v>366.68536296857428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79.899394388159607</v>
      </c>
      <c r="EW72" s="23">
        <f>EXP(-LN(2)/25)*EW71+(1-EXP(-LN(2)/25))/(LN(2)/25)*Calculateur!ER72*Calculateur!ET72*VLOOKUP('Données projet'!$B$15,Paramètres!$A$1:$I$89,3,0)*0.475*44/12</f>
        <v>25.189117692539103</v>
      </c>
      <c r="EX72" s="23">
        <f>EXP(-LN(2)/2)*EX71+(1-EXP(-LN(2)/2))/(LN(2)/2)*ER72*EU72*VLOOKUP('Données projet'!$B$15,Paramètres!$A$1:$I$89,3,0)*0.475*44/12</f>
        <v>0.23056306336869559</v>
      </c>
      <c r="EY72" s="24">
        <f t="shared" si="75"/>
        <v>105.3190751440674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13.032999999999998</v>
      </c>
      <c r="FE72" s="13">
        <f>IF('Données projet'!$A$218&gt;35,FE71+FD72-FM71,IF(A72&lt;'Données projet'!$A$218,$FB$205^A72,IF(A72='Données projet'!$A$218,'Données projet'!$B$218,FE71+FD72-FM71)))</f>
        <v>323.85200000000003</v>
      </c>
      <c r="FF72" s="18">
        <f>FE72*VLOOKUP('Données projet'!$B$16,Paramètres!$A$1:$I$89,3,0)*VLOOKUP('Données projet'!$B$16,Paramètres!$A$1:$I$89,5,0)</f>
        <v>181.03326800000002</v>
      </c>
      <c r="FG72" s="14">
        <f t="shared" si="101"/>
        <v>45.551992621657206</v>
      </c>
      <c r="FH72" s="22">
        <f t="shared" si="76"/>
        <v>394.63599558271966</v>
      </c>
      <c r="FI72" s="62">
        <f t="shared" si="77"/>
        <v>660.56615593278616</v>
      </c>
      <c r="FJ72" s="62">
        <f ca="1">AVERAGE(OFFSET($FI$3,0,0,'Données projet'!$E$16+1,1))-AVERAGE(OFFSET($H$3,0,0,'Données projet'!$E$16+1,1))</f>
        <v>280.9225643428145</v>
      </c>
      <c r="FK72" s="62">
        <f t="shared" si="102"/>
        <v>236.89414218053955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62.93905441208112</v>
      </c>
      <c r="FR72" s="23">
        <f>EXP(-LN(2)/25)*FR71+(1-EXP(-LN(2)/25))/(LN(2)/25)*Calculateur!FM72*Calculateur!FO72*VLOOKUP('Données projet'!$B$16,Paramètres!$A$1:$I$89,3,0)*0.475*44/12</f>
        <v>30.022830911709093</v>
      </c>
      <c r="FS72" s="23">
        <f>EXP(-LN(2)/2)*FS71+(1-EXP(-LN(2)/2))/(LN(2)/2)*FM72*FP72*VLOOKUP('Données projet'!$B$16,Paramètres!$A$1:$I$89,3,0)*0.475*44/12</f>
        <v>6.0692493877478335E-3</v>
      </c>
      <c r="FT72" s="24">
        <f t="shared" si="78"/>
        <v>92.967954573177963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6.1779999999999973</v>
      </c>
      <c r="FZ72" s="13">
        <f>IF('Données projet'!$A$244&gt;35,FZ71+FY72-GH71,IF(A72&lt;'Données projet'!$A$244,$FW$205^A72,IF(A72='Données projet'!$A$244,'Données projet'!$B$244,FZ71+FY72-GH71)))</f>
        <v>321.27199999999942</v>
      </c>
      <c r="GA72" s="18">
        <f>FZ72*VLOOKUP('Données projet'!$B$17,Paramètres!$A$1:$I$89,3,0)*VLOOKUP('Données projet'!$B$17,Paramètres!$A$1:$I$89,5,0)</f>
        <v>142.00222399999976</v>
      </c>
      <c r="GB72" s="14">
        <f t="shared" si="103"/>
        <v>36.755307129016856</v>
      </c>
      <c r="GC72" s="22">
        <f t="shared" si="79"/>
        <v>311.33603338303726</v>
      </c>
      <c r="GD72" s="62">
        <f t="shared" si="80"/>
        <v>577.26619373310382</v>
      </c>
      <c r="GE72" s="62">
        <f ca="1">AVERAGE(OFFSET($GD$3,0,0,'Données projet'!$E$17+1,1))-AVERAGE(OFFSET($H$3,0,0,'Données projet'!$E$17+1,1))</f>
        <v>325.67421864225201</v>
      </c>
      <c r="GF72" s="62">
        <f t="shared" si="104"/>
        <v>542.01920418736745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44.802663599420569</v>
      </c>
      <c r="GM72" s="23">
        <f>EXP(-LN(2)/25)*GM71+(1-EXP(-LN(2)/25))/(LN(2)/25)*Calculateur!GH72*Calculateur!GJ72*VLOOKUP('Données projet'!$B$17,Paramètres!$A$1:$I$89,3,0)*0.475*44/12</f>
        <v>63.06269238289228</v>
      </c>
      <c r="GN72" s="23">
        <f>EXP(-LN(2)/2)*GN71+(1-EXP(-LN(2)/2))/(LN(2)/2)*GH72*GK72*VLOOKUP('Données projet'!$B$17,Paramètres!$A$1:$I$89,3,0)*0.475*44/12</f>
        <v>6.1817128463836973E-3</v>
      </c>
      <c r="GO72" s="23">
        <f t="shared" si="81"/>
        <v>107.87153769515923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2.8100000000000023</v>
      </c>
      <c r="GU72" s="13">
        <f>IF('Données projet'!$A$270&gt;35,GU71+GT72-HC71,IF(A72&lt;'Données projet'!$A$270,$GR$205^A72,IF(A72='Données projet'!$A$270,'Données projet'!$B$270,GU71+GT72-HC71)))</f>
        <v>79.03</v>
      </c>
      <c r="GV72" s="18">
        <f>GU72*VLOOKUP('Données projet'!$B$18,Paramètres!$A$1:$I$89,3,0)*VLOOKUP('Données projet'!$B$18,Paramètres!$A$1:$I$89,5,0)</f>
        <v>80.136420000000001</v>
      </c>
      <c r="GW72" s="14">
        <f t="shared" si="105"/>
        <v>22.170536219592012</v>
      </c>
      <c r="GX72" s="22">
        <f t="shared" si="82"/>
        <v>178.18461541578941</v>
      </c>
      <c r="GY72" s="62">
        <f t="shared" si="83"/>
        <v>444.11477576585594</v>
      </c>
      <c r="GZ72" s="62">
        <f ca="1">AVERAGE(OFFSET($GY$3,0,0,'Données projet'!$E$18+1,1))-AVERAGE(OFFSET($H$3,0,0,'Données projet'!$E$18+1,1))</f>
        <v>220.89224520315713</v>
      </c>
      <c r="HA72" s="62">
        <f t="shared" si="106"/>
        <v>141.82763623159096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35.83</v>
      </c>
      <c r="L73" s="13">
        <f>VLOOKUP(A73,'Données projet'!$A$35:$I$55,9,0)</f>
        <v>1.2759999999999998</v>
      </c>
      <c r="M73" s="13">
        <f t="array" ref="M73">INDEX(L:L,MIN(IF(ISNUMBER(L73:L269),ROW(L73:L269),"")))</f>
        <v>1.2759999999999998</v>
      </c>
      <c r="N73" s="14">
        <f>IF('Données projet'!$A$36&gt;35,N72+M73-V72,IF(A73&lt;'Données projet'!$A$36,$K$205^A73,IF(A73='Données projet'!$A$36,'Données projet'!$B$36,N72+M73-V72)))</f>
        <v>35.82999999999997</v>
      </c>
      <c r="O73" s="14">
        <f>N73*VLOOKUP('Données projet'!$B$9,Paramètres!$A$1:$I$89,3,0)*VLOOKUP('Données projet'!$B$9,Paramètres!$A$1:$I$89,5,0)</f>
        <v>34.65477599999997</v>
      </c>
      <c r="P73" s="14">
        <f t="shared" si="87"/>
        <v>10.570285959815612</v>
      </c>
      <c r="Q73" s="22">
        <f t="shared" si="54"/>
        <v>78.766982913345473</v>
      </c>
      <c r="R73" s="62">
        <f t="shared" si="55"/>
        <v>345.17252705035497</v>
      </c>
      <c r="S73" s="62">
        <f ca="1">AVERAGE(OFFSET($R$3,0,0,'Données projet'!$E$9+1,1))-AVERAGE(OFFSET($H$3,0,0,'Données projet'!$E$9+1,1))</f>
        <v>84.959354125980269</v>
      </c>
      <c r="T73" s="62">
        <f t="shared" si="88"/>
        <v>89.658970210276806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35.83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0.34400000000000003</v>
      </c>
      <c r="Y73" s="17">
        <f>IF(ISNA(VLOOKUP(A73,'Données projet'!$A$35:$I$55,7,0)),0%,VLOOKUP(A73,'Données projet'!$A$35:$I$55,7,0))</f>
        <v>0.1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15.568075693998999</v>
      </c>
      <c r="AB73" s="23">
        <f>EXP(-LN(2)/2)*AB72+(1-EXP(-LN(2)/2))/(LN(2)/2)*V73*Y73*VLOOKUP('Données projet'!$B$9,Paramètres!$A$1:$I$89,3,0)*0.475*44/12</f>
        <v>3.2711706987056237</v>
      </c>
      <c r="AC73" s="24">
        <f t="shared" si="57"/>
        <v>18.839246392704624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9.6040000000000028</v>
      </c>
      <c r="AI73" s="14">
        <f>IF('Données projet'!$A$62&gt;35,AI72+AH73-AQ72,IF(A73&lt;'Données projet'!$A$62,$AF$205^A73,IF(A73='Données projet'!$A$62,'Données projet'!$B$62,AI72+AH73-AQ72)))</f>
        <v>263.13000000000011</v>
      </c>
      <c r="AJ73" s="14">
        <f>AI73*VLOOKUP('Données projet'!$B$10,Paramètres!$A$1:$I$89,3,0)*VLOOKUP('Données projet'!$B$10,Paramètres!$A$1:$I$89,5,0)</f>
        <v>250.39450800000009</v>
      </c>
      <c r="AK73" s="14">
        <f t="shared" si="89"/>
        <v>60.670411048916186</v>
      </c>
      <c r="AL73" s="22">
        <f t="shared" si="58"/>
        <v>541.77140067686253</v>
      </c>
      <c r="AM73" s="62">
        <f t="shared" si="59"/>
        <v>808.17694481387207</v>
      </c>
      <c r="AN73" s="62">
        <f ca="1">AVERAGE(OFFSET($AM$3,0,0,'Données projet'!$E$10+1,1))-AVERAGE(OFFSET($H$3,0,0,'Données projet'!$E$10+1,1))</f>
        <v>592.76231355549089</v>
      </c>
      <c r="AO73" s="62">
        <f t="shared" si="90"/>
        <v>200.66895551079014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2.6572664414784875</v>
      </c>
      <c r="AV73" s="23">
        <f>EXP(-LN(2)/25)*AV72+(1-EXP(-LN(2)/25))/(LN(2)/25)*Calculateur!AQ73*Calculateur!AS73*VLOOKUP('Données projet'!$B$10,Paramètres!$A$1:$I$89,3,0)*0.475*44/12</f>
        <v>13.744522290471018</v>
      </c>
      <c r="AW73" s="23">
        <f>EXP(-LN(2)/2)*AW72+(1-EXP(-LN(2)/2))/(LN(2)/2)*AQ73*AT73*VLOOKUP('Données projet'!$B$10,Paramètres!$A$1:$I$89,3,0)*0.475*44/12</f>
        <v>0.40185333842904908</v>
      </c>
      <c r="AX73" s="23">
        <f t="shared" si="60"/>
        <v>16.803642070378555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126.46</v>
      </c>
      <c r="BB73" s="13">
        <f>VLOOKUP(A73,'Données projet'!$A$87:$I$107,9,0)</f>
        <v>4.444</v>
      </c>
      <c r="BC73" s="13">
        <f t="array" ref="BC73">INDEX(BB:BB,MIN(IF(ISNUMBER(BB73:BB269),ROW(BB73:BB269),"")))</f>
        <v>4.444</v>
      </c>
      <c r="BD73" s="13">
        <f>IF('Données projet'!$A$88&gt;35,BD72+BC73-BL72,IF(A73&lt;'Données projet'!$A$88,$BA$205^A73,IF(A73='Données projet'!$A$88,'Données projet'!$B$88,BD72+BC73-BL72)))</f>
        <v>126.46000000000008</v>
      </c>
      <c r="BE73" s="14">
        <f>BD73*VLOOKUP('Données projet'!$B$11,Paramètres!$A$1:$I$89,3,0)*VLOOKUP('Données projet'!$B$11,Paramètres!$A$1:$I$89,5,0)</f>
        <v>114.42100800000007</v>
      </c>
      <c r="BF73" s="14">
        <f t="shared" si="91"/>
        <v>30.370207746482222</v>
      </c>
      <c r="BG73" s="22">
        <f t="shared" si="61"/>
        <v>252.17803409179001</v>
      </c>
      <c r="BH73" s="62">
        <f t="shared" si="62"/>
        <v>518.58357822879952</v>
      </c>
      <c r="BI73" s="62">
        <f ca="1">AVERAGE(OFFSET($BH$3,0,0,'Données projet'!$E$11+1,1))-AVERAGE(OFFSET($H$3,0,0,'Données projet'!$E$11+1,1))</f>
        <v>316.71836722354374</v>
      </c>
      <c r="BJ73" s="62">
        <f t="shared" si="92"/>
        <v>164.34067012996618</v>
      </c>
      <c r="BK73" s="16">
        <f>IF(ISNA(VLOOKUP(A73,'Données projet'!$A$87:$I$107,3,0)),0,VLOOKUP(A73,'Données projet'!$A$87:$I$107,3,0))</f>
        <v>8</v>
      </c>
      <c r="BL73" s="16">
        <f>IF(ISNA(VLOOKUP(A73,'Données projet'!$A$87:$I$107,4,0)),0,VLOOKUP(A73,'Données projet'!$A$87:$I$107,4,0))</f>
        <v>13.75</v>
      </c>
      <c r="BM73" s="17">
        <f>IF(ISNA(VLOOKUP(A73,'Données projet'!$A$87:$I$107,5,0)),0%,VLOOKUP(A73,'Données projet'!$A$87:$I$107,5,0)*VLOOKUP('Données projet'!$B$11,Paramètres!$A$1:$I$89,7,0))</f>
        <v>0.17200000000000001</v>
      </c>
      <c r="BN73" s="17">
        <f>IF(ISNA(VLOOKUP(A73,'Données projet'!$A$87:$I$107,6,0)),0%,VLOOKUP(A73,'Données projet'!$A$87:$I$107,6,0)*VLOOKUP('Données projet'!$B$11,Paramètres!$A$1:$I$89,7,0))</f>
        <v>0.129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6.9975534631897851</v>
      </c>
      <c r="BQ73" s="23">
        <f>EXP(-LN(2)/25)*BQ72+(1-EXP(-LN(2)/25))/(LN(2)/25)*Calculateur!BL73*Calculateur!BN73*VLOOKUP('Données projet'!$B$11,Paramètres!$A$1:$I$89,3,0)*0.475*44/12</f>
        <v>5.5283434744213444</v>
      </c>
      <c r="BR73" s="23">
        <f>EXP(-LN(2)/2)*BR72+(1-EXP(-LN(2)/2))/(LN(2)/2)*BL73*BO73*VLOOKUP('Données projet'!$B$11,Paramètres!$A$1:$I$89,3,0)*0.475*44/12</f>
        <v>2.5961873369420307E-2</v>
      </c>
      <c r="BS73" s="24">
        <f t="shared" si="63"/>
        <v>12.55185881098055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4.8845000000000001</v>
      </c>
      <c r="BY73" s="13">
        <f>IF('Données projet'!$A$114&gt;35,BY72+BX73-CG72,IF(A73&lt;'Données projet'!$A$114,$BV$205^A73,IF(A73='Données projet'!$A$114,'Données projet'!$B$114,BY72+BX73-CG72)))</f>
        <v>205.40249999999986</v>
      </c>
      <c r="BZ73" s="14">
        <f>BY73*VLOOKUP('Données projet'!$B$12,Paramètres!$A$1:$I$89,3,0)*VLOOKUP('Données projet'!$B$12,Paramètres!$A$1:$I$89,5,0)</f>
        <v>233.91236699999985</v>
      </c>
      <c r="CA73" s="14">
        <f t="shared" si="93"/>
        <v>57.127794516964599</v>
      </c>
      <c r="CB73" s="22">
        <f t="shared" si="64"/>
        <v>506.89494797537969</v>
      </c>
      <c r="CC73" s="62">
        <f t="shared" si="65"/>
        <v>773.30049211238918</v>
      </c>
      <c r="CD73" s="62">
        <f ca="1">AVERAGE(OFFSET($CC$3,0,0,'Données projet'!$E$12+1,1))-AVERAGE(OFFSET($H$3,0,0,'Données projet'!$E$12+1,1))</f>
        <v>454.9779384236806</v>
      </c>
      <c r="CE73" s="62">
        <f t="shared" si="94"/>
        <v>379.32753348721906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11.77914817743593</v>
      </c>
      <c r="CM73" s="23">
        <f>EXP(-LN(2)/2)*CM72+(1-EXP(-LN(2)/2))/(LN(2)/2)*CG73*CJ73*VLOOKUP('Données projet'!$B$12,Paramètres!$A$1:$I$89,3,0)*0.475*44/12</f>
        <v>3.4393594725314176</v>
      </c>
      <c r="CN73" s="24">
        <f t="shared" si="66"/>
        <v>15.218507649967348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223.05</v>
      </c>
      <c r="CR73" s="13">
        <f>VLOOKUP(A73,'Données projet'!$A$139:$I$159,9,0)</f>
        <v>7.9060000000000059</v>
      </c>
      <c r="CS73" s="13">
        <f t="array" ref="CS73">INDEX(CR:CR,MIN(IF(ISNUMBER(CR73:CR269),ROW(CR73:CR269),"")))</f>
        <v>7.9060000000000059</v>
      </c>
      <c r="CT73" s="13">
        <f>IF('Données projet'!$A$140&gt;35,CT72+CS73-DB72,IF(A73&lt;'Données projet'!$A$140,$CQ$205^A73,IF(A73='Données projet'!$A$140,'Données projet'!$B$140,CT72+CS73-DB72)))</f>
        <v>223.05</v>
      </c>
      <c r="CU73" s="18">
        <f>CT73*VLOOKUP('Données projet'!$B$13,Paramètres!$A$1:$I$89,3,0)*VLOOKUP('Données projet'!$B$13,Paramètres!$A$1:$I$89,5,0)</f>
        <v>173.97900000000001</v>
      </c>
      <c r="CV73" s="14">
        <f t="shared" si="95"/>
        <v>43.979983702961533</v>
      </c>
      <c r="CW73" s="22">
        <f t="shared" si="67"/>
        <v>379.61189661599133</v>
      </c>
      <c r="CX73" s="62">
        <f t="shared" si="68"/>
        <v>646.01744075300076</v>
      </c>
      <c r="CY73" s="62">
        <f ca="1">AVERAGE(OFFSET($CX$3,0,0,'Données projet'!$E$13+1,1))-AVERAGE(OFFSET($H$3,0,0,'Données projet'!$E$13+1,1))</f>
        <v>252.10592533338991</v>
      </c>
      <c r="CZ73" s="62">
        <f t="shared" si="96"/>
        <v>272.71831345325313</v>
      </c>
      <c r="DA73" s="16">
        <f>IF(ISNA(VLOOKUP(A73,'Données projet'!$A$139:$I$159,3,0)),0,VLOOKUP(A73,'Données projet'!$A$139:$I$159,3,0))</f>
        <v>11</v>
      </c>
      <c r="DB73" s="16">
        <f>IF(ISNA(VLOOKUP(A73,'Données projet'!$A$139:$I$159,4,0)),0,VLOOKUP(A73,'Données projet'!$A$139:$I$159,4,0))</f>
        <v>223.05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0.38700000000000001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112.51138803833985</v>
      </c>
      <c r="DH73" s="23">
        <f>EXP(-LN(2)/2)*DH72+(1-EXP(-LN(2)/2))/(LN(2)/2)*DB73*DE73*VLOOKUP('Données projet'!$B$13,Paramètres!$A$1:$I$89,3,0)*0.475*44/12</f>
        <v>0.52844836520293093</v>
      </c>
      <c r="DI73" s="24">
        <f t="shared" si="69"/>
        <v>113.03983640354278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21.3764</v>
      </c>
      <c r="DO73" s="13">
        <f>IF('Données projet'!$A$166&gt;35,DO72+DN73-DW72,IF(A73&lt;'Données projet'!$A$166,$DL$205^A73,IF(A73='Données projet'!$A$166,'Données projet'!$B$166,DO72+DN73-DW72)))</f>
        <v>607.28600000000006</v>
      </c>
      <c r="DP73" s="18">
        <f>DO73*VLOOKUP('Données projet'!$B$14,Paramètres!$A$1:$I$89,3,0)*VLOOKUP('Données projet'!$B$14,Paramètres!$A$1:$I$89,5,0)</f>
        <v>363.15702800000008</v>
      </c>
      <c r="DQ73" s="14">
        <f t="shared" si="97"/>
        <v>84.265834060832162</v>
      </c>
      <c r="DR73" s="22">
        <f t="shared" si="70"/>
        <v>779.26148475594948</v>
      </c>
      <c r="DS73" s="62">
        <f t="shared" si="71"/>
        <v>1045.667028892959</v>
      </c>
      <c r="DT73" s="62">
        <f ca="1">AVERAGE(OFFSET($DS$3,0,0,'Données projet'!$E$14+1,1))-AVERAGE(OFFSET($H$3,0,0,'Données projet'!$E$14+1,1))</f>
        <v>423.0896575168394</v>
      </c>
      <c r="DU73" s="62">
        <f t="shared" si="98"/>
        <v>305.98537395014284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7.1554829174681878</v>
      </c>
      <c r="EB73" s="23">
        <f>EXP(-LN(2)/25)*EB72+(1-EXP(-LN(2)/25))/(LN(2)/25)*Calculateur!DW73*Calculateur!DY73*VLOOKUP('Données projet'!$B$14,Paramètres!$A$1:$I$89,3,0)*0.475*44/12</f>
        <v>43.422466356895733</v>
      </c>
      <c r="EC73" s="23">
        <f>EXP(-LN(2)/2)*EC72+(1-EXP(-LN(2)/2))/(LN(2)/2)*DW73*DZ73*VLOOKUP('Données projet'!$B$14,Paramètres!$A$1:$I$89,3,0)*0.475*44/12</f>
        <v>0.10360391257427606</v>
      </c>
      <c r="ED73" s="24">
        <f t="shared" si="72"/>
        <v>50.681553186938196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2.2737367544323206E-13</v>
      </c>
      <c r="EK73" s="18">
        <f>EJ73*VLOOKUP('Données projet'!$B$15,Paramètres!$A$1:$I$89,3,0)*VLOOKUP('Données projet'!$B$15,Paramètres!$A$1:$I$89,5,0)</f>
        <v>1.3596945791505279E-13</v>
      </c>
      <c r="EL73" s="14">
        <f t="shared" si="99"/>
        <v>1.9708830566360721E-12</v>
      </c>
      <c r="EM73" s="22">
        <f t="shared" si="73"/>
        <v>3.669434796176543E-12</v>
      </c>
      <c r="EN73" s="62">
        <f t="shared" si="74"/>
        <v>266.40554413701318</v>
      </c>
      <c r="EO73" s="62">
        <f ca="1">AVERAGE(OFFSET($EN$3,0,0,'Données projet'!$E$15+1,1))-AVERAGE(OFFSET($H$3,0,0,'Données projet'!$E$15+1,1))</f>
        <v>281.21543175875604</v>
      </c>
      <c r="EP73" s="62">
        <f t="shared" si="100"/>
        <v>366.68536296857428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78.332615998026313</v>
      </c>
      <c r="EW73" s="23">
        <f>EXP(-LN(2)/25)*EW72+(1-EXP(-LN(2)/25))/(LN(2)/25)*Calculateur!ER73*Calculateur!ET73*VLOOKUP('Données projet'!$B$15,Paramètres!$A$1:$I$89,3,0)*0.475*44/12</f>
        <v>24.500319944598491</v>
      </c>
      <c r="EX73" s="23">
        <f>EXP(-LN(2)/2)*EX72+(1-EXP(-LN(2)/2))/(LN(2)/2)*ER73*EU73*VLOOKUP('Données projet'!$B$15,Paramètres!$A$1:$I$89,3,0)*0.475*44/12</f>
        <v>0.16303270559914834</v>
      </c>
      <c r="EY73" s="24">
        <f t="shared" si="75"/>
        <v>102.99596864822395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13.032999999999998</v>
      </c>
      <c r="FE73" s="13">
        <f>IF('Données projet'!$A$218&gt;35,FE72+FD73-FM72,IF(A73&lt;'Données projet'!$A$218,$FB$205^A73,IF(A73='Données projet'!$A$218,'Données projet'!$B$218,FE72+FD73-FM72)))</f>
        <v>336.88500000000005</v>
      </c>
      <c r="FF73" s="18">
        <f>FE73*VLOOKUP('Données projet'!$B$16,Paramètres!$A$1:$I$89,3,0)*VLOOKUP('Données projet'!$B$16,Paramètres!$A$1:$I$89,5,0)</f>
        <v>188.31871500000003</v>
      </c>
      <c r="FG73" s="14">
        <f t="shared" si="101"/>
        <v>47.168052544344711</v>
      </c>
      <c r="FH73" s="22">
        <f t="shared" si="76"/>
        <v>410.13945347306708</v>
      </c>
      <c r="FI73" s="62">
        <f t="shared" si="77"/>
        <v>676.54499761007651</v>
      </c>
      <c r="FJ73" s="62">
        <f ca="1">AVERAGE(OFFSET($FI$3,0,0,'Données projet'!$E$16+1,1))-AVERAGE(OFFSET($H$3,0,0,'Données projet'!$E$16+1,1))</f>
        <v>280.9225643428145</v>
      </c>
      <c r="FK73" s="62">
        <f t="shared" si="102"/>
        <v>236.89414218053955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61.704857944092801</v>
      </c>
      <c r="FR73" s="23">
        <f>EXP(-LN(2)/25)*FR72+(1-EXP(-LN(2)/25))/(LN(2)/25)*Calculateur!FM73*Calculateur!FO73*VLOOKUP('Données projet'!$B$16,Paramètres!$A$1:$I$89,3,0)*0.475*44/12</f>
        <v>29.201855021596348</v>
      </c>
      <c r="FS73" s="23">
        <f>EXP(-LN(2)/2)*FS72+(1-EXP(-LN(2)/2))/(LN(2)/2)*FM73*FP73*VLOOKUP('Données projet'!$B$16,Paramètres!$A$1:$I$89,3,0)*0.475*44/12</f>
        <v>4.2916073987887948E-3</v>
      </c>
      <c r="FT73" s="24">
        <f t="shared" si="78"/>
        <v>90.911004573087936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327.45</v>
      </c>
      <c r="FX73" s="13">
        <f>VLOOKUP(A73,'Données projet'!$A$243:$I$263,9,0)</f>
        <v>6.1779999999999973</v>
      </c>
      <c r="FY73" s="13">
        <f t="array" ref="FY73">INDEX(FX:FX,MIN(IF(ISNUMBER(FX73:FX269),ROW(FX73:FX269),"")))</f>
        <v>6.1779999999999973</v>
      </c>
      <c r="FZ73" s="13">
        <f>IF('Données projet'!$A$244&gt;35,FZ72+FY73-GH72,IF(A73&lt;'Données projet'!$A$244,$FW$205^A73,IF(A73='Données projet'!$A$244,'Données projet'!$B$244,FZ72+FY73-GH72)))</f>
        <v>327.44999999999942</v>
      </c>
      <c r="GA73" s="18">
        <f>FZ73*VLOOKUP('Données projet'!$B$17,Paramètres!$A$1:$I$89,3,0)*VLOOKUP('Données projet'!$B$17,Paramètres!$A$1:$I$89,5,0)</f>
        <v>144.73289999999977</v>
      </c>
      <c r="GB73" s="14">
        <f t="shared" si="103"/>
        <v>37.379139509975971</v>
      </c>
      <c r="GC73" s="22">
        <f t="shared" si="79"/>
        <v>317.17846881320776</v>
      </c>
      <c r="GD73" s="62">
        <f t="shared" si="80"/>
        <v>583.58401295021724</v>
      </c>
      <c r="GE73" s="62">
        <f ca="1">AVERAGE(OFFSET($GD$3,0,0,'Données projet'!$E$17+1,1))-AVERAGE(OFFSET($H$3,0,0,'Données projet'!$E$17+1,1))</f>
        <v>325.67421864225201</v>
      </c>
      <c r="GF73" s="62">
        <f t="shared" si="104"/>
        <v>542.01920418736745</v>
      </c>
      <c r="GG73" s="16">
        <f>IF(ISNA(VLOOKUP(A73,'Données projet'!$A$243:$I$263,3,0)),0,VLOOKUP(A73,'Données projet'!$A$243:$I$263,3,0))</f>
        <v>10</v>
      </c>
      <c r="GH73" s="16">
        <f>IF(ISNA(VLOOKUP(A73,'Données projet'!$A$243:$I$263,4,0)),0,VLOOKUP(A73,'Données projet'!$A$243:$I$263,4,0))</f>
        <v>43.55</v>
      </c>
      <c r="GI73" s="17">
        <f>IF(ISNA(VLOOKUP(A73,'Données projet'!$A$243:$I$263,5,0)),0%,VLOOKUP(A73,'Données projet'!$A$243:$I$263,5,0)*VLOOKUP('Données projet'!$B$17,Paramètres!$A$1:$I$89,7,0))</f>
        <v>0.44000000000000006</v>
      </c>
      <c r="GJ73" s="17">
        <f>IF(ISNA(VLOOKUP(A73,'Données projet'!$A$243:$I$263,6,0)),0%,VLOOKUP(A73,'Données projet'!$A$243:$I$263,6,0)*VLOOKUP('Données projet'!$B$17,Paramètres!$A$1:$I$89,7,0))</f>
        <v>0.11000000000000001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55.159586311210973</v>
      </c>
      <c r="GM73" s="23">
        <f>EXP(-LN(2)/25)*GM72+(1-EXP(-LN(2)/25))/(LN(2)/25)*Calculateur!GH73*Calculateur!GJ73*VLOOKUP('Données projet'!$B$17,Paramètres!$A$1:$I$89,3,0)*0.475*44/12</f>
        <v>64.136049060731352</v>
      </c>
      <c r="GN73" s="23">
        <f>EXP(-LN(2)/2)*GN72+(1-EXP(-LN(2)/2))/(LN(2)/2)*GH73*GK73*VLOOKUP('Données projet'!$B$17,Paramètres!$A$1:$I$89,3,0)*0.475*44/12</f>
        <v>4.3711310730259068E-3</v>
      </c>
      <c r="GO73" s="23">
        <f t="shared" si="81"/>
        <v>119.30000650301535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81.84</v>
      </c>
      <c r="GS73" s="13">
        <f>VLOOKUP(A73,'Données projet'!$A$269:$I$289,9,0)</f>
        <v>2.8100000000000023</v>
      </c>
      <c r="GT73" s="13">
        <f t="array" ref="GT73">INDEX(GS:GS,MIN(IF(ISNUMBER(GS73:GS269),ROW(GS73:GS269),"")))</f>
        <v>2.8100000000000023</v>
      </c>
      <c r="GU73" s="13">
        <f>IF('Données projet'!$A$270&gt;35,GU72+GT73-HC72,IF(A73&lt;'Données projet'!$A$270,$GR$205^A73,IF(A73='Données projet'!$A$270,'Données projet'!$B$270,GU72+GT73-HC72)))</f>
        <v>81.84</v>
      </c>
      <c r="GV73" s="18">
        <f>GU73*VLOOKUP('Données projet'!$B$18,Paramètres!$A$1:$I$89,3,0)*VLOOKUP('Données projet'!$B$18,Paramètres!$A$1:$I$89,5,0)</f>
        <v>82.985760000000013</v>
      </c>
      <c r="GW73" s="14">
        <f t="shared" si="105"/>
        <v>22.865653833597502</v>
      </c>
      <c r="GX73" s="22">
        <f t="shared" si="82"/>
        <v>184.35787909351566</v>
      </c>
      <c r="GY73" s="62">
        <f t="shared" si="83"/>
        <v>450.76342323052518</v>
      </c>
      <c r="GZ73" s="62">
        <f ca="1">AVERAGE(OFFSET($GY$3,0,0,'Données projet'!$E$18+1,1))-AVERAGE(OFFSET($H$3,0,0,'Données projet'!$E$18+1,1))</f>
        <v>220.89224520315713</v>
      </c>
      <c r="HA73" s="62">
        <f t="shared" si="106"/>
        <v>141.82763623159096</v>
      </c>
      <c r="HB73" s="16">
        <f>IF(ISNA(VLOOKUP(A73,'Données projet'!$A$269:$I$289,3,0)),0,VLOOKUP(A73,'Données projet'!$A$269:$I$289,3,0))</f>
        <v>8</v>
      </c>
      <c r="HC73" s="16">
        <f>IF(ISNA(VLOOKUP(A73,'Données projet'!$A$269:$I$289,4,0)),0,VLOOKUP(A73,'Données projet'!$A$269:$I$289,4,0))</f>
        <v>8.9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-2.8421709430404007E-14</v>
      </c>
      <c r="O74" s="14">
        <f>N74*VLOOKUP('Données projet'!$B$9,Paramètres!$A$1:$I$89,3,0)*VLOOKUP('Données projet'!$B$9,Paramètres!$A$1:$I$89,5,0)</f>
        <v>-2.7489477361086758E-14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84.959354125980269</v>
      </c>
      <c r="T74" s="62">
        <f t="shared" si="88"/>
        <v>89.658970210276806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15.142365845457077</v>
      </c>
      <c r="AB74" s="23">
        <f>EXP(-LN(2)/2)*AB73+(1-EXP(-LN(2)/2))/(LN(2)/2)*V74*Y74*VLOOKUP('Données projet'!$B$9,Paramètres!$A$1:$I$89,3,0)*0.475*44/12</f>
        <v>2.3130669834734836</v>
      </c>
      <c r="AC74" s="24">
        <f t="shared" si="57"/>
        <v>17.455432828930562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9.6040000000000028</v>
      </c>
      <c r="AI74" s="14">
        <f>IF('Données projet'!$A$62&gt;35,AI73+AH74-AQ73,IF(A74&lt;'Données projet'!$A$62,$AF$205^A74,IF(A74='Données projet'!$A$62,'Données projet'!$B$62,AI73+AH74-AQ73)))</f>
        <v>272.73400000000009</v>
      </c>
      <c r="AJ74" s="14">
        <f>AI74*VLOOKUP('Données projet'!$B$10,Paramètres!$A$1:$I$89,3,0)*VLOOKUP('Données projet'!$B$10,Paramètres!$A$1:$I$89,5,0)</f>
        <v>259.53367440000011</v>
      </c>
      <c r="AK74" s="14">
        <f t="shared" si="89"/>
        <v>62.622965799881719</v>
      </c>
      <c r="AL74" s="22">
        <f t="shared" si="58"/>
        <v>561.08948168146082</v>
      </c>
      <c r="AM74" s="62">
        <f t="shared" si="59"/>
        <v>827.96216275950883</v>
      </c>
      <c r="AN74" s="62">
        <f ca="1">AVERAGE(OFFSET($AM$3,0,0,'Données projet'!$E$10+1,1))-AVERAGE(OFFSET($H$3,0,0,'Données projet'!$E$10+1,1))</f>
        <v>592.76231355549089</v>
      </c>
      <c r="AO74" s="62">
        <f t="shared" si="90"/>
        <v>200.66895551079014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2.6051590673335858</v>
      </c>
      <c r="AV74" s="23">
        <f>EXP(-LN(2)/25)*AV73+(1-EXP(-LN(2)/25))/(LN(2)/25)*Calculateur!AQ74*Calculateur!AS74*VLOOKUP('Données projet'!$B$10,Paramètres!$A$1:$I$89,3,0)*0.475*44/12</f>
        <v>13.368677605645074</v>
      </c>
      <c r="AW74" s="23">
        <f>EXP(-LN(2)/2)*AW73+(1-EXP(-LN(2)/2))/(LN(2)/2)*AQ74*AT74*VLOOKUP('Données projet'!$B$10,Paramètres!$A$1:$I$89,3,0)*0.475*44/12</f>
        <v>0.28415322064563325</v>
      </c>
      <c r="AX74" s="23">
        <f t="shared" si="60"/>
        <v>16.257989893624295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4.4200000000000017</v>
      </c>
      <c r="BD74" s="13">
        <f>IF('Données projet'!$A$88&gt;35,BD73+BC74-BL73,IF(A74&lt;'Données projet'!$A$88,$BA$205^A74,IF(A74='Données projet'!$A$88,'Données projet'!$B$88,BD73+BC74-BL73)))</f>
        <v>117.13000000000008</v>
      </c>
      <c r="BE74" s="14">
        <f>BD74*VLOOKUP('Données projet'!$B$11,Paramètres!$A$1:$I$89,3,0)*VLOOKUP('Données projet'!$B$11,Paramètres!$A$1:$I$89,5,0)</f>
        <v>105.97922400000007</v>
      </c>
      <c r="BF74" s="14">
        <f t="shared" si="91"/>
        <v>28.381615130504287</v>
      </c>
      <c r="BG74" s="22">
        <f t="shared" si="61"/>
        <v>234.01179481896176</v>
      </c>
      <c r="BH74" s="62">
        <f t="shared" si="62"/>
        <v>500.88447589700968</v>
      </c>
      <c r="BI74" s="62">
        <f ca="1">AVERAGE(OFFSET($BH$3,0,0,'Données projet'!$E$11+1,1))-AVERAGE(OFFSET($H$3,0,0,'Données projet'!$E$11+1,1))</f>
        <v>316.71836722354374</v>
      </c>
      <c r="BJ74" s="62">
        <f t="shared" si="92"/>
        <v>164.34067012996618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6.8603357078628076</v>
      </c>
      <c r="BQ74" s="23">
        <f>EXP(-LN(2)/25)*BQ73+(1-EXP(-LN(2)/25))/(LN(2)/25)*Calculateur!BL74*Calculateur!BN74*VLOOKUP('Données projet'!$B$11,Paramètres!$A$1:$I$89,3,0)*0.475*44/12</f>
        <v>5.3771706313903449</v>
      </c>
      <c r="BR74" s="23">
        <f>EXP(-LN(2)/2)*BR73+(1-EXP(-LN(2)/2))/(LN(2)/2)*BL74*BO74*VLOOKUP('Données projet'!$B$11,Paramètres!$A$1:$I$89,3,0)*0.475*44/12</f>
        <v>1.835781671182354E-2</v>
      </c>
      <c r="BS74" s="24">
        <f t="shared" si="63"/>
        <v>12.255864155964975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4.8845000000000001</v>
      </c>
      <c r="BY74" s="13">
        <f>IF('Données projet'!$A$114&gt;35,BY73+BX74-CG73,IF(A74&lt;'Données projet'!$A$114,$BV$205^A74,IF(A74='Données projet'!$A$114,'Données projet'!$B$114,BY73+BX74-CG73)))</f>
        <v>210.28699999999986</v>
      </c>
      <c r="BZ74" s="14">
        <f>BY74*VLOOKUP('Données projet'!$B$12,Paramètres!$A$1:$I$89,3,0)*VLOOKUP('Données projet'!$B$12,Paramètres!$A$1:$I$89,5,0)</f>
        <v>239.47483559999984</v>
      </c>
      <c r="CA74" s="14">
        <f t="shared" si="93"/>
        <v>58.326524401783935</v>
      </c>
      <c r="CB74" s="22">
        <f t="shared" si="64"/>
        <v>518.67070200310673</v>
      </c>
      <c r="CC74" s="62">
        <f t="shared" si="65"/>
        <v>785.54338308115462</v>
      </c>
      <c r="CD74" s="62">
        <f ca="1">AVERAGE(OFFSET($CC$3,0,0,'Données projet'!$E$12+1,1))-AVERAGE(OFFSET($H$3,0,0,'Données projet'!$E$12+1,1))</f>
        <v>454.9779384236806</v>
      </c>
      <c r="CE74" s="62">
        <f t="shared" si="94"/>
        <v>379.32753348721906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11.457046751085464</v>
      </c>
      <c r="CM74" s="23">
        <f>EXP(-LN(2)/2)*CM73+(1-EXP(-LN(2)/2))/(LN(2)/2)*CG74*CJ74*VLOOKUP('Données projet'!$B$12,Paramètres!$A$1:$I$89,3,0)*0.475*44/12</f>
        <v>2.4319944059651526</v>
      </c>
      <c r="CN74" s="24">
        <f t="shared" si="66"/>
        <v>13.889041157050617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252.10592533338991</v>
      </c>
      <c r="CZ74" s="62">
        <f t="shared" si="96"/>
        <v>272.71831345325313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109.43475821571469</v>
      </c>
      <c r="DH74" s="23">
        <f>EXP(-LN(2)/2)*DH73+(1-EXP(-LN(2)/2))/(LN(2)/2)*DB74*DE74*VLOOKUP('Données projet'!$B$13,Paramètres!$A$1:$I$89,3,0)*0.475*44/12</f>
        <v>0.37366942254193763</v>
      </c>
      <c r="DI74" s="24">
        <f t="shared" si="69"/>
        <v>109.80842763825663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21.3764</v>
      </c>
      <c r="DO74" s="13">
        <f>IF('Données projet'!$A$166&gt;35,DO73+DN74-DW73,IF(A74&lt;'Données projet'!$A$166,$DL$205^A74,IF(A74='Données projet'!$A$166,'Données projet'!$B$166,DO73+DN74-DW73)))</f>
        <v>628.66240000000005</v>
      </c>
      <c r="DP74" s="18">
        <f>DO74*VLOOKUP('Données projet'!$B$14,Paramètres!$A$1:$I$89,3,0)*VLOOKUP('Données projet'!$B$14,Paramètres!$A$1:$I$89,5,0)</f>
        <v>375.94011520000004</v>
      </c>
      <c r="DQ74" s="14">
        <f t="shared" si="97"/>
        <v>86.881422274222388</v>
      </c>
      <c r="DR74" s="22">
        <f t="shared" si="70"/>
        <v>806.0808444342706</v>
      </c>
      <c r="DS74" s="62">
        <f t="shared" si="71"/>
        <v>1072.9535255123185</v>
      </c>
      <c r="DT74" s="62">
        <f ca="1">AVERAGE(OFFSET($DS$3,0,0,'Données projet'!$E$14+1,1))-AVERAGE(OFFSET($H$3,0,0,'Données projet'!$E$14+1,1))</f>
        <v>423.0896575168394</v>
      </c>
      <c r="DU74" s="62">
        <f t="shared" si="98"/>
        <v>305.98537395014284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7.015168261870266</v>
      </c>
      <c r="EB74" s="23">
        <f>EXP(-LN(2)/25)*EB73+(1-EXP(-LN(2)/25))/(LN(2)/25)*Calculateur!DW74*Calculateur!DY74*VLOOKUP('Données projet'!$B$14,Paramètres!$A$1:$I$89,3,0)*0.475*44/12</f>
        <v>42.235076730878156</v>
      </c>
      <c r="EC74" s="23">
        <f>EXP(-LN(2)/2)*EC73+(1-EXP(-LN(2)/2))/(LN(2)/2)*DW74*DZ74*VLOOKUP('Données projet'!$B$14,Paramètres!$A$1:$I$89,3,0)*0.475*44/12</f>
        <v>7.3259029138728823E-2</v>
      </c>
      <c r="ED74" s="24">
        <f t="shared" si="72"/>
        <v>49.323504021887146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2.2737367544323206E-13</v>
      </c>
      <c r="EK74" s="18">
        <f>EJ74*VLOOKUP('Données projet'!$B$15,Paramètres!$A$1:$I$89,3,0)*VLOOKUP('Données projet'!$B$15,Paramètres!$A$1:$I$89,5,0)</f>
        <v>1.3596945791505279E-13</v>
      </c>
      <c r="EL74" s="14">
        <f t="shared" si="99"/>
        <v>1.9708830566360721E-12</v>
      </c>
      <c r="EM74" s="22">
        <f t="shared" si="73"/>
        <v>3.669434796176543E-12</v>
      </c>
      <c r="EN74" s="62">
        <f t="shared" si="74"/>
        <v>266.87268107805164</v>
      </c>
      <c r="EO74" s="62">
        <f ca="1">AVERAGE(OFFSET($EN$3,0,0,'Données projet'!$E$15+1,1))-AVERAGE(OFFSET($H$3,0,0,'Données projet'!$E$15+1,1))</f>
        <v>281.21543175875604</v>
      </c>
      <c r="EP74" s="62">
        <f t="shared" si="100"/>
        <v>366.68536296857428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76.796561176483067</v>
      </c>
      <c r="EW74" s="23">
        <f>EXP(-LN(2)/25)*EW73+(1-EXP(-LN(2)/25))/(LN(2)/25)*Calculateur!ER74*Calculateur!ET74*VLOOKUP('Données projet'!$B$15,Paramètres!$A$1:$I$89,3,0)*0.475*44/12</f>
        <v>23.830357407297615</v>
      </c>
      <c r="EX74" s="23">
        <f>EXP(-LN(2)/2)*EX73+(1-EXP(-LN(2)/2))/(LN(2)/2)*ER74*EU74*VLOOKUP('Données projet'!$B$15,Paramètres!$A$1:$I$89,3,0)*0.475*44/12</f>
        <v>0.11528153168434782</v>
      </c>
      <c r="EY74" s="24">
        <f t="shared" si="75"/>
        <v>100.74220011546502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13.032999999999998</v>
      </c>
      <c r="FE74" s="13">
        <f>IF('Données projet'!$A$218&gt;35,FE73+FD74-FM73,IF(A74&lt;'Données projet'!$A$218,$FB$205^A74,IF(A74='Données projet'!$A$218,'Données projet'!$B$218,FE73+FD74-FM73)))</f>
        <v>349.91800000000006</v>
      </c>
      <c r="FF74" s="18">
        <f>FE74*VLOOKUP('Données projet'!$B$16,Paramètres!$A$1:$I$89,3,0)*VLOOKUP('Données projet'!$B$16,Paramètres!$A$1:$I$89,5,0)</f>
        <v>195.60416200000006</v>
      </c>
      <c r="FG74" s="14">
        <f t="shared" si="101"/>
        <v>48.776849566112851</v>
      </c>
      <c r="FH74" s="22">
        <f t="shared" si="76"/>
        <v>425.6302618109799</v>
      </c>
      <c r="FI74" s="62">
        <f t="shared" si="77"/>
        <v>692.50294288902785</v>
      </c>
      <c r="FJ74" s="62">
        <f ca="1">AVERAGE(OFFSET($FI$3,0,0,'Données projet'!$E$16+1,1))-AVERAGE(OFFSET($H$3,0,0,'Données projet'!$E$16+1,1))</f>
        <v>280.9225643428145</v>
      </c>
      <c r="FK74" s="62">
        <f t="shared" si="102"/>
        <v>236.89414218053955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60.494863316056218</v>
      </c>
      <c r="FR74" s="23">
        <f>EXP(-LN(2)/25)*FR73+(1-EXP(-LN(2)/25))/(LN(2)/25)*Calculateur!FM74*Calculateur!FO74*VLOOKUP('Données projet'!$B$16,Paramètres!$A$1:$I$89,3,0)*0.475*44/12</f>
        <v>28.403328760371981</v>
      </c>
      <c r="FS74" s="23">
        <f>EXP(-LN(2)/2)*FS73+(1-EXP(-LN(2)/2))/(LN(2)/2)*FM74*FP74*VLOOKUP('Données projet'!$B$16,Paramètres!$A$1:$I$89,3,0)*0.475*44/12</f>
        <v>3.0346246938739167E-3</v>
      </c>
      <c r="FT74" s="24">
        <f t="shared" si="78"/>
        <v>88.90122670112207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5.246000000000004</v>
      </c>
      <c r="FZ74" s="13">
        <f>IF('Données projet'!$A$244&gt;35,FZ73+FY74-GH73,IF(A74&lt;'Données projet'!$A$244,$FW$205^A74,IF(A74='Données projet'!$A$244,'Données projet'!$B$244,FZ73+FY74-GH73)))</f>
        <v>289.14599999999939</v>
      </c>
      <c r="GA74" s="18">
        <f>FZ74*VLOOKUP('Données projet'!$B$17,Paramètres!$A$1:$I$89,3,0)*VLOOKUP('Données projet'!$B$17,Paramètres!$A$1:$I$89,5,0)</f>
        <v>127.80253199999974</v>
      </c>
      <c r="GB74" s="14">
        <f t="shared" si="103"/>
        <v>33.48808628696257</v>
      </c>
      <c r="GC74" s="22">
        <f t="shared" si="79"/>
        <v>280.91449351645934</v>
      </c>
      <c r="GD74" s="62">
        <f t="shared" si="80"/>
        <v>547.78717459450729</v>
      </c>
      <c r="GE74" s="62">
        <f ca="1">AVERAGE(OFFSET($GD$3,0,0,'Données projet'!$E$17+1,1))-AVERAGE(OFFSET($H$3,0,0,'Données projet'!$E$17+1,1))</f>
        <v>325.67421864225201</v>
      </c>
      <c r="GF74" s="62">
        <f t="shared" si="104"/>
        <v>542.01920418736745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54.077940467673706</v>
      </c>
      <c r="GM74" s="23">
        <f>EXP(-LN(2)/25)*GM73+(1-EXP(-LN(2)/25))/(LN(2)/25)*Calculateur!GH74*Calculateur!GJ74*VLOOKUP('Données projet'!$B$17,Paramètres!$A$1:$I$89,3,0)*0.475*44/12</f>
        <v>62.382245426397418</v>
      </c>
      <c r="GN74" s="23">
        <f>EXP(-LN(2)/2)*GN73+(1-EXP(-LN(2)/2))/(LN(2)/2)*GH74*GK74*VLOOKUP('Données projet'!$B$17,Paramètres!$A$1:$I$89,3,0)*0.475*44/12</f>
        <v>3.0908564231918487E-3</v>
      </c>
      <c r="GO74" s="23">
        <f t="shared" si="81"/>
        <v>116.4632767504943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2.7719999999999998</v>
      </c>
      <c r="GU74" s="13">
        <f>IF('Données projet'!$A$270&gt;35,GU73+GT74-HC73,IF(A74&lt;'Données projet'!$A$270,$GR$205^A74,IF(A74='Données projet'!$A$270,'Données projet'!$B$270,GU73+GT74-HC73)))</f>
        <v>75.712000000000003</v>
      </c>
      <c r="GV74" s="18">
        <f>GU74*VLOOKUP('Données projet'!$B$18,Paramètres!$A$1:$I$89,3,0)*VLOOKUP('Données projet'!$B$18,Paramètres!$A$1:$I$89,5,0)</f>
        <v>76.771968000000001</v>
      </c>
      <c r="GW74" s="14">
        <f t="shared" si="105"/>
        <v>21.346031563816467</v>
      </c>
      <c r="GX74" s="22">
        <f t="shared" si="82"/>
        <v>170.88884924031368</v>
      </c>
      <c r="GY74" s="62">
        <f t="shared" si="83"/>
        <v>437.76153031836162</v>
      </c>
      <c r="GZ74" s="62">
        <f ca="1">AVERAGE(OFFSET($GY$3,0,0,'Données projet'!$E$18+1,1))-AVERAGE(OFFSET($H$3,0,0,'Données projet'!$E$18+1,1))</f>
        <v>220.89224520315713</v>
      </c>
      <c r="HA74" s="62">
        <f t="shared" si="106"/>
        <v>141.82763623159096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-2.8421709430404007E-14</v>
      </c>
      <c r="O75" s="14">
        <f>N75*VLOOKUP('Données projet'!$B$9,Paramètres!$A$1:$I$89,3,0)*VLOOKUP('Données projet'!$B$9,Paramètres!$A$1:$I$89,5,0)</f>
        <v>-2.7489477361086758E-14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84.959354125980269</v>
      </c>
      <c r="T75" s="62">
        <f t="shared" si="88"/>
        <v>89.658970210276806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14.728297055110641</v>
      </c>
      <c r="AB75" s="23">
        <f>EXP(-LN(2)/2)*AB74+(1-EXP(-LN(2)/2))/(LN(2)/2)*V75*Y75*VLOOKUP('Données projet'!$B$9,Paramètres!$A$1:$I$89,3,0)*0.475*44/12</f>
        <v>1.6355853493528123</v>
      </c>
      <c r="AC75" s="24">
        <f t="shared" si="57"/>
        <v>16.363882404463453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9.6040000000000028</v>
      </c>
      <c r="AI75" s="14">
        <f>IF('Données projet'!$A$62&gt;35,AI74+AH75-AQ74,IF(A75&lt;'Données projet'!$A$62,$AF$205^A75,IF(A75='Données projet'!$A$62,'Données projet'!$B$62,AI74+AH75-AQ74)))</f>
        <v>282.33800000000008</v>
      </c>
      <c r="AJ75" s="14">
        <f>AI75*VLOOKUP('Données projet'!$B$10,Paramètres!$A$1:$I$89,3,0)*VLOOKUP('Données projet'!$B$10,Paramètres!$A$1:$I$89,5,0)</f>
        <v>268.67284080000007</v>
      </c>
      <c r="AK75" s="14">
        <f t="shared" si="89"/>
        <v>64.567531887208958</v>
      </c>
      <c r="AL75" s="22">
        <f t="shared" si="58"/>
        <v>580.39364909688902</v>
      </c>
      <c r="AM75" s="62">
        <f t="shared" si="59"/>
        <v>847.72536333441008</v>
      </c>
      <c r="AN75" s="62">
        <f ca="1">AVERAGE(OFFSET($AM$3,0,0,'Données projet'!$E$10+1,1))-AVERAGE(OFFSET($H$3,0,0,'Données projet'!$E$10+1,1))</f>
        <v>592.76231355549089</v>
      </c>
      <c r="AO75" s="62">
        <f t="shared" si="90"/>
        <v>200.66895551079014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2.5540734870133055</v>
      </c>
      <c r="AV75" s="23">
        <f>EXP(-LN(2)/25)*AV74+(1-EXP(-LN(2)/25))/(LN(2)/25)*Calculateur!AQ75*Calculateur!AS75*VLOOKUP('Données projet'!$B$10,Paramètres!$A$1:$I$89,3,0)*0.475*44/12</f>
        <v>13.003110413490509</v>
      </c>
      <c r="AW75" s="23">
        <f>EXP(-LN(2)/2)*AW74+(1-EXP(-LN(2)/2))/(LN(2)/2)*AQ75*AT75*VLOOKUP('Données projet'!$B$10,Paramètres!$A$1:$I$89,3,0)*0.475*44/12</f>
        <v>0.20092666921452457</v>
      </c>
      <c r="AX75" s="23">
        <f t="shared" si="60"/>
        <v>15.758110569718339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4.4200000000000017</v>
      </c>
      <c r="BD75" s="13">
        <f>IF('Données projet'!$A$88&gt;35,BD74+BC75-BL74,IF(A75&lt;'Données projet'!$A$88,$BA$205^A75,IF(A75='Données projet'!$A$88,'Données projet'!$B$88,BD74+BC75-BL74)))</f>
        <v>121.55000000000008</v>
      </c>
      <c r="BE75" s="14">
        <f>BD75*VLOOKUP('Données projet'!$B$11,Paramètres!$A$1:$I$89,3,0)*VLOOKUP('Données projet'!$B$11,Paramètres!$A$1:$I$89,5,0)</f>
        <v>109.97844000000006</v>
      </c>
      <c r="BF75" s="14">
        <f t="shared" si="91"/>
        <v>29.325904810447817</v>
      </c>
      <c r="BG75" s="22">
        <f t="shared" si="61"/>
        <v>242.62173387819669</v>
      </c>
      <c r="BH75" s="62">
        <f t="shared" si="62"/>
        <v>509.95344811571783</v>
      </c>
      <c r="BI75" s="62">
        <f ca="1">AVERAGE(OFFSET($BH$3,0,0,'Données projet'!$E$11+1,1))-AVERAGE(OFFSET($H$3,0,0,'Données projet'!$E$11+1,1))</f>
        <v>316.71836722354374</v>
      </c>
      <c r="BJ75" s="62">
        <f t="shared" si="92"/>
        <v>164.34067012996618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6.7258087090232257</v>
      </c>
      <c r="BQ75" s="23">
        <f>EXP(-LN(2)/25)*BQ74+(1-EXP(-LN(2)/25))/(LN(2)/25)*Calculateur!BL75*Calculateur!BN75*VLOOKUP('Données projet'!$B$11,Paramètres!$A$1:$I$89,3,0)*0.475*44/12</f>
        <v>5.2301316177018622</v>
      </c>
      <c r="BR75" s="23">
        <f>EXP(-LN(2)/2)*BR74+(1-EXP(-LN(2)/2))/(LN(2)/2)*BL75*BO75*VLOOKUP('Données projet'!$B$11,Paramètres!$A$1:$I$89,3,0)*0.475*44/12</f>
        <v>1.2980936684710153E-2</v>
      </c>
      <c r="BS75" s="24">
        <f t="shared" si="63"/>
        <v>11.968921263409799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4.8845000000000001</v>
      </c>
      <c r="BY75" s="13">
        <f>IF('Données projet'!$A$114&gt;35,BY74+BX75-CG74,IF(A75&lt;'Données projet'!$A$114,$BV$205^A75,IF(A75='Données projet'!$A$114,'Données projet'!$B$114,BY74+BX75-CG74)))</f>
        <v>215.17149999999987</v>
      </c>
      <c r="BZ75" s="14">
        <f>BY75*VLOOKUP('Données projet'!$B$12,Paramètres!$A$1:$I$89,3,0)*VLOOKUP('Données projet'!$B$12,Paramètres!$A$1:$I$89,5,0)</f>
        <v>245.03730419999985</v>
      </c>
      <c r="CA75" s="14">
        <f t="shared" si="93"/>
        <v>59.522017334250513</v>
      </c>
      <c r="CB75" s="22">
        <f t="shared" si="64"/>
        <v>530.44081833881944</v>
      </c>
      <c r="CC75" s="62">
        <f t="shared" si="65"/>
        <v>797.77253257634061</v>
      </c>
      <c r="CD75" s="62">
        <f ca="1">AVERAGE(OFFSET($CC$3,0,0,'Données projet'!$E$12+1,1))-AVERAGE(OFFSET($H$3,0,0,'Données projet'!$E$12+1,1))</f>
        <v>454.9779384236806</v>
      </c>
      <c r="CE75" s="62">
        <f t="shared" si="94"/>
        <v>379.32753348721906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11.143753205177129</v>
      </c>
      <c r="CM75" s="23">
        <f>EXP(-LN(2)/2)*CM74+(1-EXP(-LN(2)/2))/(LN(2)/2)*CG75*CJ75*VLOOKUP('Données projet'!$B$12,Paramètres!$A$1:$I$89,3,0)*0.475*44/12</f>
        <v>1.7196797362657088</v>
      </c>
      <c r="CN75" s="24">
        <f t="shared" si="66"/>
        <v>12.863432941442838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252.10592533338991</v>
      </c>
      <c r="CZ75" s="62">
        <f t="shared" si="96"/>
        <v>272.71831345325313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106.44225899738215</v>
      </c>
      <c r="DH75" s="23">
        <f>EXP(-LN(2)/2)*DH74+(1-EXP(-LN(2)/2))/(LN(2)/2)*DB75*DE75*VLOOKUP('Données projet'!$B$13,Paramètres!$A$1:$I$89,3,0)*0.475*44/12</f>
        <v>0.26422418260146546</v>
      </c>
      <c r="DI75" s="24">
        <f t="shared" si="69"/>
        <v>106.70648317998362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21.3764</v>
      </c>
      <c r="DO75" s="13">
        <f>IF('Données projet'!$A$166&gt;35,DO74+DN75-DW74,IF(A75&lt;'Données projet'!$A$166,$DL$205^A75,IF(A75='Données projet'!$A$166,'Données projet'!$B$166,DO74+DN75-DW74)))</f>
        <v>650.03880000000004</v>
      </c>
      <c r="DP75" s="18">
        <f>DO75*VLOOKUP('Données projet'!$B$14,Paramètres!$A$1:$I$89,3,0)*VLOOKUP('Données projet'!$B$14,Paramètres!$A$1:$I$89,5,0)</f>
        <v>388.72320240000005</v>
      </c>
      <c r="DQ75" s="14">
        <f t="shared" si="97"/>
        <v>89.486676482373383</v>
      </c>
      <c r="DR75" s="22">
        <f t="shared" si="70"/>
        <v>832.8822057201337</v>
      </c>
      <c r="DS75" s="62">
        <f t="shared" si="71"/>
        <v>1100.2139199576548</v>
      </c>
      <c r="DT75" s="62">
        <f ca="1">AVERAGE(OFFSET($DS$3,0,0,'Données projet'!$E$14+1,1))-AVERAGE(OFFSET($H$3,0,0,'Données projet'!$E$14+1,1))</f>
        <v>423.0896575168394</v>
      </c>
      <c r="DU75" s="62">
        <f t="shared" si="98"/>
        <v>305.98537395014284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6.8776050910851305</v>
      </c>
      <c r="EB75" s="23">
        <f>EXP(-LN(2)/25)*EB74+(1-EXP(-LN(2)/25))/(LN(2)/25)*Calculateur!DW75*Calculateur!DY75*VLOOKUP('Données projet'!$B$14,Paramètres!$A$1:$I$89,3,0)*0.475*44/12</f>
        <v>41.080156336626139</v>
      </c>
      <c r="EC75" s="23">
        <f>EXP(-LN(2)/2)*EC74+(1-EXP(-LN(2)/2))/(LN(2)/2)*DW75*DZ75*VLOOKUP('Données projet'!$B$14,Paramètres!$A$1:$I$89,3,0)*0.475*44/12</f>
        <v>5.1801956287138032E-2</v>
      </c>
      <c r="ED75" s="24">
        <f t="shared" si="72"/>
        <v>48.009563383998405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2.2737367544323206E-13</v>
      </c>
      <c r="EK75" s="18">
        <f>EJ75*VLOOKUP('Données projet'!$B$15,Paramètres!$A$1:$I$89,3,0)*VLOOKUP('Données projet'!$B$15,Paramètres!$A$1:$I$89,5,0)</f>
        <v>1.3596945791505279E-13</v>
      </c>
      <c r="EL75" s="14">
        <f t="shared" si="99"/>
        <v>1.9708830566360721E-12</v>
      </c>
      <c r="EM75" s="22">
        <f t="shared" si="73"/>
        <v>3.669434796176543E-12</v>
      </c>
      <c r="EN75" s="62">
        <f t="shared" si="74"/>
        <v>267.33171423752481</v>
      </c>
      <c r="EO75" s="62">
        <f ca="1">AVERAGE(OFFSET($EN$3,0,0,'Données projet'!$E$15+1,1))-AVERAGE(OFFSET($H$3,0,0,'Données projet'!$E$15+1,1))</f>
        <v>281.21543175875604</v>
      </c>
      <c r="EP75" s="62">
        <f t="shared" si="100"/>
        <v>366.68536296857428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75.290627453089357</v>
      </c>
      <c r="EW75" s="23">
        <f>EXP(-LN(2)/25)*EW74+(1-EXP(-LN(2)/25))/(LN(2)/25)*Calculateur!ER75*Calculateur!ET75*VLOOKUP('Données projet'!$B$15,Paramètres!$A$1:$I$89,3,0)*0.475*44/12</f>
        <v>23.178715030811031</v>
      </c>
      <c r="EX75" s="23">
        <f>EXP(-LN(2)/2)*EX74+(1-EXP(-LN(2)/2))/(LN(2)/2)*ER75*EU75*VLOOKUP('Données projet'!$B$15,Paramètres!$A$1:$I$89,3,0)*0.475*44/12</f>
        <v>8.1516352799574185E-2</v>
      </c>
      <c r="EY75" s="24">
        <f t="shared" si="75"/>
        <v>98.550858836699959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13.032999999999998</v>
      </c>
      <c r="FE75" s="13">
        <f>IF('Données projet'!$A$218&gt;35,FE74+FD75-FM74,IF(A75&lt;'Données projet'!$A$218,$FB$205^A75,IF(A75='Données projet'!$A$218,'Données projet'!$B$218,FE74+FD75-FM74)))</f>
        <v>362.95100000000008</v>
      </c>
      <c r="FF75" s="18">
        <f>FE75*VLOOKUP('Données projet'!$B$16,Paramètres!$A$1:$I$89,3,0)*VLOOKUP('Données projet'!$B$16,Paramètres!$A$1:$I$89,5,0)</f>
        <v>202.88960900000004</v>
      </c>
      <c r="FG75" s="14">
        <f t="shared" si="101"/>
        <v>50.378685175891285</v>
      </c>
      <c r="FH75" s="22">
        <f t="shared" si="76"/>
        <v>441.10894568967734</v>
      </c>
      <c r="FI75" s="62">
        <f t="shared" si="77"/>
        <v>708.44065992719845</v>
      </c>
      <c r="FJ75" s="62">
        <f ca="1">AVERAGE(OFFSET($FI$3,0,0,'Données projet'!$E$16+1,1))-AVERAGE(OFFSET($H$3,0,0,'Données projet'!$E$16+1,1))</f>
        <v>280.9225643428145</v>
      </c>
      <c r="FK75" s="62">
        <f t="shared" si="102"/>
        <v>236.89414218053955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59.308595944651579</v>
      </c>
      <c r="FR75" s="23">
        <f>EXP(-LN(2)/25)*FR74+(1-EXP(-LN(2)/25))/(LN(2)/25)*Calculateur!FM75*Calculateur!FO75*VLOOKUP('Données projet'!$B$16,Paramètres!$A$1:$I$89,3,0)*0.475*44/12</f>
        <v>27.626638241753465</v>
      </c>
      <c r="FS75" s="23">
        <f>EXP(-LN(2)/2)*FS74+(1-EXP(-LN(2)/2))/(LN(2)/2)*FM75*FP75*VLOOKUP('Données projet'!$B$16,Paramètres!$A$1:$I$89,3,0)*0.475*44/12</f>
        <v>2.1458036993943974E-3</v>
      </c>
      <c r="FT75" s="24">
        <f t="shared" si="78"/>
        <v>86.937379990104432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5.246000000000004</v>
      </c>
      <c r="FZ75" s="13">
        <f>IF('Données projet'!$A$244&gt;35,FZ74+FY75-GH74,IF(A75&lt;'Données projet'!$A$244,$FW$205^A75,IF(A75='Données projet'!$A$244,'Données projet'!$B$244,FZ74+FY75-GH74)))</f>
        <v>294.39199999999937</v>
      </c>
      <c r="GA75" s="18">
        <f>FZ75*VLOOKUP('Données projet'!$B$17,Paramètres!$A$1:$I$89,3,0)*VLOOKUP('Données projet'!$B$17,Paramètres!$A$1:$I$89,5,0)</f>
        <v>130.12126399999974</v>
      </c>
      <c r="GB75" s="14">
        <f t="shared" si="103"/>
        <v>34.024378361672305</v>
      </c>
      <c r="GC75" s="22">
        <f t="shared" si="79"/>
        <v>285.88699377991219</v>
      </c>
      <c r="GD75" s="62">
        <f t="shared" si="80"/>
        <v>553.2187080174333</v>
      </c>
      <c r="GE75" s="62">
        <f ca="1">AVERAGE(OFFSET($GD$3,0,0,'Données projet'!$E$17+1,1))-AVERAGE(OFFSET($H$3,0,0,'Données projet'!$E$17+1,1))</f>
        <v>325.67421864225201</v>
      </c>
      <c r="GF75" s="62">
        <f t="shared" si="104"/>
        <v>542.01920418736745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53.017505039389384</v>
      </c>
      <c r="GM75" s="23">
        <f>EXP(-LN(2)/25)*GM74+(1-EXP(-LN(2)/25))/(LN(2)/25)*Calculateur!GH75*Calculateur!GJ75*VLOOKUP('Données projet'!$B$17,Paramètres!$A$1:$I$89,3,0)*0.475*44/12</f>
        <v>60.67639964467287</v>
      </c>
      <c r="GN75" s="23">
        <f>EXP(-LN(2)/2)*GN74+(1-EXP(-LN(2)/2))/(LN(2)/2)*GH75*GK75*VLOOKUP('Données projet'!$B$17,Paramètres!$A$1:$I$89,3,0)*0.475*44/12</f>
        <v>2.1855655365129534E-3</v>
      </c>
      <c r="GO75" s="23">
        <f t="shared" si="81"/>
        <v>113.69609024959877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2.7719999999999998</v>
      </c>
      <c r="GU75" s="13">
        <f>IF('Données projet'!$A$270&gt;35,GU74+GT75-HC74,IF(A75&lt;'Données projet'!$A$270,$GR$205^A75,IF(A75='Données projet'!$A$270,'Données projet'!$B$270,GU74+GT75-HC74)))</f>
        <v>78.484000000000009</v>
      </c>
      <c r="GV75" s="18">
        <f>GU75*VLOOKUP('Données projet'!$B$18,Paramètres!$A$1:$I$89,3,0)*VLOOKUP('Données projet'!$B$18,Paramètres!$A$1:$I$89,5,0)</f>
        <v>79.58277600000001</v>
      </c>
      <c r="GW75" s="14">
        <f t="shared" si="105"/>
        <v>22.035139667191778</v>
      </c>
      <c r="GX75" s="22">
        <f t="shared" si="82"/>
        <v>176.98453645369239</v>
      </c>
      <c r="GY75" s="62">
        <f t="shared" si="83"/>
        <v>444.3162506912135</v>
      </c>
      <c r="GZ75" s="62">
        <f ca="1">AVERAGE(OFFSET($GY$3,0,0,'Données projet'!$E$18+1,1))-AVERAGE(OFFSET($H$3,0,0,'Données projet'!$E$18+1,1))</f>
        <v>220.89224520315713</v>
      </c>
      <c r="HA75" s="62">
        <f t="shared" si="106"/>
        <v>141.82763623159096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-2.8421709430404007E-14</v>
      </c>
      <c r="O76" s="14">
        <f>N76*VLOOKUP('Données projet'!$B$9,Paramètres!$A$1:$I$89,3,0)*VLOOKUP('Données projet'!$B$9,Paramètres!$A$1:$I$89,5,0)</f>
        <v>-2.7489477361086758E-14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84.959354125980269</v>
      </c>
      <c r="T76" s="62">
        <f t="shared" si="88"/>
        <v>89.658970210276806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14.32555099761116</v>
      </c>
      <c r="AB76" s="23">
        <f>EXP(-LN(2)/2)*AB75+(1-EXP(-LN(2)/2))/(LN(2)/2)*V76*Y76*VLOOKUP('Données projet'!$B$9,Paramètres!$A$1:$I$89,3,0)*0.475*44/12</f>
        <v>1.156533491736742</v>
      </c>
      <c r="AC76" s="24">
        <f t="shared" si="57"/>
        <v>15.482084489347901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9.6040000000000028</v>
      </c>
      <c r="AI76" s="14">
        <f>IF('Données projet'!$A$62&gt;35,AI75+AH76-AQ75,IF(A76&lt;'Données projet'!$A$62,$AF$205^A76,IF(A76='Données projet'!$A$62,'Données projet'!$B$62,AI75+AH76-AQ75)))</f>
        <v>291.94200000000006</v>
      </c>
      <c r="AJ76" s="14">
        <f>AI76*VLOOKUP('Données projet'!$B$10,Paramètres!$A$1:$I$89,3,0)*VLOOKUP('Données projet'!$B$10,Paramètres!$A$1:$I$89,5,0)</f>
        <v>277.81200720000004</v>
      </c>
      <c r="AK76" s="14">
        <f t="shared" si="89"/>
        <v>66.504412202675596</v>
      </c>
      <c r="AL76" s="22">
        <f t="shared" si="58"/>
        <v>599.68443045966012</v>
      </c>
      <c r="AM76" s="62">
        <f t="shared" si="59"/>
        <v>867.46721465758196</v>
      </c>
      <c r="AN76" s="62">
        <f ca="1">AVERAGE(OFFSET($AM$3,0,0,'Données projet'!$E$10+1,1))-AVERAGE(OFFSET($H$3,0,0,'Données projet'!$E$10+1,1))</f>
        <v>592.76231355549089</v>
      </c>
      <c r="AO76" s="62">
        <f t="shared" si="90"/>
        <v>200.66895551079014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2.5039896637639787</v>
      </c>
      <c r="AV76" s="23">
        <f>EXP(-LN(2)/25)*AV75+(1-EXP(-LN(2)/25))/(LN(2)/25)*Calculateur!AQ76*Calculateur!AS76*VLOOKUP('Données projet'!$B$10,Paramètres!$A$1:$I$89,3,0)*0.475*44/12</f>
        <v>12.647539675429753</v>
      </c>
      <c r="AW76" s="23">
        <f>EXP(-LN(2)/2)*AW75+(1-EXP(-LN(2)/2))/(LN(2)/2)*AQ76*AT76*VLOOKUP('Données projet'!$B$10,Paramètres!$A$1:$I$89,3,0)*0.475*44/12</f>
        <v>0.14207661032281665</v>
      </c>
      <c r="AX76" s="23">
        <f t="shared" si="60"/>
        <v>15.29360594951655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4.4200000000000017</v>
      </c>
      <c r="BD76" s="13">
        <f>IF('Données projet'!$A$88&gt;35,BD75+BC76-BL75,IF(A76&lt;'Données projet'!$A$88,$BA$205^A76,IF(A76='Données projet'!$A$88,'Données projet'!$B$88,BD75+BC76-BL75)))</f>
        <v>125.97000000000008</v>
      </c>
      <c r="BE76" s="14">
        <f>BD76*VLOOKUP('Données projet'!$B$11,Paramètres!$A$1:$I$89,3,0)*VLOOKUP('Données projet'!$B$11,Paramètres!$A$1:$I$89,5,0)</f>
        <v>113.97765600000008</v>
      </c>
      <c r="BF76" s="14">
        <f t="shared" si="91"/>
        <v>30.266205088018051</v>
      </c>
      <c r="BG76" s="22">
        <f t="shared" si="61"/>
        <v>251.22472472829824</v>
      </c>
      <c r="BH76" s="62">
        <f t="shared" si="62"/>
        <v>519.00750892622</v>
      </c>
      <c r="BI76" s="62">
        <f ca="1">AVERAGE(OFFSET($BH$3,0,0,'Données projet'!$E$11+1,1))-AVERAGE(OFFSET($H$3,0,0,'Données projet'!$E$11+1,1))</f>
        <v>316.71836722354374</v>
      </c>
      <c r="BJ76" s="62">
        <f t="shared" si="92"/>
        <v>164.34067012996618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6.5939197025775202</v>
      </c>
      <c r="BQ76" s="23">
        <f>EXP(-LN(2)/25)*BQ75+(1-EXP(-LN(2)/25))/(LN(2)/25)*Calculateur!BL76*Calculateur!BN76*VLOOKUP('Données projet'!$B$11,Paramètres!$A$1:$I$89,3,0)*0.475*44/12</f>
        <v>5.0871133935751365</v>
      </c>
      <c r="BR76" s="23">
        <f>EXP(-LN(2)/2)*BR75+(1-EXP(-LN(2)/2))/(LN(2)/2)*BL76*BO76*VLOOKUP('Données projet'!$B$11,Paramètres!$A$1:$I$89,3,0)*0.475*44/12</f>
        <v>9.1789083559117701E-3</v>
      </c>
      <c r="BS76" s="24">
        <f t="shared" si="63"/>
        <v>11.690212004508568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4.8845000000000001</v>
      </c>
      <c r="BY76" s="13">
        <f>IF('Données projet'!$A$114&gt;35,BY75+BX76-CG75,IF(A76&lt;'Données projet'!$A$114,$BV$205^A76,IF(A76='Données projet'!$A$114,'Données projet'!$B$114,BY75+BX76-CG75)))</f>
        <v>220.05599999999987</v>
      </c>
      <c r="BZ76" s="14">
        <f>BY76*VLOOKUP('Données projet'!$B$12,Paramètres!$A$1:$I$89,3,0)*VLOOKUP('Données projet'!$B$12,Paramètres!$A$1:$I$89,5,0)</f>
        <v>250.59977279999984</v>
      </c>
      <c r="CA76" s="14">
        <f t="shared" si="93"/>
        <v>60.714355253849838</v>
      </c>
      <c r="CB76" s="22">
        <f t="shared" si="64"/>
        <v>542.20543969378821</v>
      </c>
      <c r="CC76" s="62">
        <f t="shared" si="65"/>
        <v>809.98822389171005</v>
      </c>
      <c r="CD76" s="62">
        <f ca="1">AVERAGE(OFFSET($CC$3,0,0,'Données projet'!$E$12+1,1))-AVERAGE(OFFSET($H$3,0,0,'Données projet'!$E$12+1,1))</f>
        <v>454.9779384236806</v>
      </c>
      <c r="CE76" s="62">
        <f t="shared" si="94"/>
        <v>379.32753348721906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10.839026687757048</v>
      </c>
      <c r="CM76" s="23">
        <f>EXP(-LN(2)/2)*CM75+(1-EXP(-LN(2)/2))/(LN(2)/2)*CG76*CJ76*VLOOKUP('Données projet'!$B$12,Paramètres!$A$1:$I$89,3,0)*0.475*44/12</f>
        <v>1.2159972029825763</v>
      </c>
      <c r="CN76" s="24">
        <f t="shared" si="66"/>
        <v>12.055023890739625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252.10592533338991</v>
      </c>
      <c r="CZ76" s="62">
        <f t="shared" si="96"/>
        <v>272.71831345325313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103.53158982754361</v>
      </c>
      <c r="DH76" s="23">
        <f>EXP(-LN(2)/2)*DH75+(1-EXP(-LN(2)/2))/(LN(2)/2)*DB76*DE76*VLOOKUP('Données projet'!$B$13,Paramètres!$A$1:$I$89,3,0)*0.475*44/12</f>
        <v>0.18683471127096882</v>
      </c>
      <c r="DI76" s="24">
        <f t="shared" si="69"/>
        <v>103.71842453881459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21.3764</v>
      </c>
      <c r="DO76" s="13">
        <f>IF('Données projet'!$A$166&gt;35,DO75+DN76-DW75,IF(A76&lt;'Données projet'!$A$166,$DL$205^A76,IF(A76='Données projet'!$A$166,'Données projet'!$B$166,DO75+DN76-DW75)))</f>
        <v>671.41520000000003</v>
      </c>
      <c r="DP76" s="18">
        <f>DO76*VLOOKUP('Données projet'!$B$14,Paramètres!$A$1:$I$89,3,0)*VLOOKUP('Données projet'!$B$14,Paramètres!$A$1:$I$89,5,0)</f>
        <v>401.50628960000006</v>
      </c>
      <c r="DQ76" s="14">
        <f t="shared" si="97"/>
        <v>92.081975486922019</v>
      </c>
      <c r="DR76" s="22">
        <f t="shared" si="70"/>
        <v>859.6662283597226</v>
      </c>
      <c r="DS76" s="62">
        <f t="shared" si="71"/>
        <v>1127.4490125576444</v>
      </c>
      <c r="DT76" s="62">
        <f ca="1">AVERAGE(OFFSET($DS$3,0,0,'Données projet'!$E$14+1,1))-AVERAGE(OFFSET($H$3,0,0,'Données projet'!$E$14+1,1))</f>
        <v>423.0896575168394</v>
      </c>
      <c r="DU76" s="62">
        <f t="shared" si="98"/>
        <v>305.98537395014284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6.7427394501738425</v>
      </c>
      <c r="EB76" s="23">
        <f>EXP(-LN(2)/25)*EB75+(1-EXP(-LN(2)/25))/(LN(2)/25)*Calculateur!DW76*Calculateur!DY76*VLOOKUP('Données projet'!$B$14,Paramètres!$A$1:$I$89,3,0)*0.475*44/12</f>
        <v>39.956817301289568</v>
      </c>
      <c r="EC76" s="23">
        <f>EXP(-LN(2)/2)*EC75+(1-EXP(-LN(2)/2))/(LN(2)/2)*DW76*DZ76*VLOOKUP('Données projet'!$B$14,Paramètres!$A$1:$I$89,3,0)*0.475*44/12</f>
        <v>3.6629514569364412E-2</v>
      </c>
      <c r="ED76" s="24">
        <f t="shared" si="72"/>
        <v>46.736186266032774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2.2737367544323206E-13</v>
      </c>
      <c r="EK76" s="18">
        <f>EJ76*VLOOKUP('Données projet'!$B$15,Paramètres!$A$1:$I$89,3,0)*VLOOKUP('Données projet'!$B$15,Paramètres!$A$1:$I$89,5,0)</f>
        <v>1.3596945791505279E-13</v>
      </c>
      <c r="EL76" s="14">
        <f t="shared" si="99"/>
        <v>1.9708830566360721E-12</v>
      </c>
      <c r="EM76" s="22">
        <f t="shared" si="73"/>
        <v>3.669434796176543E-12</v>
      </c>
      <c r="EN76" s="62">
        <f t="shared" si="74"/>
        <v>267.78278419792548</v>
      </c>
      <c r="EO76" s="62">
        <f ca="1">AVERAGE(OFFSET($EN$3,0,0,'Données projet'!$E$15+1,1))-AVERAGE(OFFSET($H$3,0,0,'Données projet'!$E$15+1,1))</f>
        <v>281.21543175875604</v>
      </c>
      <c r="EP76" s="62">
        <f t="shared" si="100"/>
        <v>366.68536296857428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73.814224171482522</v>
      </c>
      <c r="EW76" s="23">
        <f>EXP(-LN(2)/25)*EW75+(1-EXP(-LN(2)/25))/(LN(2)/25)*Calculateur!ER76*Calculateur!ET76*VLOOKUP('Données projet'!$B$15,Paramètres!$A$1:$I$89,3,0)*0.475*44/12</f>
        <v>22.544891849377855</v>
      </c>
      <c r="EX76" s="23">
        <f>EXP(-LN(2)/2)*EX75+(1-EXP(-LN(2)/2))/(LN(2)/2)*ER76*EU76*VLOOKUP('Données projet'!$B$15,Paramètres!$A$1:$I$89,3,0)*0.475*44/12</f>
        <v>5.7640765842173917E-2</v>
      </c>
      <c r="EY76" s="24">
        <f t="shared" si="75"/>
        <v>96.41675678670255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13.032999999999998</v>
      </c>
      <c r="FE76" s="13">
        <f>IF('Données projet'!$A$218&gt;35,FE75+FD76-FM75,IF(A76&lt;'Données projet'!$A$218,$FB$205^A76,IF(A76='Données projet'!$A$218,'Données projet'!$B$218,FE75+FD76-FM75)))</f>
        <v>375.98400000000009</v>
      </c>
      <c r="FF76" s="18">
        <f>FE76*VLOOKUP('Données projet'!$B$16,Paramètres!$A$1:$I$89,3,0)*VLOOKUP('Données projet'!$B$16,Paramètres!$A$1:$I$89,5,0)</f>
        <v>210.17505600000007</v>
      </c>
      <c r="FG76" s="14">
        <f t="shared" si="101"/>
        <v>51.973837983301706</v>
      </c>
      <c r="FH76" s="22">
        <f t="shared" si="76"/>
        <v>456.57599035425056</v>
      </c>
      <c r="FI76" s="62">
        <f t="shared" si="77"/>
        <v>724.35877455217235</v>
      </c>
      <c r="FJ76" s="62">
        <f ca="1">AVERAGE(OFFSET($FI$3,0,0,'Données projet'!$E$16+1,1))-AVERAGE(OFFSET($H$3,0,0,'Données projet'!$E$16+1,1))</f>
        <v>280.9225643428145</v>
      </c>
      <c r="FK76" s="62">
        <f t="shared" si="102"/>
        <v>236.89414218053955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58.145590552848539</v>
      </c>
      <c r="FR76" s="23">
        <f>EXP(-LN(2)/25)*FR75+(1-EXP(-LN(2)/25))/(LN(2)/25)*Calculateur!FM76*Calculateur!FO76*VLOOKUP('Données projet'!$B$16,Paramètres!$A$1:$I$89,3,0)*0.475*44/12</f>
        <v>26.871186366210953</v>
      </c>
      <c r="FS76" s="23">
        <f>EXP(-LN(2)/2)*FS75+(1-EXP(-LN(2)/2))/(LN(2)/2)*FM76*FP76*VLOOKUP('Données projet'!$B$16,Paramètres!$A$1:$I$89,3,0)*0.475*44/12</f>
        <v>1.5173123469369584E-3</v>
      </c>
      <c r="FT76" s="24">
        <f t="shared" si="78"/>
        <v>85.018294231406429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5.246000000000004</v>
      </c>
      <c r="FZ76" s="13">
        <f>IF('Données projet'!$A$244&gt;35,FZ75+FY76-GH75,IF(A76&lt;'Données projet'!$A$244,$FW$205^A76,IF(A76='Données projet'!$A$244,'Données projet'!$B$244,FZ75+FY76-GH75)))</f>
        <v>299.63799999999935</v>
      </c>
      <c r="GA76" s="18">
        <f>FZ76*VLOOKUP('Données projet'!$B$17,Paramètres!$A$1:$I$89,3,0)*VLOOKUP('Données projet'!$B$17,Paramètres!$A$1:$I$89,5,0)</f>
        <v>132.43999599999972</v>
      </c>
      <c r="GB76" s="14">
        <f t="shared" si="103"/>
        <v>34.559559138190806</v>
      </c>
      <c r="GC76" s="22">
        <f t="shared" si="79"/>
        <v>290.85755853234849</v>
      </c>
      <c r="GD76" s="62">
        <f t="shared" si="80"/>
        <v>558.64034273027028</v>
      </c>
      <c r="GE76" s="62">
        <f ca="1">AVERAGE(OFFSET($GD$3,0,0,'Données projet'!$E$17+1,1))-AVERAGE(OFFSET($H$3,0,0,'Données projet'!$E$17+1,1))</f>
        <v>325.67421864225201</v>
      </c>
      <c r="GF76" s="62">
        <f t="shared" si="104"/>
        <v>542.01920418736745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51.977864103051971</v>
      </c>
      <c r="GM76" s="23">
        <f>EXP(-LN(2)/25)*GM75+(1-EXP(-LN(2)/25))/(LN(2)/25)*Calculateur!GH76*Calculateur!GJ76*VLOOKUP('Données projet'!$B$17,Paramètres!$A$1:$I$89,3,0)*0.475*44/12</f>
        <v>59.017200305556109</v>
      </c>
      <c r="GN76" s="23">
        <f>EXP(-LN(2)/2)*GN75+(1-EXP(-LN(2)/2))/(LN(2)/2)*GH76*GK76*VLOOKUP('Données projet'!$B$17,Paramètres!$A$1:$I$89,3,0)*0.475*44/12</f>
        <v>1.5454282115959243E-3</v>
      </c>
      <c r="GO76" s="23">
        <f t="shared" si="81"/>
        <v>110.99660983681967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2.7719999999999998</v>
      </c>
      <c r="GU76" s="13">
        <f>IF('Données projet'!$A$270&gt;35,GU75+GT76-HC75,IF(A76&lt;'Données projet'!$A$270,$GR$205^A76,IF(A76='Données projet'!$A$270,'Données projet'!$B$270,GU75+GT76-HC75)))</f>
        <v>81.256000000000014</v>
      </c>
      <c r="GV76" s="18">
        <f>GU76*VLOOKUP('Données projet'!$B$18,Paramètres!$A$1:$I$89,3,0)*VLOOKUP('Données projet'!$B$18,Paramètres!$A$1:$I$89,5,0)</f>
        <v>82.393584000000018</v>
      </c>
      <c r="GW76" s="14">
        <f t="shared" si="105"/>
        <v>22.721419926856214</v>
      </c>
      <c r="GX76" s="22">
        <f t="shared" si="82"/>
        <v>183.07529850594128</v>
      </c>
      <c r="GY76" s="62">
        <f t="shared" si="83"/>
        <v>450.85808270386303</v>
      </c>
      <c r="GZ76" s="62">
        <f ca="1">AVERAGE(OFFSET($GY$3,0,0,'Données projet'!$E$18+1,1))-AVERAGE(OFFSET($H$3,0,0,'Données projet'!$E$18+1,1))</f>
        <v>220.89224520315713</v>
      </c>
      <c r="HA76" s="62">
        <f t="shared" si="106"/>
        <v>141.82763623159096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-2.8421709430404007E-14</v>
      </c>
      <c r="O77" s="14">
        <f>N77*VLOOKUP('Données projet'!$B$9,Paramètres!$A$1:$I$89,3,0)*VLOOKUP('Données projet'!$B$9,Paramètres!$A$1:$I$89,5,0)</f>
        <v>-2.7489477361086758E-14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84.959354125980269</v>
      </c>
      <c r="T77" s="62">
        <f t="shared" si="88"/>
        <v>89.658970210276806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13.933818052233496</v>
      </c>
      <c r="AB77" s="23">
        <f>EXP(-LN(2)/2)*AB76+(1-EXP(-LN(2)/2))/(LN(2)/2)*V77*Y77*VLOOKUP('Données projet'!$B$9,Paramètres!$A$1:$I$89,3,0)*0.475*44/12</f>
        <v>0.81779267467640626</v>
      </c>
      <c r="AC77" s="24">
        <f t="shared" si="57"/>
        <v>14.751610726909902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9.6040000000000028</v>
      </c>
      <c r="AI77" s="14">
        <f>IF('Données projet'!$A$62&gt;35,AI76+AH77-AQ76,IF(A77&lt;'Données projet'!$A$62,$AF$205^A77,IF(A77='Données projet'!$A$62,'Données projet'!$B$62,AI76+AH77-AQ76)))</f>
        <v>301.54600000000005</v>
      </c>
      <c r="AJ77" s="14">
        <f>AI77*VLOOKUP('Données projet'!$B$10,Paramètres!$A$1:$I$89,3,0)*VLOOKUP('Données projet'!$B$10,Paramètres!$A$1:$I$89,5,0)</f>
        <v>286.95117360000006</v>
      </c>
      <c r="AK77" s="14">
        <f t="shared" si="89"/>
        <v>68.433888578575349</v>
      </c>
      <c r="AL77" s="22">
        <f t="shared" si="58"/>
        <v>618.96231662768548</v>
      </c>
      <c r="AM77" s="62">
        <f t="shared" si="59"/>
        <v>887.18834573063634</v>
      </c>
      <c r="AN77" s="62">
        <f ca="1">AVERAGE(OFFSET($AM$3,0,0,'Données projet'!$E$10+1,1))-AVERAGE(OFFSET($H$3,0,0,'Données projet'!$E$10+1,1))</f>
        <v>592.76231355549089</v>
      </c>
      <c r="AO77" s="62">
        <f t="shared" si="90"/>
        <v>200.66895551079014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2.4548879537404553</v>
      </c>
      <c r="AV77" s="23">
        <f>EXP(-LN(2)/25)*AV76+(1-EXP(-LN(2)/25))/(LN(2)/25)*Calculateur!AQ77*Calculateur!AS77*VLOOKUP('Données projet'!$B$10,Paramètres!$A$1:$I$89,3,0)*0.475*44/12</f>
        <v>12.301692037899921</v>
      </c>
      <c r="AW77" s="23">
        <f>EXP(-LN(2)/2)*AW76+(1-EXP(-LN(2)/2))/(LN(2)/2)*AQ77*AT77*VLOOKUP('Données projet'!$B$10,Paramètres!$A$1:$I$89,3,0)*0.475*44/12</f>
        <v>0.1004633346072623</v>
      </c>
      <c r="AX77" s="23">
        <f t="shared" si="60"/>
        <v>14.857043326247638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4.4200000000000017</v>
      </c>
      <c r="BD77" s="13">
        <f>IF('Données projet'!$A$88&gt;35,BD76+BC77-BL76,IF(A77&lt;'Données projet'!$A$88,$BA$205^A77,IF(A77='Données projet'!$A$88,'Données projet'!$B$88,BD76+BC77-BL76)))</f>
        <v>130.3900000000001</v>
      </c>
      <c r="BE77" s="14">
        <f>BD77*VLOOKUP('Données projet'!$B$11,Paramètres!$A$1:$I$89,3,0)*VLOOKUP('Données projet'!$B$11,Paramètres!$A$1:$I$89,5,0)</f>
        <v>117.97687200000009</v>
      </c>
      <c r="BF77" s="14">
        <f t="shared" si="91"/>
        <v>31.202671982194545</v>
      </c>
      <c r="BG77" s="22">
        <f t="shared" si="61"/>
        <v>259.82103910232229</v>
      </c>
      <c r="BH77" s="62">
        <f t="shared" si="62"/>
        <v>528.04706820527315</v>
      </c>
      <c r="BI77" s="62">
        <f ca="1">AVERAGE(OFFSET($BH$3,0,0,'Données projet'!$E$11+1,1))-AVERAGE(OFFSET($H$3,0,0,'Données projet'!$E$11+1,1))</f>
        <v>316.71836722354374</v>
      </c>
      <c r="BJ77" s="62">
        <f t="shared" si="92"/>
        <v>164.34067012996618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6.4646169591038642</v>
      </c>
      <c r="BQ77" s="23">
        <f>EXP(-LN(2)/25)*BQ76+(1-EXP(-LN(2)/25))/(LN(2)/25)*Calculateur!BL77*Calculateur!BN77*VLOOKUP('Données projet'!$B$11,Paramètres!$A$1:$I$89,3,0)*0.475*44/12</f>
        <v>4.9480060103081573</v>
      </c>
      <c r="BR77" s="23">
        <f>EXP(-LN(2)/2)*BR76+(1-EXP(-LN(2)/2))/(LN(2)/2)*BL77*BO77*VLOOKUP('Données projet'!$B$11,Paramètres!$A$1:$I$89,3,0)*0.475*44/12</f>
        <v>6.4904683423550767E-3</v>
      </c>
      <c r="BS77" s="24">
        <f t="shared" si="63"/>
        <v>11.419113437754376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4.8845000000000001</v>
      </c>
      <c r="BY77" s="13">
        <f>IF('Données projet'!$A$114&gt;35,BY76+BX77-CG76,IF(A77&lt;'Données projet'!$A$114,$BV$205^A77,IF(A77='Données projet'!$A$114,'Données projet'!$B$114,BY76+BX77-CG76)))</f>
        <v>224.94049999999987</v>
      </c>
      <c r="BZ77" s="14">
        <f>BY77*VLOOKUP('Données projet'!$B$12,Paramètres!$A$1:$I$89,3,0)*VLOOKUP('Données projet'!$B$12,Paramètres!$A$1:$I$89,5,0)</f>
        <v>256.16224139999986</v>
      </c>
      <c r="CA77" s="14">
        <f t="shared" si="93"/>
        <v>61.903616254821088</v>
      </c>
      <c r="CB77" s="22">
        <f t="shared" si="64"/>
        <v>553.96470208214635</v>
      </c>
      <c r="CC77" s="62">
        <f t="shared" si="65"/>
        <v>822.19073118509721</v>
      </c>
      <c r="CD77" s="62">
        <f ca="1">AVERAGE(OFFSET($CC$3,0,0,'Données projet'!$E$12+1,1))-AVERAGE(OFFSET($H$3,0,0,'Données projet'!$E$12+1,1))</f>
        <v>454.9779384236806</v>
      </c>
      <c r="CE77" s="62">
        <f t="shared" si="94"/>
        <v>379.32753348721906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10.542632932980691</v>
      </c>
      <c r="CM77" s="23">
        <f>EXP(-LN(2)/2)*CM76+(1-EXP(-LN(2)/2))/(LN(2)/2)*CG77*CJ77*VLOOKUP('Données projet'!$B$12,Paramètres!$A$1:$I$89,3,0)*0.475*44/12</f>
        <v>0.8598398681328544</v>
      </c>
      <c r="CN77" s="24">
        <f t="shared" si="66"/>
        <v>11.402472801113545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252.10592533338991</v>
      </c>
      <c r="CZ77" s="62">
        <f t="shared" si="96"/>
        <v>272.71831345325313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100.70051305921974</v>
      </c>
      <c r="DH77" s="23">
        <f>EXP(-LN(2)/2)*DH76+(1-EXP(-LN(2)/2))/(LN(2)/2)*DB77*DE77*VLOOKUP('Données projet'!$B$13,Paramètres!$A$1:$I$89,3,0)*0.475*44/12</f>
        <v>0.13211209130073273</v>
      </c>
      <c r="DI77" s="24">
        <f t="shared" si="69"/>
        <v>100.83262515052047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21.3764</v>
      </c>
      <c r="DO77" s="13">
        <f>IF('Données projet'!$A$166&gt;35,DO76+DN77-DW76,IF(A77&lt;'Données projet'!$A$166,$DL$205^A77,IF(A77='Données projet'!$A$166,'Données projet'!$B$166,DO76+DN77-DW76)))</f>
        <v>692.79160000000002</v>
      </c>
      <c r="DP77" s="18">
        <f>DO77*VLOOKUP('Données projet'!$B$14,Paramètres!$A$1:$I$89,3,0)*VLOOKUP('Données projet'!$B$14,Paramètres!$A$1:$I$89,5,0)</f>
        <v>414.28937680000007</v>
      </c>
      <c r="DQ77" s="14">
        <f t="shared" si="97"/>
        <v>94.667672599417628</v>
      </c>
      <c r="DR77" s="22">
        <f t="shared" si="70"/>
        <v>886.43352770398587</v>
      </c>
      <c r="DS77" s="62">
        <f t="shared" si="71"/>
        <v>1154.6595568069367</v>
      </c>
      <c r="DT77" s="62">
        <f ca="1">AVERAGE(OFFSET($DS$3,0,0,'Données projet'!$E$14+1,1))-AVERAGE(OFFSET($H$3,0,0,'Données projet'!$E$14+1,1))</f>
        <v>423.0896575168394</v>
      </c>
      <c r="DU77" s="62">
        <f t="shared" si="98"/>
        <v>305.98537395014284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6.610518442220906</v>
      </c>
      <c r="EB77" s="23">
        <f>EXP(-LN(2)/25)*EB76+(1-EXP(-LN(2)/25))/(LN(2)/25)*Calculateur!DW77*Calculateur!DY77*VLOOKUP('Données projet'!$B$14,Paramètres!$A$1:$I$89,3,0)*0.475*44/12</f>
        <v>38.864196030948108</v>
      </c>
      <c r="EC77" s="23">
        <f>EXP(-LN(2)/2)*EC76+(1-EXP(-LN(2)/2))/(LN(2)/2)*DW77*DZ77*VLOOKUP('Données projet'!$B$14,Paramètres!$A$1:$I$89,3,0)*0.475*44/12</f>
        <v>2.5900978143569016E-2</v>
      </c>
      <c r="ED77" s="24">
        <f t="shared" si="72"/>
        <v>45.500615451312584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2.2737367544323206E-13</v>
      </c>
      <c r="EK77" s="18">
        <f>EJ77*VLOOKUP('Données projet'!$B$15,Paramètres!$A$1:$I$89,3,0)*VLOOKUP('Données projet'!$B$15,Paramètres!$A$1:$I$89,5,0)</f>
        <v>1.3596945791505279E-13</v>
      </c>
      <c r="EL77" s="14">
        <f t="shared" si="99"/>
        <v>1.9708830566360721E-12</v>
      </c>
      <c r="EM77" s="22">
        <f t="shared" si="73"/>
        <v>3.669434796176543E-12</v>
      </c>
      <c r="EN77" s="62">
        <f t="shared" si="74"/>
        <v>268.22602910295456</v>
      </c>
      <c r="EO77" s="62">
        <f ca="1">AVERAGE(OFFSET($EN$3,0,0,'Données projet'!$E$15+1,1))-AVERAGE(OFFSET($H$3,0,0,'Données projet'!$E$15+1,1))</f>
        <v>281.21543175875604</v>
      </c>
      <c r="EP77" s="62">
        <f t="shared" si="100"/>
        <v>366.68536296857428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72.36677225771092</v>
      </c>
      <c r="EW77" s="23">
        <f>EXP(-LN(2)/25)*EW76+(1-EXP(-LN(2)/25))/(LN(2)/25)*Calculateur!ER77*Calculateur!ET77*VLOOKUP('Données projet'!$B$15,Paramètres!$A$1:$I$89,3,0)*0.475*44/12</f>
        <v>21.928400596172281</v>
      </c>
      <c r="EX77" s="23">
        <f>EXP(-LN(2)/2)*EX76+(1-EXP(-LN(2)/2))/(LN(2)/2)*ER77*EU77*VLOOKUP('Données projet'!$B$15,Paramètres!$A$1:$I$89,3,0)*0.475*44/12</f>
        <v>4.0758176399787099E-2</v>
      </c>
      <c r="EY77" s="24">
        <f t="shared" si="75"/>
        <v>94.335931030282993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13.032999999999998</v>
      </c>
      <c r="FE77" s="13">
        <f>IF('Données projet'!$A$218&gt;35,FE76+FD77-FM76,IF(A77&lt;'Données projet'!$A$218,$FB$205^A77,IF(A77='Données projet'!$A$218,'Données projet'!$B$218,FE76+FD77-FM76)))</f>
        <v>389.01700000000011</v>
      </c>
      <c r="FF77" s="18">
        <f>FE77*VLOOKUP('Données projet'!$B$16,Paramètres!$A$1:$I$89,3,0)*VLOOKUP('Données projet'!$B$16,Paramètres!$A$1:$I$89,5,0)</f>
        <v>217.46050300000007</v>
      </c>
      <c r="FG77" s="14">
        <f t="shared" si="101"/>
        <v>53.562566187263386</v>
      </c>
      <c r="FH77" s="22">
        <f t="shared" si="76"/>
        <v>472.03184550115043</v>
      </c>
      <c r="FI77" s="62">
        <f t="shared" si="77"/>
        <v>740.25787460410129</v>
      </c>
      <c r="FJ77" s="62">
        <f ca="1">AVERAGE(OFFSET($FI$3,0,0,'Données projet'!$E$16+1,1))-AVERAGE(OFFSET($H$3,0,0,'Données projet'!$E$16+1,1))</f>
        <v>280.9225643428145</v>
      </c>
      <c r="FK77" s="62">
        <f t="shared" si="102"/>
        <v>236.89414218053955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57.00539098741551</v>
      </c>
      <c r="FR77" s="23">
        <f>EXP(-LN(2)/25)*FR76+(1-EXP(-LN(2)/25))/(LN(2)/25)*Calculateur!FM77*Calculateur!FO77*VLOOKUP('Données projet'!$B$16,Paramètres!$A$1:$I$89,3,0)*0.475*44/12</f>
        <v>26.136392361932639</v>
      </c>
      <c r="FS77" s="23">
        <f>EXP(-LN(2)/2)*FS76+(1-EXP(-LN(2)/2))/(LN(2)/2)*FM77*FP77*VLOOKUP('Données projet'!$B$16,Paramètres!$A$1:$I$89,3,0)*0.475*44/12</f>
        <v>1.0729018496971987E-3</v>
      </c>
      <c r="FT77" s="24">
        <f t="shared" si="78"/>
        <v>83.142856251197841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5.246000000000004</v>
      </c>
      <c r="FZ77" s="13">
        <f>IF('Données projet'!$A$244&gt;35,FZ76+FY77-GH76,IF(A77&lt;'Données projet'!$A$244,$FW$205^A77,IF(A77='Données projet'!$A$244,'Données projet'!$B$244,FZ76+FY77-GH76)))</f>
        <v>304.88399999999933</v>
      </c>
      <c r="GA77" s="18">
        <f>FZ77*VLOOKUP('Données projet'!$B$17,Paramètres!$A$1:$I$89,3,0)*VLOOKUP('Données projet'!$B$17,Paramètres!$A$1:$I$89,5,0)</f>
        <v>134.75872799999971</v>
      </c>
      <c r="GB77" s="14">
        <f t="shared" si="103"/>
        <v>35.093650317736028</v>
      </c>
      <c r="GC77" s="22">
        <f t="shared" si="79"/>
        <v>295.82622557005641</v>
      </c>
      <c r="GD77" s="62">
        <f t="shared" si="80"/>
        <v>564.05225467300727</v>
      </c>
      <c r="GE77" s="62">
        <f ca="1">AVERAGE(OFFSET($GD$3,0,0,'Données projet'!$E$17+1,1))-AVERAGE(OFFSET($H$3,0,0,'Données projet'!$E$17+1,1))</f>
        <v>325.67421864225201</v>
      </c>
      <c r="GF77" s="62">
        <f t="shared" si="104"/>
        <v>542.01920418736745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50.958609891357774</v>
      </c>
      <c r="GM77" s="23">
        <f>EXP(-LN(2)/25)*GM76+(1-EXP(-LN(2)/25))/(LN(2)/25)*Calculateur!GH77*Calculateur!GJ77*VLOOKUP('Données projet'!$B$17,Paramètres!$A$1:$I$89,3,0)*0.475*44/12</f>
        <v>57.403371859620997</v>
      </c>
      <c r="GN77" s="23">
        <f>EXP(-LN(2)/2)*GN76+(1-EXP(-LN(2)/2))/(LN(2)/2)*GH77*GK77*VLOOKUP('Données projet'!$B$17,Paramètres!$A$1:$I$89,3,0)*0.475*44/12</f>
        <v>1.0927827682564767E-3</v>
      </c>
      <c r="GO77" s="23">
        <f t="shared" si="81"/>
        <v>108.36307453374702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2.7719999999999998</v>
      </c>
      <c r="GU77" s="13">
        <f>IF('Données projet'!$A$270&gt;35,GU76+GT77-HC76,IF(A77&lt;'Données projet'!$A$270,$GR$205^A77,IF(A77='Données projet'!$A$270,'Données projet'!$B$270,GU76+GT77-HC76)))</f>
        <v>84.02800000000002</v>
      </c>
      <c r="GV77" s="18">
        <f>GU77*VLOOKUP('Données projet'!$B$18,Paramètres!$A$1:$I$89,3,0)*VLOOKUP('Données projet'!$B$18,Paramètres!$A$1:$I$89,5,0)</f>
        <v>85.204392000000027</v>
      </c>
      <c r="GW77" s="14">
        <f t="shared" si="105"/>
        <v>23.404979870973492</v>
      </c>
      <c r="GX77" s="22">
        <f t="shared" si="82"/>
        <v>189.16132267527885</v>
      </c>
      <c r="GY77" s="62">
        <f t="shared" si="83"/>
        <v>457.38735177822969</v>
      </c>
      <c r="GZ77" s="62">
        <f ca="1">AVERAGE(OFFSET($GY$3,0,0,'Données projet'!$E$18+1,1))-AVERAGE(OFFSET($H$3,0,0,'Données projet'!$E$18+1,1))</f>
        <v>220.89224520315713</v>
      </c>
      <c r="HA77" s="62">
        <f t="shared" si="106"/>
        <v>141.82763623159096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-2.8421709430404007E-14</v>
      </c>
      <c r="O78" s="14">
        <f>N78*VLOOKUP('Données projet'!$B$9,Paramètres!$A$1:$I$89,3,0)*VLOOKUP('Données projet'!$B$9,Paramètres!$A$1:$I$89,5,0)</f>
        <v>-2.7489477361086758E-14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84.959354125980269</v>
      </c>
      <c r="T78" s="62">
        <f t="shared" si="88"/>
        <v>89.658970210276806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13.552797064847526</v>
      </c>
      <c r="AB78" s="23">
        <f>EXP(-LN(2)/2)*AB77+(1-EXP(-LN(2)/2))/(LN(2)/2)*V78*Y78*VLOOKUP('Données projet'!$B$9,Paramètres!$A$1:$I$89,3,0)*0.475*44/12</f>
        <v>0.57826674586837112</v>
      </c>
      <c r="AC78" s="24">
        <f t="shared" si="57"/>
        <v>14.131063810715897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9.6040000000000028</v>
      </c>
      <c r="AI78" s="14">
        <f>IF('Données projet'!$A$62&gt;35,AI77+AH78-AQ77,IF(A78&lt;'Données projet'!$A$62,$AF$205^A78,IF(A78='Données projet'!$A$62,'Données projet'!$B$62,AI77+AH78-AQ77)))</f>
        <v>311.15000000000003</v>
      </c>
      <c r="AJ78" s="14">
        <f>AI78*VLOOKUP('Données projet'!$B$10,Paramètres!$A$1:$I$89,3,0)*VLOOKUP('Données projet'!$B$10,Paramètres!$A$1:$I$89,5,0)</f>
        <v>296.09034000000003</v>
      </c>
      <c r="AK78" s="14">
        <f t="shared" si="89"/>
        <v>70.356223875543819</v>
      </c>
      <c r="AL78" s="22">
        <f t="shared" si="58"/>
        <v>638.2277654165722</v>
      </c>
      <c r="AM78" s="62">
        <f t="shared" si="59"/>
        <v>906.88935011639705</v>
      </c>
      <c r="AN78" s="62">
        <f ca="1">AVERAGE(OFFSET($AM$3,0,0,'Données projet'!$E$10+1,1))-AVERAGE(OFFSET($H$3,0,0,'Données projet'!$E$10+1,1))</f>
        <v>592.76231355549089</v>
      </c>
      <c r="AO78" s="62">
        <f t="shared" si="90"/>
        <v>200.66895551079014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2.4067490983014075</v>
      </c>
      <c r="AV78" s="23">
        <f>EXP(-LN(2)/25)*AV77+(1-EXP(-LN(2)/25))/(LN(2)/25)*Calculateur!AQ78*Calculateur!AS78*VLOOKUP('Données projet'!$B$10,Paramètres!$A$1:$I$89,3,0)*0.475*44/12</f>
        <v>11.965301622205679</v>
      </c>
      <c r="AW78" s="23">
        <f>EXP(-LN(2)/2)*AW77+(1-EXP(-LN(2)/2))/(LN(2)/2)*AQ78*AT78*VLOOKUP('Données projet'!$B$10,Paramètres!$A$1:$I$89,3,0)*0.475*44/12</f>
        <v>7.1038305161408327E-2</v>
      </c>
      <c r="AX78" s="23">
        <f t="shared" si="60"/>
        <v>14.443089025668495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134.81</v>
      </c>
      <c r="BB78" s="13">
        <f>VLOOKUP(A78,'Données projet'!$A$87:$I$107,9,0)</f>
        <v>4.4200000000000017</v>
      </c>
      <c r="BC78" s="13">
        <f t="array" ref="BC78">INDEX(BB:BB,MIN(IF(ISNUMBER(BB78:BB274),ROW(BB78:BB274),"")))</f>
        <v>4.4200000000000017</v>
      </c>
      <c r="BD78" s="13">
        <f>IF('Données projet'!$A$88&gt;35,BD77+BC78-BL77,IF(A78&lt;'Données projet'!$A$88,$BA$205^A78,IF(A78='Données projet'!$A$88,'Données projet'!$B$88,BD77+BC78-BL77)))</f>
        <v>134.81000000000012</v>
      </c>
      <c r="BE78" s="14">
        <f>BD78*VLOOKUP('Données projet'!$B$11,Paramètres!$A$1:$I$89,3,0)*VLOOKUP('Données projet'!$B$11,Paramètres!$A$1:$I$89,5,0)</f>
        <v>121.9760880000001</v>
      </c>
      <c r="BF78" s="14">
        <f t="shared" si="91"/>
        <v>32.135450334325604</v>
      </c>
      <c r="BG78" s="22">
        <f t="shared" si="61"/>
        <v>268.41092926561726</v>
      </c>
      <c r="BH78" s="62">
        <f t="shared" si="62"/>
        <v>537.07251396544211</v>
      </c>
      <c r="BI78" s="62">
        <f ca="1">AVERAGE(OFFSET($BH$3,0,0,'Données projet'!$E$11+1,1))-AVERAGE(OFFSET($H$3,0,0,'Données projet'!$E$11+1,1))</f>
        <v>316.71836722354374</v>
      </c>
      <c r="BJ78" s="62">
        <f t="shared" si="92"/>
        <v>164.34067012996618</v>
      </c>
      <c r="BK78" s="16">
        <f>IF(ISNA(VLOOKUP(A78,'Données projet'!$A$87:$I$107,3,0)),0,VLOOKUP(A78,'Données projet'!$A$87:$I$107,3,0))</f>
        <v>9</v>
      </c>
      <c r="BL78" s="16">
        <f>IF(ISNA(VLOOKUP(A78,'Données projet'!$A$87:$I$107,4,0)),0,VLOOKUP(A78,'Données projet'!$A$87:$I$107,4,0))</f>
        <v>13.15</v>
      </c>
      <c r="BM78" s="17">
        <f>IF(ISNA(VLOOKUP(A78,'Données projet'!$A$87:$I$107,5,0)),0%,VLOOKUP(A78,'Données projet'!$A$87:$I$107,5,0)*VLOOKUP('Données projet'!$B$11,Paramètres!$A$1:$I$89,7,0))</f>
        <v>0.25800000000000001</v>
      </c>
      <c r="BN78" s="17">
        <f>IF(ISNA(VLOOKUP(A78,'Données projet'!$A$87:$I$107,6,0)),0%,VLOOKUP(A78,'Données projet'!$A$87:$I$107,6,0)*VLOOKUP('Données projet'!$B$11,Paramètres!$A$1:$I$89,7,0))</f>
        <v>4.3000000000000003E-2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9.7313287254520162</v>
      </c>
      <c r="BQ78" s="23">
        <f>EXP(-LN(2)/25)*BQ77+(1-EXP(-LN(2)/25))/(LN(2)/25)*Calculateur!BL78*Calculateur!BN78*VLOOKUP('Données projet'!$B$11,Paramètres!$A$1:$I$89,3,0)*0.475*44/12</f>
        <v>5.3760554494518473</v>
      </c>
      <c r="BR78" s="23">
        <f>EXP(-LN(2)/2)*BR77+(1-EXP(-LN(2)/2))/(LN(2)/2)*BL78*BO78*VLOOKUP('Données projet'!$B$11,Paramètres!$A$1:$I$89,3,0)*0.475*44/12</f>
        <v>4.589454177955885E-3</v>
      </c>
      <c r="BS78" s="24">
        <f t="shared" si="63"/>
        <v>15.11197362908182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4.8845000000000001</v>
      </c>
      <c r="BY78" s="13">
        <f>IF('Données projet'!$A$114&gt;35,BY77+BX78-CG77,IF(A78&lt;'Données projet'!$A$114,$BV$205^A78,IF(A78='Données projet'!$A$114,'Données projet'!$B$114,BY77+BX78-CG77)))</f>
        <v>229.82499999999987</v>
      </c>
      <c r="BZ78" s="14">
        <f>BY78*VLOOKUP('Données projet'!$B$12,Paramètres!$A$1:$I$89,3,0)*VLOOKUP('Données projet'!$B$12,Paramètres!$A$1:$I$89,5,0)</f>
        <v>261.72470999999985</v>
      </c>
      <c r="CA78" s="14">
        <f t="shared" si="93"/>
        <v>63.089874846123728</v>
      </c>
      <c r="CB78" s="22">
        <f t="shared" si="64"/>
        <v>565.71873527366517</v>
      </c>
      <c r="CC78" s="62">
        <f t="shared" si="65"/>
        <v>834.38031997349003</v>
      </c>
      <c r="CD78" s="62">
        <f ca="1">AVERAGE(OFFSET($CC$3,0,0,'Données projet'!$E$12+1,1))-AVERAGE(OFFSET($H$3,0,0,'Données projet'!$E$12+1,1))</f>
        <v>454.9779384236806</v>
      </c>
      <c r="CE78" s="62">
        <f t="shared" si="94"/>
        <v>379.32753348721906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10.254344081015363</v>
      </c>
      <c r="CM78" s="23">
        <f>EXP(-LN(2)/2)*CM77+(1-EXP(-LN(2)/2))/(LN(2)/2)*CG78*CJ78*VLOOKUP('Données projet'!$B$12,Paramètres!$A$1:$I$89,3,0)*0.475*44/12</f>
        <v>0.60799860149128815</v>
      </c>
      <c r="CN78" s="24">
        <f t="shared" si="66"/>
        <v>10.86234268250665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252.10592533338991</v>
      </c>
      <c r="CZ78" s="62">
        <f t="shared" si="96"/>
        <v>272.71831345325313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97.946852234005547</v>
      </c>
      <c r="DH78" s="23">
        <f>EXP(-LN(2)/2)*DH77+(1-EXP(-LN(2)/2))/(LN(2)/2)*DB78*DE78*VLOOKUP('Données projet'!$B$13,Paramètres!$A$1:$I$89,3,0)*0.475*44/12</f>
        <v>9.3417355635484409E-2</v>
      </c>
      <c r="DI78" s="24">
        <f t="shared" si="69"/>
        <v>98.040269589641028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21.3764</v>
      </c>
      <c r="DO78" s="13">
        <f>IF('Données projet'!$A$166&gt;35,DO77+DN78-DW77,IF(A78&lt;'Données projet'!$A$166,$DL$205^A78,IF(A78='Données projet'!$A$166,'Données projet'!$B$166,DO77+DN78-DW77)))</f>
        <v>714.16800000000001</v>
      </c>
      <c r="DP78" s="18">
        <f>DO78*VLOOKUP('Données projet'!$B$14,Paramètres!$A$1:$I$89,3,0)*VLOOKUP('Données projet'!$B$14,Paramètres!$A$1:$I$89,5,0)</f>
        <v>427.07246400000002</v>
      </c>
      <c r="DQ78" s="14">
        <f t="shared" si="97"/>
        <v>97.244098089581385</v>
      </c>
      <c r="DR78" s="22">
        <f t="shared" si="70"/>
        <v>913.18467897268772</v>
      </c>
      <c r="DS78" s="62">
        <f t="shared" si="71"/>
        <v>1181.8462636725126</v>
      </c>
      <c r="DT78" s="62">
        <f ca="1">AVERAGE(OFFSET($DS$3,0,0,'Données projet'!$E$14+1,1))-AVERAGE(OFFSET($H$3,0,0,'Données projet'!$E$14+1,1))</f>
        <v>423.0896575168394</v>
      </c>
      <c r="DU78" s="62">
        <f t="shared" si="98"/>
        <v>305.98537395014284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6.4808902075870751</v>
      </c>
      <c r="EB78" s="23">
        <f>EXP(-LN(2)/25)*EB77+(1-EXP(-LN(2)/25))/(LN(2)/25)*Calculateur!DW78*Calculateur!DY78*VLOOKUP('Données projet'!$B$14,Paramètres!$A$1:$I$89,3,0)*0.475*44/12</f>
        <v>37.801452546702585</v>
      </c>
      <c r="EC78" s="23">
        <f>EXP(-LN(2)/2)*EC77+(1-EXP(-LN(2)/2))/(LN(2)/2)*DW78*DZ78*VLOOKUP('Données projet'!$B$14,Paramètres!$A$1:$I$89,3,0)*0.475*44/12</f>
        <v>1.8314757284682206E-2</v>
      </c>
      <c r="ED78" s="24">
        <f t="shared" si="72"/>
        <v>44.300657511574343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2.2737367544323206E-13</v>
      </c>
      <c r="EK78" s="18">
        <f>EJ78*VLOOKUP('Données projet'!$B$15,Paramètres!$A$1:$I$89,3,0)*VLOOKUP('Données projet'!$B$15,Paramètres!$A$1:$I$89,5,0)</f>
        <v>1.3596945791505279E-13</v>
      </c>
      <c r="EL78" s="14">
        <f t="shared" si="99"/>
        <v>1.9708830566360721E-12</v>
      </c>
      <c r="EM78" s="22">
        <f t="shared" si="73"/>
        <v>3.669434796176543E-12</v>
      </c>
      <c r="EN78" s="62">
        <f t="shared" si="74"/>
        <v>268.6615846998285</v>
      </c>
      <c r="EO78" s="62">
        <f ca="1">AVERAGE(OFFSET($EN$3,0,0,'Données projet'!$E$15+1,1))-AVERAGE(OFFSET($H$3,0,0,'Données projet'!$E$15+1,1))</f>
        <v>281.21543175875604</v>
      </c>
      <c r="EP78" s="62">
        <f t="shared" si="100"/>
        <v>366.68536296857428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70.947703993109883</v>
      </c>
      <c r="EW78" s="23">
        <f>EXP(-LN(2)/25)*EW77+(1-EXP(-LN(2)/25))/(LN(2)/25)*Calculateur!ER78*Calculateur!ET78*VLOOKUP('Données projet'!$B$15,Paramètres!$A$1:$I$89,3,0)*0.475*44/12</f>
        <v>21.328767328705482</v>
      </c>
      <c r="EX78" s="23">
        <f>EXP(-LN(2)/2)*EX77+(1-EXP(-LN(2)/2))/(LN(2)/2)*ER78*EU78*VLOOKUP('Données projet'!$B$15,Paramètres!$A$1:$I$89,3,0)*0.475*44/12</f>
        <v>2.8820382921086962E-2</v>
      </c>
      <c r="EY78" s="24">
        <f t="shared" si="75"/>
        <v>92.305291704736447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402.05</v>
      </c>
      <c r="FC78" s="13">
        <f>VLOOKUP(A78,'Données projet'!$A$217:$I$237,9,0)</f>
        <v>13.032999999999998</v>
      </c>
      <c r="FD78" s="13">
        <f t="array" ref="FD78">INDEX(FC:FC,MIN(IF(ISNUMBER(FC78:FC274),ROW(FC78:FC274),"")))</f>
        <v>13.032999999999998</v>
      </c>
      <c r="FE78" s="13">
        <f>IF('Données projet'!$A$218&gt;35,FE77+FD78-FM77,IF(A78&lt;'Données projet'!$A$218,$FB$205^A78,IF(A78='Données projet'!$A$218,'Données projet'!$B$218,FE77+FD78-FM77)))</f>
        <v>402.05000000000013</v>
      </c>
      <c r="FF78" s="18">
        <f>FE78*VLOOKUP('Données projet'!$B$16,Paramètres!$A$1:$I$89,3,0)*VLOOKUP('Données projet'!$B$16,Paramètres!$A$1:$I$89,5,0)</f>
        <v>224.74595000000008</v>
      </c>
      <c r="FG78" s="14">
        <f t="shared" si="101"/>
        <v>55.145109704488952</v>
      </c>
      <c r="FH78" s="22">
        <f t="shared" si="76"/>
        <v>487.47692898531835</v>
      </c>
      <c r="FI78" s="62">
        <f t="shared" si="77"/>
        <v>756.13851368514315</v>
      </c>
      <c r="FJ78" s="62">
        <f ca="1">AVERAGE(OFFSET($FI$3,0,0,'Données projet'!$E$16+1,1))-AVERAGE(OFFSET($H$3,0,0,'Données projet'!$E$16+1,1))</f>
        <v>280.9225643428145</v>
      </c>
      <c r="FK78" s="62">
        <f t="shared" si="102"/>
        <v>236.89414218053955</v>
      </c>
      <c r="FL78" s="16">
        <f>IF(ISNA(VLOOKUP(A78,'Données projet'!$A$217:$I$237,3,0)),0,VLOOKUP(A78,'Données projet'!$A$217:$I$237,3,0))</f>
        <v>10</v>
      </c>
      <c r="FM78" s="16">
        <f>IF(ISNA(VLOOKUP(A78,'Données projet'!$A$217:$I$237,4,0)),0,VLOOKUP(A78,'Données projet'!$A$217:$I$237,4,0))</f>
        <v>54.28</v>
      </c>
      <c r="FN78" s="17">
        <f>IF(ISNA(VLOOKUP(A78,'Données projet'!$A$217:$I$237,5,0)),0%,VLOOKUP(A78,'Données projet'!$A$217:$I$237,5,0)*VLOOKUP('Données projet'!$B$16,Paramètres!$A$1:$I$89,7,0))</f>
        <v>0.44000000000000006</v>
      </c>
      <c r="FO78" s="17">
        <f>IF(ISNA(VLOOKUP(A78,'Données projet'!$A$217:$I$237,6,0)),0%,VLOOKUP(A78,'Données projet'!$A$217:$I$237,6,0)*VLOOKUP('Données projet'!$B$16,Paramètres!$A$1:$I$89,7,0))</f>
        <v>0.11000000000000001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73.598125789011434</v>
      </c>
      <c r="FR78" s="23">
        <f>EXP(-LN(2)/25)*FR77+(1-EXP(-LN(2)/25))/(LN(2)/25)*Calculateur!FM78*Calculateur!FO78*VLOOKUP('Données projet'!$B$16,Paramètres!$A$1:$I$89,3,0)*0.475*44/12</f>
        <v>29.83190195434786</v>
      </c>
      <c r="FS78" s="23">
        <f>EXP(-LN(2)/2)*FS77+(1-EXP(-LN(2)/2))/(LN(2)/2)*FM78*FP78*VLOOKUP('Données projet'!$B$16,Paramètres!$A$1:$I$89,3,0)*0.475*44/12</f>
        <v>7.5865617346847919E-4</v>
      </c>
      <c r="FT78" s="24">
        <f t="shared" si="78"/>
        <v>103.43078639953276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310.13</v>
      </c>
      <c r="FX78" s="13">
        <f>VLOOKUP(A78,'Données projet'!$A$243:$I$263,9,0)</f>
        <v>5.246000000000004</v>
      </c>
      <c r="FY78" s="13">
        <f t="array" ref="FY78">INDEX(FX:FX,MIN(IF(ISNUMBER(FX78:FX274),ROW(FX78:FX274),"")))</f>
        <v>5.246000000000004</v>
      </c>
      <c r="FZ78" s="13">
        <f>IF('Données projet'!$A$244&gt;35,FZ77+FY78-GH77,IF(A78&lt;'Données projet'!$A$244,$FW$205^A78,IF(A78='Données projet'!$A$244,'Données projet'!$B$244,FZ77+FY78-GH77)))</f>
        <v>310.12999999999931</v>
      </c>
      <c r="GA78" s="18">
        <f>FZ78*VLOOKUP('Données projet'!$B$17,Paramètres!$A$1:$I$89,3,0)*VLOOKUP('Données projet'!$B$17,Paramètres!$A$1:$I$89,5,0)</f>
        <v>137.07745999999969</v>
      </c>
      <c r="GB78" s="14">
        <f t="shared" si="103"/>
        <v>35.626672811930334</v>
      </c>
      <c r="GC78" s="22">
        <f t="shared" si="79"/>
        <v>300.79303131411143</v>
      </c>
      <c r="GD78" s="62">
        <f t="shared" si="80"/>
        <v>569.45461601393617</v>
      </c>
      <c r="GE78" s="62">
        <f ca="1">AVERAGE(OFFSET($GD$3,0,0,'Données projet'!$E$17+1,1))-AVERAGE(OFFSET($H$3,0,0,'Données projet'!$E$17+1,1))</f>
        <v>325.67421864225201</v>
      </c>
      <c r="GF78" s="62">
        <f t="shared" si="104"/>
        <v>542.01920418736745</v>
      </c>
      <c r="GG78" s="16">
        <f>IF(ISNA(VLOOKUP(A78,'Données projet'!$A$243:$I$263,3,0)),0,VLOOKUP(A78,'Données projet'!$A$243:$I$263,3,0))</f>
        <v>11</v>
      </c>
      <c r="GH78" s="16">
        <f>IF(ISNA(VLOOKUP(A78,'Données projet'!$A$243:$I$263,4,0)),0,VLOOKUP(A78,'Données projet'!$A$243:$I$263,4,0))</f>
        <v>38.15</v>
      </c>
      <c r="GI78" s="17">
        <f>IF(ISNA(VLOOKUP(A78,'Données projet'!$A$243:$I$263,5,0)),0%,VLOOKUP(A78,'Données projet'!$A$243:$I$263,5,0)*VLOOKUP('Données projet'!$B$17,Paramètres!$A$1:$I$89,7,0))</f>
        <v>0.44000000000000006</v>
      </c>
      <c r="GJ78" s="17">
        <f>IF(ISNA(VLOOKUP(A78,'Données projet'!$A$243:$I$263,6,0)),0%,VLOOKUP(A78,'Données projet'!$A$243:$I$263,6,0)*VLOOKUP('Données projet'!$B$17,Paramètres!$A$1:$I$89,7,0))</f>
        <v>0.11000000000000001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59.801670872532817</v>
      </c>
      <c r="GM78" s="23">
        <f>EXP(-LN(2)/25)*GM77+(1-EXP(-LN(2)/25))/(LN(2)/25)*Calculateur!GH78*Calculateur!GJ78*VLOOKUP('Données projet'!$B$17,Paramètres!$A$1:$I$89,3,0)*0.475*44/12</f>
        <v>58.284567448147968</v>
      </c>
      <c r="GN78" s="23">
        <f>EXP(-LN(2)/2)*GN77+(1-EXP(-LN(2)/2))/(LN(2)/2)*GH78*GK78*VLOOKUP('Données projet'!$B$17,Paramètres!$A$1:$I$89,3,0)*0.475*44/12</f>
        <v>7.7271410579796216E-4</v>
      </c>
      <c r="GO78" s="23">
        <f t="shared" si="81"/>
        <v>118.08701103478658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86.8</v>
      </c>
      <c r="GS78" s="13">
        <f>VLOOKUP(A78,'Données projet'!$A$269:$I$289,9,0)</f>
        <v>2.7719999999999998</v>
      </c>
      <c r="GT78" s="13">
        <f t="array" ref="GT78">INDEX(GS:GS,MIN(IF(ISNUMBER(GS78:GS274),ROW(GS78:GS274),"")))</f>
        <v>2.7719999999999998</v>
      </c>
      <c r="GU78" s="13">
        <f>IF('Données projet'!$A$270&gt;35,GU77+GT78-HC77,IF(A78&lt;'Données projet'!$A$270,$GR$205^A78,IF(A78='Données projet'!$A$270,'Données projet'!$B$270,GU77+GT78-HC77)))</f>
        <v>86.800000000000026</v>
      </c>
      <c r="GV78" s="18">
        <f>GU78*VLOOKUP('Données projet'!$B$18,Paramètres!$A$1:$I$89,3,0)*VLOOKUP('Données projet'!$B$18,Paramètres!$A$1:$I$89,5,0)</f>
        <v>88.015200000000021</v>
      </c>
      <c r="GW78" s="14">
        <f t="shared" si="105"/>
        <v>24.085919530575829</v>
      </c>
      <c r="GX78" s="22">
        <f t="shared" si="82"/>
        <v>195.24278318241963</v>
      </c>
      <c r="GY78" s="62">
        <f t="shared" si="83"/>
        <v>463.9043678822444</v>
      </c>
      <c r="GZ78" s="62">
        <f ca="1">AVERAGE(OFFSET($GY$3,0,0,'Données projet'!$E$18+1,1))-AVERAGE(OFFSET($H$3,0,0,'Données projet'!$E$18+1,1))</f>
        <v>220.89224520315713</v>
      </c>
      <c r="HA78" s="62">
        <f t="shared" si="106"/>
        <v>141.82763623159096</v>
      </c>
      <c r="HB78" s="16">
        <f>IF(ISNA(VLOOKUP(A78,'Données projet'!$A$269:$I$289,3,0)),0,VLOOKUP(A78,'Données projet'!$A$269:$I$289,3,0))</f>
        <v>9</v>
      </c>
      <c r="HC78" s="16">
        <f>IF(ISNA(VLOOKUP(A78,'Données projet'!$A$269:$I$289,4,0)),0,VLOOKUP(A78,'Données projet'!$A$269:$I$289,4,0))</f>
        <v>8.4700000000000006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-2.8421709430404007E-14</v>
      </c>
      <c r="O79" s="14">
        <f>N79*VLOOKUP('Données projet'!$B$9,Paramètres!$A$1:$I$89,3,0)*VLOOKUP('Données projet'!$B$9,Paramètres!$A$1:$I$89,5,0)</f>
        <v>-2.7489477361086758E-14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84.959354125980269</v>
      </c>
      <c r="T79" s="62">
        <f t="shared" si="88"/>
        <v>89.658970210276806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13.182195116398649</v>
      </c>
      <c r="AB79" s="23">
        <f>EXP(-LN(2)/2)*AB78+(1-EXP(-LN(2)/2))/(LN(2)/2)*V79*Y79*VLOOKUP('Données projet'!$B$9,Paramètres!$A$1:$I$89,3,0)*0.475*44/12</f>
        <v>0.40889633733820319</v>
      </c>
      <c r="AC79" s="24">
        <f t="shared" si="57"/>
        <v>13.591091453736853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9.6040000000000028</v>
      </c>
      <c r="AI79" s="14">
        <f>IF('Données projet'!$A$62&gt;35,AI78+AH79-AQ78,IF(A79&lt;'Données projet'!$A$62,$AF$205^A79,IF(A79='Données projet'!$A$62,'Données projet'!$B$62,AI78+AH79-AQ78)))</f>
        <v>320.75400000000002</v>
      </c>
      <c r="AJ79" s="14">
        <f>AI79*VLOOKUP('Données projet'!$B$10,Paramètres!$A$1:$I$89,3,0)*VLOOKUP('Données projet'!$B$10,Paramètres!$A$1:$I$89,5,0)</f>
        <v>305.22950640000005</v>
      </c>
      <c r="AK79" s="14">
        <f t="shared" si="89"/>
        <v>72.271663805369826</v>
      </c>
      <c r="AL79" s="22">
        <f t="shared" si="58"/>
        <v>657.48120477435248</v>
      </c>
      <c r="AM79" s="62">
        <f t="shared" si="59"/>
        <v>926.57078915520196</v>
      </c>
      <c r="AN79" s="62">
        <f ca="1">AVERAGE(OFFSET($AM$3,0,0,'Données projet'!$E$10+1,1))-AVERAGE(OFFSET($H$3,0,0,'Données projet'!$E$10+1,1))</f>
        <v>592.76231355549089</v>
      </c>
      <c r="AO79" s="62">
        <f t="shared" si="90"/>
        <v>200.66895551079014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2.3595542164557166</v>
      </c>
      <c r="AV79" s="23">
        <f>EXP(-LN(2)/25)*AV78+(1-EXP(-LN(2)/25))/(LN(2)/25)*Calculateur!AQ79*Calculateur!AS79*VLOOKUP('Données projet'!$B$10,Paramètres!$A$1:$I$89,3,0)*0.475*44/12</f>
        <v>11.638109820118599</v>
      </c>
      <c r="AW79" s="23">
        <f>EXP(-LN(2)/2)*AW78+(1-EXP(-LN(2)/2))/(LN(2)/2)*AQ79*AT79*VLOOKUP('Données projet'!$B$10,Paramètres!$A$1:$I$89,3,0)*0.475*44/12</f>
        <v>5.0231667303631149E-2</v>
      </c>
      <c r="AX79" s="23">
        <f t="shared" si="60"/>
        <v>14.047895703877947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4.625</v>
      </c>
      <c r="BD79" s="13">
        <f>IF('Données projet'!$A$88&gt;35,BD78+BC79-BL78,IF(A79&lt;'Données projet'!$A$88,$BA$205^A79,IF(A79='Données projet'!$A$88,'Données projet'!$B$88,BD78+BC79-BL78)))</f>
        <v>126.28500000000011</v>
      </c>
      <c r="BE79" s="14">
        <f>BD79*VLOOKUP('Données projet'!$B$11,Paramètres!$A$1:$I$89,3,0)*VLOOKUP('Données projet'!$B$11,Paramètres!$A$1:$I$89,5,0)</f>
        <v>114.26266800000009</v>
      </c>
      <c r="BF79" s="14">
        <f t="shared" si="91"/>
        <v>30.333069333995979</v>
      </c>
      <c r="BG79" s="22">
        <f t="shared" si="61"/>
        <v>251.83757585670978</v>
      </c>
      <c r="BH79" s="62">
        <f t="shared" si="62"/>
        <v>520.92716023755918</v>
      </c>
      <c r="BI79" s="62">
        <f ca="1">AVERAGE(OFFSET($BH$3,0,0,'Données projet'!$E$11+1,1))-AVERAGE(OFFSET($H$3,0,0,'Données projet'!$E$11+1,1))</f>
        <v>316.71836722354374</v>
      </c>
      <c r="BJ79" s="62">
        <f t="shared" si="92"/>
        <v>164.34067012996618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9.5405033046703398</v>
      </c>
      <c r="BQ79" s="23">
        <f>EXP(-LN(2)/25)*BQ78+(1-EXP(-LN(2)/25))/(LN(2)/25)*Calculateur!BL79*Calculateur!BN79*VLOOKUP('Données projet'!$B$11,Paramètres!$A$1:$I$89,3,0)*0.475*44/12</f>
        <v>5.2290469304721174</v>
      </c>
      <c r="BR79" s="23">
        <f>EXP(-LN(2)/2)*BR78+(1-EXP(-LN(2)/2))/(LN(2)/2)*BL79*BO79*VLOOKUP('Données projet'!$B$11,Paramètres!$A$1:$I$89,3,0)*0.475*44/12</f>
        <v>3.2452341711775383E-3</v>
      </c>
      <c r="BS79" s="24">
        <f t="shared" si="63"/>
        <v>14.772795469313635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4.8845000000000001</v>
      </c>
      <c r="BY79" s="13">
        <f>IF('Données projet'!$A$114&gt;35,BY78+BX79-CG78,IF(A79&lt;'Données projet'!$A$114,$BV$205^A79,IF(A79='Données projet'!$A$114,'Données projet'!$B$114,BY78+BX79-CG78)))</f>
        <v>234.70949999999988</v>
      </c>
      <c r="BZ79" s="14">
        <f>BY79*VLOOKUP('Données projet'!$B$12,Paramètres!$A$1:$I$89,3,0)*VLOOKUP('Données projet'!$B$12,Paramètres!$A$1:$I$89,5,0)</f>
        <v>267.28717859999983</v>
      </c>
      <c r="CA79" s="14">
        <f t="shared" si="93"/>
        <v>64.273202188680457</v>
      </c>
      <c r="CB79" s="22">
        <f t="shared" si="64"/>
        <v>577.46766320695144</v>
      </c>
      <c r="CC79" s="62">
        <f t="shared" si="65"/>
        <v>846.55724758780093</v>
      </c>
      <c r="CD79" s="62">
        <f ca="1">AVERAGE(OFFSET($CC$3,0,0,'Données projet'!$E$12+1,1))-AVERAGE(OFFSET($H$3,0,0,'Données projet'!$E$12+1,1))</f>
        <v>454.9779384236806</v>
      </c>
      <c r="CE79" s="62">
        <f t="shared" si="94"/>
        <v>379.32753348721906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9.9739385028674796</v>
      </c>
      <c r="CM79" s="23">
        <f>EXP(-LN(2)/2)*CM78+(1-EXP(-LN(2)/2))/(LN(2)/2)*CG79*CJ79*VLOOKUP('Données projet'!$B$12,Paramètres!$A$1:$I$89,3,0)*0.475*44/12</f>
        <v>0.4299199340664272</v>
      </c>
      <c r="CN79" s="24">
        <f t="shared" si="66"/>
        <v>10.403858436933907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252.10592533338991</v>
      </c>
      <c r="CZ79" s="62">
        <f t="shared" si="96"/>
        <v>272.71831345325313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95.268490408865574</v>
      </c>
      <c r="DH79" s="23">
        <f>EXP(-LN(2)/2)*DH78+(1-EXP(-LN(2)/2))/(LN(2)/2)*DB79*DE79*VLOOKUP('Données projet'!$B$13,Paramètres!$A$1:$I$89,3,0)*0.475*44/12</f>
        <v>6.6056045650366366E-2</v>
      </c>
      <c r="DI79" s="24">
        <f t="shared" si="69"/>
        <v>95.334546454515944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21.3764</v>
      </c>
      <c r="DO79" s="13">
        <f>IF('Données projet'!$A$166&gt;35,DO78+DN79-DW78,IF(A79&lt;'Données projet'!$A$166,$DL$205^A79,IF(A79='Données projet'!$A$166,'Données projet'!$B$166,DO78+DN79-DW78)))</f>
        <v>735.5444</v>
      </c>
      <c r="DP79" s="18">
        <f>DO79*VLOOKUP('Données projet'!$B$14,Paramètres!$A$1:$I$89,3,0)*VLOOKUP('Données projet'!$B$14,Paramètres!$A$1:$I$89,5,0)</f>
        <v>439.85555120000004</v>
      </c>
      <c r="DQ79" s="14">
        <f t="shared" si="97"/>
        <v>99.811561332205812</v>
      </c>
      <c r="DR79" s="22">
        <f t="shared" si="70"/>
        <v>939.92022099359167</v>
      </c>
      <c r="DS79" s="62">
        <f t="shared" si="71"/>
        <v>1209.0098053744412</v>
      </c>
      <c r="DT79" s="62">
        <f ca="1">AVERAGE(OFFSET($DS$3,0,0,'Données projet'!$E$14+1,1))-AVERAGE(OFFSET($H$3,0,0,'Données projet'!$E$14+1,1))</f>
        <v>423.0896575168394</v>
      </c>
      <c r="DU79" s="62">
        <f t="shared" si="98"/>
        <v>305.98537395014284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6.3538039035689975</v>
      </c>
      <c r="EB79" s="23">
        <f>EXP(-LN(2)/25)*EB78+(1-EXP(-LN(2)/25))/(LN(2)/25)*Calculateur!DW79*Calculateur!DY79*VLOOKUP('Données projet'!$B$14,Paramètres!$A$1:$I$89,3,0)*0.475*44/12</f>
        <v>36.767769838921012</v>
      </c>
      <c r="EC79" s="23">
        <f>EXP(-LN(2)/2)*EC78+(1-EXP(-LN(2)/2))/(LN(2)/2)*DW79*DZ79*VLOOKUP('Données projet'!$B$14,Paramètres!$A$1:$I$89,3,0)*0.475*44/12</f>
        <v>1.2950489071784508E-2</v>
      </c>
      <c r="ED79" s="24">
        <f t="shared" si="72"/>
        <v>43.134524231561791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2.2737367544323206E-13</v>
      </c>
      <c r="EK79" s="18">
        <f>EJ79*VLOOKUP('Données projet'!$B$15,Paramètres!$A$1:$I$89,3,0)*VLOOKUP('Données projet'!$B$15,Paramètres!$A$1:$I$89,5,0)</f>
        <v>1.3596945791505279E-13</v>
      </c>
      <c r="EL79" s="14">
        <f t="shared" si="99"/>
        <v>1.9708830566360721E-12</v>
      </c>
      <c r="EM79" s="22">
        <f t="shared" si="73"/>
        <v>3.669434796176543E-12</v>
      </c>
      <c r="EN79" s="62">
        <f t="shared" si="74"/>
        <v>269.08958438085313</v>
      </c>
      <c r="EO79" s="62">
        <f ca="1">AVERAGE(OFFSET($EN$3,0,0,'Données projet'!$E$15+1,1))-AVERAGE(OFFSET($H$3,0,0,'Données projet'!$E$15+1,1))</f>
        <v>281.21543175875604</v>
      </c>
      <c r="EP79" s="62">
        <f t="shared" si="100"/>
        <v>366.68536296857428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69.556462791631503</v>
      </c>
      <c r="EW79" s="23">
        <f>EXP(-LN(2)/25)*EW78+(1-EXP(-LN(2)/25))/(LN(2)/25)*Calculateur!ER79*Calculateur!ET79*VLOOKUP('Données projet'!$B$15,Paramètres!$A$1:$I$89,3,0)*0.475*44/12</f>
        <v>20.745531064470903</v>
      </c>
      <c r="EX79" s="23">
        <f>EXP(-LN(2)/2)*EX78+(1-EXP(-LN(2)/2))/(LN(2)/2)*ER79*EU79*VLOOKUP('Données projet'!$B$15,Paramètres!$A$1:$I$89,3,0)*0.475*44/12</f>
        <v>2.037908819989355E-2</v>
      </c>
      <c r="EY79" s="24">
        <f t="shared" si="75"/>
        <v>90.322372944302288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12.801999999999998</v>
      </c>
      <c r="FE79" s="13">
        <f>IF('Données projet'!$A$218&gt;35,FE78+FD79-FM78,IF(A79&lt;'Données projet'!$A$218,$FB$205^A79,IF(A79='Données projet'!$A$218,'Données projet'!$B$218,FE78+FD79-FM78)))</f>
        <v>360.57200000000012</v>
      </c>
      <c r="FF79" s="18">
        <f>FE79*VLOOKUP('Données projet'!$B$16,Paramètres!$A$1:$I$89,3,0)*VLOOKUP('Données projet'!$B$16,Paramètres!$A$1:$I$89,5,0)</f>
        <v>201.55974800000004</v>
      </c>
      <c r="FG79" s="14">
        <f t="shared" si="101"/>
        <v>50.086797990865691</v>
      </c>
      <c r="FH79" s="22">
        <f t="shared" si="76"/>
        <v>438.28440093409108</v>
      </c>
      <c r="FI79" s="62">
        <f t="shared" si="77"/>
        <v>707.37398531494046</v>
      </c>
      <c r="FJ79" s="62">
        <f ca="1">AVERAGE(OFFSET($FI$3,0,0,'Données projet'!$E$16+1,1))-AVERAGE(OFFSET($H$3,0,0,'Données projet'!$E$16+1,1))</f>
        <v>280.9225643428145</v>
      </c>
      <c r="FK79" s="62">
        <f t="shared" si="102"/>
        <v>236.89414218053955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72.154911432713092</v>
      </c>
      <c r="FR79" s="23">
        <f>EXP(-LN(2)/25)*FR78+(1-EXP(-LN(2)/25))/(LN(2)/25)*Calculateur!FM79*Calculateur!FO79*VLOOKUP('Données projet'!$B$16,Paramètres!$A$1:$I$89,3,0)*0.475*44/12</f>
        <v>29.016147026614675</v>
      </c>
      <c r="FS79" s="23">
        <f>EXP(-LN(2)/2)*FS78+(1-EXP(-LN(2)/2))/(LN(2)/2)*FM79*FP79*VLOOKUP('Données projet'!$B$16,Paramètres!$A$1:$I$89,3,0)*0.475*44/12</f>
        <v>5.3645092484859934E-4</v>
      </c>
      <c r="FT79" s="24">
        <f t="shared" si="78"/>
        <v>101.17159491025262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4.4679999999999946</v>
      </c>
      <c r="FZ79" s="13">
        <f>IF('Données projet'!$A$244&gt;35,FZ78+FY79-GH78,IF(A79&lt;'Données projet'!$A$244,$FW$205^A79,IF(A79='Données projet'!$A$244,'Données projet'!$B$244,FZ78+FY79-GH78)))</f>
        <v>276.44799999999935</v>
      </c>
      <c r="GA79" s="18">
        <f>FZ79*VLOOKUP('Données projet'!$B$17,Paramètres!$A$1:$I$89,3,0)*VLOOKUP('Données projet'!$B$17,Paramètres!$A$1:$I$89,5,0)</f>
        <v>122.19001599999973</v>
      </c>
      <c r="GB79" s="14">
        <f t="shared" si="103"/>
        <v>32.185245676876114</v>
      </c>
      <c r="GC79" s="22">
        <f t="shared" si="79"/>
        <v>268.87024742055877</v>
      </c>
      <c r="GD79" s="62">
        <f t="shared" si="80"/>
        <v>537.9598318014082</v>
      </c>
      <c r="GE79" s="62">
        <f ca="1">AVERAGE(OFFSET($GD$3,0,0,'Données projet'!$E$17+1,1))-AVERAGE(OFFSET($H$3,0,0,'Données projet'!$E$17+1,1))</f>
        <v>325.67421864225201</v>
      </c>
      <c r="GF79" s="62">
        <f t="shared" si="104"/>
        <v>542.01920418736745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58.628996582140033</v>
      </c>
      <c r="GM79" s="23">
        <f>EXP(-LN(2)/25)*GM78+(1-EXP(-LN(2)/25))/(LN(2)/25)*Calculateur!GH79*Calculateur!GJ79*VLOOKUP('Données projet'!$B$17,Paramètres!$A$1:$I$89,3,0)*0.475*44/12</f>
        <v>56.690772886226171</v>
      </c>
      <c r="GN79" s="23">
        <f>EXP(-LN(2)/2)*GN78+(1-EXP(-LN(2)/2))/(LN(2)/2)*GH79*GK79*VLOOKUP('Données projet'!$B$17,Paramètres!$A$1:$I$89,3,0)*0.475*44/12</f>
        <v>5.4639138412823835E-4</v>
      </c>
      <c r="GO79" s="23">
        <f t="shared" si="81"/>
        <v>115.32031585975034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2.8710000000000009</v>
      </c>
      <c r="GU79" s="13">
        <f>IF('Données projet'!$A$270&gt;35,GU78+GT79-HC78,IF(A79&lt;'Données projet'!$A$270,$GR$205^A79,IF(A79='Données projet'!$A$270,'Données projet'!$B$270,GU78+GT79-HC78)))</f>
        <v>81.201000000000022</v>
      </c>
      <c r="GV79" s="18">
        <f>GU79*VLOOKUP('Données projet'!$B$18,Paramètres!$A$1:$I$89,3,0)*VLOOKUP('Données projet'!$B$18,Paramètres!$A$1:$I$89,5,0)</f>
        <v>82.337814000000023</v>
      </c>
      <c r="GW79" s="14">
        <f t="shared" si="105"/>
        <v>22.707830049480393</v>
      </c>
      <c r="GX79" s="22">
        <f t="shared" si="82"/>
        <v>182.9544967195117</v>
      </c>
      <c r="GY79" s="62">
        <f t="shared" si="83"/>
        <v>452.04408110036115</v>
      </c>
      <c r="GZ79" s="62">
        <f ca="1">AVERAGE(OFFSET($GY$3,0,0,'Données projet'!$E$18+1,1))-AVERAGE(OFFSET($H$3,0,0,'Données projet'!$E$18+1,1))</f>
        <v>220.89224520315713</v>
      </c>
      <c r="HA79" s="62">
        <f t="shared" si="106"/>
        <v>141.82763623159096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-2.8421709430404007E-14</v>
      </c>
      <c r="O80" s="14">
        <f>N80*VLOOKUP('Données projet'!$B$9,Paramètres!$A$1:$I$89,3,0)*VLOOKUP('Données projet'!$B$9,Paramètres!$A$1:$I$89,5,0)</f>
        <v>-2.7489477361086758E-14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84.959354125980269</v>
      </c>
      <c r="T80" s="62">
        <f t="shared" si="88"/>
        <v>89.658970210276806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12.821727297719216</v>
      </c>
      <c r="AB80" s="23">
        <f>EXP(-LN(2)/2)*AB79+(1-EXP(-LN(2)/2))/(LN(2)/2)*V80*Y80*VLOOKUP('Données projet'!$B$9,Paramètres!$A$1:$I$89,3,0)*0.475*44/12</f>
        <v>0.28913337293418556</v>
      </c>
      <c r="AC80" s="24">
        <f t="shared" si="57"/>
        <v>13.110860670653402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9.6040000000000028</v>
      </c>
      <c r="AI80" s="14">
        <f>IF('Données projet'!$A$62&gt;35,AI79+AH80-AQ79,IF(A80&lt;'Données projet'!$A$62,$AF$205^A80,IF(A80='Données projet'!$A$62,'Données projet'!$B$62,AI79+AH80-AQ79)))</f>
        <v>330.358</v>
      </c>
      <c r="AJ80" s="14">
        <f>AI80*VLOOKUP('Données projet'!$B$10,Paramètres!$A$1:$I$89,3,0)*VLOOKUP('Données projet'!$B$10,Paramètres!$A$1:$I$89,5,0)</f>
        <v>314.36867280000001</v>
      </c>
      <c r="AK80" s="14">
        <f t="shared" si="89"/>
        <v>74.180438529358568</v>
      </c>
      <c r="AL80" s="22">
        <f t="shared" si="58"/>
        <v>676.7230355652996</v>
      </c>
      <c r="AM80" s="62">
        <f t="shared" si="59"/>
        <v>946.23319478957183</v>
      </c>
      <c r="AN80" s="62">
        <f ca="1">AVERAGE(OFFSET($AM$3,0,0,'Données projet'!$E$10+1,1))-AVERAGE(OFFSET($H$3,0,0,'Données projet'!$E$10+1,1))</f>
        <v>592.76231355549089</v>
      </c>
      <c r="AO80" s="62">
        <f t="shared" si="90"/>
        <v>200.66895551079014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2.3132847974569843</v>
      </c>
      <c r="AV80" s="23">
        <f>EXP(-LN(2)/25)*AV79+(1-EXP(-LN(2)/25))/(LN(2)/25)*Calculateur!AQ80*Calculateur!AS80*VLOOKUP('Données projet'!$B$10,Paramètres!$A$1:$I$89,3,0)*0.475*44/12</f>
        <v>11.319865095065859</v>
      </c>
      <c r="AW80" s="23">
        <f>EXP(-LN(2)/2)*AW79+(1-EXP(-LN(2)/2))/(LN(2)/2)*AQ80*AT80*VLOOKUP('Données projet'!$B$10,Paramètres!$A$1:$I$89,3,0)*0.475*44/12</f>
        <v>3.5519152580704164E-2</v>
      </c>
      <c r="AX80" s="23">
        <f t="shared" si="60"/>
        <v>13.668669045103549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4.625</v>
      </c>
      <c r="BD80" s="13">
        <f>IF('Données projet'!$A$88&gt;35,BD79+BC80-BL79,IF(A80&lt;'Données projet'!$A$88,$BA$205^A80,IF(A80='Données projet'!$A$88,'Données projet'!$B$88,BD79+BC80-BL79)))</f>
        <v>130.91000000000011</v>
      </c>
      <c r="BE80" s="14">
        <f>BD80*VLOOKUP('Données projet'!$B$11,Paramètres!$A$1:$I$89,3,0)*VLOOKUP('Données projet'!$B$11,Paramètres!$A$1:$I$89,5,0)</f>
        <v>118.4473680000001</v>
      </c>
      <c r="BF80" s="14">
        <f t="shared" si="91"/>
        <v>31.312599364781736</v>
      </c>
      <c r="BG80" s="22">
        <f t="shared" si="61"/>
        <v>260.83194316032836</v>
      </c>
      <c r="BH80" s="62">
        <f t="shared" si="62"/>
        <v>530.34210238460059</v>
      </c>
      <c r="BI80" s="62">
        <f ca="1">AVERAGE(OFFSET($BH$3,0,0,'Données projet'!$E$11+1,1))-AVERAGE(OFFSET($H$3,0,0,'Données projet'!$E$11+1,1))</f>
        <v>316.71836722354374</v>
      </c>
      <c r="BJ80" s="62">
        <f t="shared" si="92"/>
        <v>164.34067012996618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9.3534198539981794</v>
      </c>
      <c r="BQ80" s="23">
        <f>EXP(-LN(2)/25)*BQ79+(1-EXP(-LN(2)/25))/(LN(2)/25)*Calculateur!BL80*Calculateur!BN80*VLOOKUP('Données projet'!$B$11,Paramètres!$A$1:$I$89,3,0)*0.475*44/12</f>
        <v>5.0860583671747301</v>
      </c>
      <c r="BR80" s="23">
        <f>EXP(-LN(2)/2)*BR79+(1-EXP(-LN(2)/2))/(LN(2)/2)*BL80*BO80*VLOOKUP('Données projet'!$B$11,Paramètres!$A$1:$I$89,3,0)*0.475*44/12</f>
        <v>2.2947270889779425E-3</v>
      </c>
      <c r="BS80" s="24">
        <f t="shared" si="63"/>
        <v>14.441772948261887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4.8845000000000001</v>
      </c>
      <c r="BY80" s="13">
        <f>IF('Données projet'!$A$114&gt;35,BY79+BX80-CG79,IF(A80&lt;'Données projet'!$A$114,$BV$205^A80,IF(A80='Données projet'!$A$114,'Données projet'!$B$114,BY79+BX80-CG79)))</f>
        <v>239.59399999999988</v>
      </c>
      <c r="BZ80" s="14">
        <f>BY80*VLOOKUP('Données projet'!$B$12,Paramètres!$A$1:$I$89,3,0)*VLOOKUP('Données projet'!$B$12,Paramètres!$A$1:$I$89,5,0)</f>
        <v>272.84964719999988</v>
      </c>
      <c r="CA80" s="14">
        <f t="shared" si="93"/>
        <v>65.453666312313786</v>
      </c>
      <c r="CB80" s="22">
        <f t="shared" si="64"/>
        <v>589.21160436727962</v>
      </c>
      <c r="CC80" s="62">
        <f t="shared" si="65"/>
        <v>858.72176359155196</v>
      </c>
      <c r="CD80" s="62">
        <f ca="1">AVERAGE(OFFSET($CC$3,0,0,'Données projet'!$E$12+1,1))-AVERAGE(OFFSET($H$3,0,0,'Données projet'!$E$12+1,1))</f>
        <v>454.9779384236806</v>
      </c>
      <c r="CE80" s="62">
        <f t="shared" si="94"/>
        <v>379.32753348721906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9.7012006299999385</v>
      </c>
      <c r="CM80" s="23">
        <f>EXP(-LN(2)/2)*CM79+(1-EXP(-LN(2)/2))/(LN(2)/2)*CG80*CJ80*VLOOKUP('Données projet'!$B$12,Paramètres!$A$1:$I$89,3,0)*0.475*44/12</f>
        <v>0.30399930074564407</v>
      </c>
      <c r="CN80" s="24">
        <f t="shared" si="66"/>
        <v>10.005199930745583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252.10592533338991</v>
      </c>
      <c r="CZ80" s="62">
        <f t="shared" si="96"/>
        <v>272.71831345325313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92.66336852868298</v>
      </c>
      <c r="DH80" s="23">
        <f>EXP(-LN(2)/2)*DH79+(1-EXP(-LN(2)/2))/(LN(2)/2)*DB80*DE80*VLOOKUP('Données projet'!$B$13,Paramètres!$A$1:$I$89,3,0)*0.475*44/12</f>
        <v>4.6708677817742204E-2</v>
      </c>
      <c r="DI80" s="24">
        <f t="shared" si="69"/>
        <v>92.710077206500728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21.3764</v>
      </c>
      <c r="DO80" s="13">
        <f>IF('Données projet'!$A$166&gt;35,DO79+DN80-DW79,IF(A80&lt;'Données projet'!$A$166,$DL$205^A80,IF(A80='Données projet'!$A$166,'Données projet'!$B$166,DO79+DN80-DW79)))</f>
        <v>756.92079999999999</v>
      </c>
      <c r="DP80" s="18">
        <f>DO80*VLOOKUP('Données projet'!$B$14,Paramètres!$A$1:$I$89,3,0)*VLOOKUP('Données projet'!$B$14,Paramètres!$A$1:$I$89,5,0)</f>
        <v>452.63863840000005</v>
      </c>
      <c r="DQ80" s="14">
        <f t="shared" si="97"/>
        <v>102.37035269746734</v>
      </c>
      <c r="DR80" s="22">
        <f t="shared" si="70"/>
        <v>966.64065949475571</v>
      </c>
      <c r="DS80" s="62">
        <f t="shared" si="71"/>
        <v>1236.1508187190279</v>
      </c>
      <c r="DT80" s="62">
        <f ca="1">AVERAGE(OFFSET($DS$3,0,0,'Données projet'!$E$14+1,1))-AVERAGE(OFFSET($H$3,0,0,'Données projet'!$E$14+1,1))</f>
        <v>423.0896575168394</v>
      </c>
      <c r="DU80" s="62">
        <f t="shared" si="98"/>
        <v>305.98537395014284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6.2292096844577225</v>
      </c>
      <c r="EB80" s="23">
        <f>EXP(-LN(2)/25)*EB79+(1-EXP(-LN(2)/25))/(LN(2)/25)*Calculateur!DW80*Calculateur!DY80*VLOOKUP('Données projet'!$B$14,Paramètres!$A$1:$I$89,3,0)*0.475*44/12</f>
        <v>35.762353239142733</v>
      </c>
      <c r="EC80" s="23">
        <f>EXP(-LN(2)/2)*EC79+(1-EXP(-LN(2)/2))/(LN(2)/2)*DW80*DZ80*VLOOKUP('Données projet'!$B$14,Paramètres!$A$1:$I$89,3,0)*0.475*44/12</f>
        <v>9.1573786423411029E-3</v>
      </c>
      <c r="ED80" s="24">
        <f t="shared" si="72"/>
        <v>42.000720302242797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2.2737367544323206E-13</v>
      </c>
      <c r="EK80" s="18">
        <f>EJ80*VLOOKUP('Données projet'!$B$15,Paramètres!$A$1:$I$89,3,0)*VLOOKUP('Données projet'!$B$15,Paramètres!$A$1:$I$89,5,0)</f>
        <v>1.3596945791505279E-13</v>
      </c>
      <c r="EL80" s="14">
        <f t="shared" si="99"/>
        <v>1.9708830566360721E-12</v>
      </c>
      <c r="EM80" s="22">
        <f t="shared" si="73"/>
        <v>3.669434796176543E-12</v>
      </c>
      <c r="EN80" s="62">
        <f t="shared" si="74"/>
        <v>269.51015922427598</v>
      </c>
      <c r="EO80" s="62">
        <f ca="1">AVERAGE(OFFSET($EN$3,0,0,'Données projet'!$E$15+1,1))-AVERAGE(OFFSET($H$3,0,0,'Données projet'!$E$15+1,1))</f>
        <v>281.21543175875604</v>
      </c>
      <c r="EP80" s="62">
        <f t="shared" si="100"/>
        <v>366.68536296857428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68.19250298154077</v>
      </c>
      <c r="EW80" s="23">
        <f>EXP(-LN(2)/25)*EW79+(1-EXP(-LN(2)/25))/(LN(2)/25)*Calculateur!ER80*Calculateur!ET80*VLOOKUP('Données projet'!$B$15,Paramètres!$A$1:$I$89,3,0)*0.475*44/12</f>
        <v>20.178243426552882</v>
      </c>
      <c r="EX80" s="23">
        <f>EXP(-LN(2)/2)*EX79+(1-EXP(-LN(2)/2))/(LN(2)/2)*ER80*EU80*VLOOKUP('Données projet'!$B$15,Paramètres!$A$1:$I$89,3,0)*0.475*44/12</f>
        <v>1.4410191460543481E-2</v>
      </c>
      <c r="EY80" s="24">
        <f t="shared" si="75"/>
        <v>88.385156599554193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12.801999999999998</v>
      </c>
      <c r="FE80" s="13">
        <f>IF('Données projet'!$A$218&gt;35,FE79+FD80-FM79,IF(A80&lt;'Données projet'!$A$218,$FB$205^A80,IF(A80='Données projet'!$A$218,'Données projet'!$B$218,FE79+FD80-FM79)))</f>
        <v>373.37400000000014</v>
      </c>
      <c r="FF80" s="18">
        <f>FE80*VLOOKUP('Données projet'!$B$16,Paramètres!$A$1:$I$89,3,0)*VLOOKUP('Données projet'!$B$16,Paramètres!$A$1:$I$89,5,0)</f>
        <v>208.71606600000007</v>
      </c>
      <c r="FG80" s="14">
        <f t="shared" si="101"/>
        <v>51.654913751331577</v>
      </c>
      <c r="FH80" s="22">
        <f t="shared" si="76"/>
        <v>453.47945640023596</v>
      </c>
      <c r="FI80" s="62">
        <f t="shared" si="77"/>
        <v>722.98961562450825</v>
      </c>
      <c r="FJ80" s="62">
        <f ca="1">AVERAGE(OFFSET($FI$3,0,0,'Données projet'!$E$16+1,1))-AVERAGE(OFFSET($H$3,0,0,'Données projet'!$E$16+1,1))</f>
        <v>280.9225643428145</v>
      </c>
      <c r="FK80" s="62">
        <f t="shared" si="102"/>
        <v>236.89414218053955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70.739997629667926</v>
      </c>
      <c r="FR80" s="23">
        <f>EXP(-LN(2)/25)*FR79+(1-EXP(-LN(2)/25))/(LN(2)/25)*Calculateur!FM80*Calculateur!FO80*VLOOKUP('Données projet'!$B$16,Paramètres!$A$1:$I$89,3,0)*0.475*44/12</f>
        <v>28.222698960279043</v>
      </c>
      <c r="FS80" s="23">
        <f>EXP(-LN(2)/2)*FS79+(1-EXP(-LN(2)/2))/(LN(2)/2)*FM80*FP80*VLOOKUP('Données projet'!$B$16,Paramètres!$A$1:$I$89,3,0)*0.475*44/12</f>
        <v>3.7932808673423959E-4</v>
      </c>
      <c r="FT80" s="24">
        <f t="shared" si="78"/>
        <v>98.963075918033709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4.4679999999999946</v>
      </c>
      <c r="FZ80" s="13">
        <f>IF('Données projet'!$A$244&gt;35,FZ79+FY80-GH79,IF(A80&lt;'Données projet'!$A$244,$FW$205^A80,IF(A80='Données projet'!$A$244,'Données projet'!$B$244,FZ79+FY80-GH79)))</f>
        <v>280.91599999999937</v>
      </c>
      <c r="GA80" s="18">
        <f>FZ80*VLOOKUP('Données projet'!$B$17,Paramètres!$A$1:$I$89,3,0)*VLOOKUP('Données projet'!$B$17,Paramètres!$A$1:$I$89,5,0)</f>
        <v>124.16487199999973</v>
      </c>
      <c r="GB80" s="14">
        <f t="shared" si="103"/>
        <v>32.644450012699281</v>
      </c>
      <c r="GC80" s="22">
        <f t="shared" si="79"/>
        <v>273.1095691721174</v>
      </c>
      <c r="GD80" s="62">
        <f t="shared" si="80"/>
        <v>542.61972839638975</v>
      </c>
      <c r="GE80" s="62">
        <f ca="1">AVERAGE(OFFSET($GD$3,0,0,'Données projet'!$E$17+1,1))-AVERAGE(OFFSET($H$3,0,0,'Données projet'!$E$17+1,1))</f>
        <v>325.67421864225201</v>
      </c>
      <c r="GF80" s="62">
        <f t="shared" si="104"/>
        <v>542.01920418736745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57.479317719321159</v>
      </c>
      <c r="GM80" s="23">
        <f>EXP(-LN(2)/25)*GM79+(1-EXP(-LN(2)/25))/(LN(2)/25)*Calculateur!GH80*Calculateur!GJ80*VLOOKUP('Données projet'!$B$17,Paramètres!$A$1:$I$89,3,0)*0.475*44/12</f>
        <v>55.140560720414136</v>
      </c>
      <c r="GN80" s="23">
        <f>EXP(-LN(2)/2)*GN79+(1-EXP(-LN(2)/2))/(LN(2)/2)*GH80*GK80*VLOOKUP('Données projet'!$B$17,Paramètres!$A$1:$I$89,3,0)*0.475*44/12</f>
        <v>3.8635705289898108E-4</v>
      </c>
      <c r="GO80" s="23">
        <f t="shared" si="81"/>
        <v>112.62026479678819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2.8710000000000009</v>
      </c>
      <c r="GU80" s="13">
        <f>IF('Données projet'!$A$270&gt;35,GU79+GT80-HC79,IF(A80&lt;'Données projet'!$A$270,$GR$205^A80,IF(A80='Données projet'!$A$270,'Données projet'!$B$270,GU79+GT80-HC79)))</f>
        <v>84.072000000000017</v>
      </c>
      <c r="GV80" s="18">
        <f>GU80*VLOOKUP('Données projet'!$B$18,Paramètres!$A$1:$I$89,3,0)*VLOOKUP('Données projet'!$B$18,Paramètres!$A$1:$I$89,5,0)</f>
        <v>85.249008000000018</v>
      </c>
      <c r="GW80" s="14">
        <f t="shared" si="105"/>
        <v>23.415808647615101</v>
      </c>
      <c r="GX80" s="22">
        <f t="shared" si="82"/>
        <v>189.2578889945963</v>
      </c>
      <c r="GY80" s="62">
        <f t="shared" si="83"/>
        <v>458.76804821886856</v>
      </c>
      <c r="GZ80" s="62">
        <f ca="1">AVERAGE(OFFSET($GY$3,0,0,'Données projet'!$E$18+1,1))-AVERAGE(OFFSET($H$3,0,0,'Données projet'!$E$18+1,1))</f>
        <v>220.89224520315713</v>
      </c>
      <c r="HA80" s="62">
        <f t="shared" si="106"/>
        <v>141.82763623159096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-2.8421709430404007E-14</v>
      </c>
      <c r="O81" s="14">
        <f>N81*VLOOKUP('Données projet'!$B$9,Paramètres!$A$1:$I$89,3,0)*VLOOKUP('Données projet'!$B$9,Paramètres!$A$1:$I$89,5,0)</f>
        <v>-2.7489477361086758E-14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84.959354125980269</v>
      </c>
      <c r="T81" s="62">
        <f t="shared" si="88"/>
        <v>89.658970210276806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12.471116490497749</v>
      </c>
      <c r="AB81" s="23">
        <f>EXP(-LN(2)/2)*AB80+(1-EXP(-LN(2)/2))/(LN(2)/2)*V81*Y81*VLOOKUP('Données projet'!$B$9,Paramètres!$A$1:$I$89,3,0)*0.475*44/12</f>
        <v>0.20444816866910159</v>
      </c>
      <c r="AC81" s="24">
        <f t="shared" si="57"/>
        <v>12.67556465916685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9.6040000000000028</v>
      </c>
      <c r="AI81" s="14">
        <f>IF('Données projet'!$A$62&gt;35,AI80+AH81-AQ80,IF(A81&lt;'Données projet'!$A$62,$AF$205^A81,IF(A81='Données projet'!$A$62,'Données projet'!$B$62,AI80+AH81-AQ80)))</f>
        <v>339.96199999999999</v>
      </c>
      <c r="AJ81" s="14">
        <f>AI81*VLOOKUP('Données projet'!$B$10,Paramètres!$A$1:$I$89,3,0)*VLOOKUP('Données projet'!$B$10,Paramètres!$A$1:$I$89,5,0)</f>
        <v>323.50783919999998</v>
      </c>
      <c r="AK81" s="14">
        <f t="shared" si="89"/>
        <v>76.082764065604351</v>
      </c>
      <c r="AL81" s="22">
        <f t="shared" si="58"/>
        <v>695.95363402092755</v>
      </c>
      <c r="AM81" s="62">
        <f t="shared" si="59"/>
        <v>965.87707205535378</v>
      </c>
      <c r="AN81" s="62">
        <f ca="1">AVERAGE(OFFSET($AM$3,0,0,'Données projet'!$E$10+1,1))-AVERAGE(OFFSET($H$3,0,0,'Données projet'!$E$10+1,1))</f>
        <v>592.76231355549089</v>
      </c>
      <c r="AO81" s="62">
        <f t="shared" si="90"/>
        <v>200.66895551079014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2.2679226935432584</v>
      </c>
      <c r="AV81" s="23">
        <f>EXP(-LN(2)/25)*AV80+(1-EXP(-LN(2)/25))/(LN(2)/25)*Calculateur!AQ81*Calculateur!AS81*VLOOKUP('Données projet'!$B$10,Paramètres!$A$1:$I$89,3,0)*0.475*44/12</f>
        <v>11.010322788755451</v>
      </c>
      <c r="AW81" s="23">
        <f>EXP(-LN(2)/2)*AW80+(1-EXP(-LN(2)/2))/(LN(2)/2)*AQ81*AT81*VLOOKUP('Données projet'!$B$10,Paramètres!$A$1:$I$89,3,0)*0.475*44/12</f>
        <v>2.5115833651815574E-2</v>
      </c>
      <c r="AX81" s="23">
        <f t="shared" si="60"/>
        <v>13.303361315950525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4.625</v>
      </c>
      <c r="BD81" s="13">
        <f>IF('Données projet'!$A$88&gt;35,BD80+BC81-BL80,IF(A81&lt;'Données projet'!$A$88,$BA$205^A81,IF(A81='Données projet'!$A$88,'Données projet'!$B$88,BD80+BC81-BL80)))</f>
        <v>135.53500000000011</v>
      </c>
      <c r="BE81" s="14">
        <f>BD81*VLOOKUP('Données projet'!$B$11,Paramètres!$A$1:$I$89,3,0)*VLOOKUP('Données projet'!$B$11,Paramètres!$A$1:$I$89,5,0)</f>
        <v>122.63206800000009</v>
      </c>
      <c r="BF81" s="14">
        <f t="shared" si="91"/>
        <v>32.288108596096237</v>
      </c>
      <c r="BG81" s="22">
        <f t="shared" si="61"/>
        <v>269.81930757153441</v>
      </c>
      <c r="BH81" s="62">
        <f t="shared" si="62"/>
        <v>539.74274560596064</v>
      </c>
      <c r="BI81" s="62">
        <f ca="1">AVERAGE(OFFSET($BH$3,0,0,'Données projet'!$E$11+1,1))-AVERAGE(OFFSET($H$3,0,0,'Données projet'!$E$11+1,1))</f>
        <v>316.71836722354374</v>
      </c>
      <c r="BJ81" s="62">
        <f t="shared" si="92"/>
        <v>164.34067012996618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9.1700049956840619</v>
      </c>
      <c r="BQ81" s="23">
        <f>EXP(-LN(2)/25)*BQ80+(1-EXP(-LN(2)/25))/(LN(2)/25)*Calculateur!BL81*Calculateur!BN81*VLOOKUP('Données projet'!$B$11,Paramètres!$A$1:$I$89,3,0)*0.475*44/12</f>
        <v>4.9469798336601523</v>
      </c>
      <c r="BR81" s="23">
        <f>EXP(-LN(2)/2)*BR80+(1-EXP(-LN(2)/2))/(LN(2)/2)*BL81*BO81*VLOOKUP('Données projet'!$B$11,Paramètres!$A$1:$I$89,3,0)*0.475*44/12</f>
        <v>1.6226170855887692E-3</v>
      </c>
      <c r="BS81" s="24">
        <f t="shared" si="63"/>
        <v>14.118607446429804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4.8845000000000001</v>
      </c>
      <c r="BY81" s="13">
        <f>IF('Données projet'!$A$114&gt;35,BY80+BX81-CG80,IF(A81&lt;'Données projet'!$A$114,$BV$205^A81,IF(A81='Données projet'!$A$114,'Données projet'!$B$114,BY80+BX81-CG80)))</f>
        <v>244.47849999999988</v>
      </c>
      <c r="BZ81" s="14">
        <f>BY81*VLOOKUP('Données projet'!$B$12,Paramètres!$A$1:$I$89,3,0)*VLOOKUP('Données projet'!$B$12,Paramètres!$A$1:$I$89,5,0)</f>
        <v>278.41211579999987</v>
      </c>
      <c r="CA81" s="14">
        <f t="shared" si="93"/>
        <v>66.631332314492496</v>
      </c>
      <c r="CB81" s="22">
        <f t="shared" si="64"/>
        <v>600.95067213274081</v>
      </c>
      <c r="CC81" s="62">
        <f t="shared" si="65"/>
        <v>870.87411016716703</v>
      </c>
      <c r="CD81" s="62">
        <f ca="1">AVERAGE(OFFSET($CC$3,0,0,'Données projet'!$E$12+1,1))-AVERAGE(OFFSET($H$3,0,0,'Données projet'!$E$12+1,1))</f>
        <v>454.9779384236806</v>
      </c>
      <c r="CE81" s="62">
        <f t="shared" si="94"/>
        <v>379.32753348721906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9.4359207886086214</v>
      </c>
      <c r="CM81" s="23">
        <f>EXP(-LN(2)/2)*CM80+(1-EXP(-LN(2)/2))/(LN(2)/2)*CG81*CJ81*VLOOKUP('Données projet'!$B$12,Paramètres!$A$1:$I$89,3,0)*0.475*44/12</f>
        <v>0.2149599670332136</v>
      </c>
      <c r="CN81" s="24">
        <f t="shared" si="66"/>
        <v>9.6508807556418343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252.10592533338991</v>
      </c>
      <c r="CZ81" s="62">
        <f t="shared" si="96"/>
        <v>272.71831345325313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90.129483843311377</v>
      </c>
      <c r="DH81" s="23">
        <f>EXP(-LN(2)/2)*DH80+(1-EXP(-LN(2)/2))/(LN(2)/2)*DB81*DE81*VLOOKUP('Données projet'!$B$13,Paramètres!$A$1:$I$89,3,0)*0.475*44/12</f>
        <v>3.3028022825183183E-2</v>
      </c>
      <c r="DI81" s="24">
        <f t="shared" si="69"/>
        <v>90.162511866136555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21.3764</v>
      </c>
      <c r="DO81" s="13">
        <f>IF('Données projet'!$A$166&gt;35,DO80+DN81-DW80,IF(A81&lt;'Données projet'!$A$166,$DL$205^A81,IF(A81='Données projet'!$A$166,'Données projet'!$B$166,DO80+DN81-DW80)))</f>
        <v>778.29719999999998</v>
      </c>
      <c r="DP81" s="18">
        <f>DO81*VLOOKUP('Données projet'!$B$14,Paramètres!$A$1:$I$89,3,0)*VLOOKUP('Données projet'!$B$14,Paramètres!$A$1:$I$89,5,0)</f>
        <v>465.4217256</v>
      </c>
      <c r="DQ81" s="14">
        <f t="shared" si="97"/>
        <v>104.92074522169739</v>
      </c>
      <c r="DR81" s="22">
        <f t="shared" si="70"/>
        <v>993.34647001445626</v>
      </c>
      <c r="DS81" s="62">
        <f t="shared" si="71"/>
        <v>1263.2699080488824</v>
      </c>
      <c r="DT81" s="62">
        <f ca="1">AVERAGE(OFFSET($DS$3,0,0,'Données projet'!$E$14+1,1))-AVERAGE(OFFSET($H$3,0,0,'Données projet'!$E$14+1,1))</f>
        <v>423.0896575168394</v>
      </c>
      <c r="DU81" s="62">
        <f t="shared" si="98"/>
        <v>305.98537395014284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6.1070586819882502</v>
      </c>
      <c r="EB81" s="23">
        <f>EXP(-LN(2)/25)*EB80+(1-EXP(-LN(2)/25))/(LN(2)/25)*Calculateur!DW81*Calculateur!DY81*VLOOKUP('Données projet'!$B$14,Paramètres!$A$1:$I$89,3,0)*0.475*44/12</f>
        <v>34.784429809157956</v>
      </c>
      <c r="EC81" s="23">
        <f>EXP(-LN(2)/2)*EC80+(1-EXP(-LN(2)/2))/(LN(2)/2)*DW81*DZ81*VLOOKUP('Données projet'!$B$14,Paramètres!$A$1:$I$89,3,0)*0.475*44/12</f>
        <v>6.475244535892254E-3</v>
      </c>
      <c r="ED81" s="24">
        <f t="shared" si="72"/>
        <v>40.897963735682097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2.2737367544323206E-13</v>
      </c>
      <c r="EK81" s="18">
        <f>EJ81*VLOOKUP('Données projet'!$B$15,Paramètres!$A$1:$I$89,3,0)*VLOOKUP('Données projet'!$B$15,Paramètres!$A$1:$I$89,5,0)</f>
        <v>1.3596945791505279E-13</v>
      </c>
      <c r="EL81" s="14">
        <f t="shared" si="99"/>
        <v>1.9708830566360721E-12</v>
      </c>
      <c r="EM81" s="22">
        <f t="shared" si="73"/>
        <v>3.669434796176543E-12</v>
      </c>
      <c r="EN81" s="62">
        <f t="shared" si="74"/>
        <v>269.92343803442992</v>
      </c>
      <c r="EO81" s="62">
        <f ca="1">AVERAGE(OFFSET($EN$3,0,0,'Données projet'!$E$15+1,1))-AVERAGE(OFFSET($H$3,0,0,'Données projet'!$E$15+1,1))</f>
        <v>281.21543175875604</v>
      </c>
      <c r="EP81" s="62">
        <f t="shared" si="100"/>
        <v>366.68536296857428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66.855289591392577</v>
      </c>
      <c r="EW81" s="23">
        <f>EXP(-LN(2)/25)*EW80+(1-EXP(-LN(2)/25))/(LN(2)/25)*Calculateur!ER81*Calculateur!ET81*VLOOKUP('Données projet'!$B$15,Paramètres!$A$1:$I$89,3,0)*0.475*44/12</f>
        <v>19.626468298926088</v>
      </c>
      <c r="EX81" s="23">
        <f>EXP(-LN(2)/2)*EX80+(1-EXP(-LN(2)/2))/(LN(2)/2)*ER81*EU81*VLOOKUP('Données projet'!$B$15,Paramètres!$A$1:$I$89,3,0)*0.475*44/12</f>
        <v>1.0189544099946775E-2</v>
      </c>
      <c r="EY81" s="24">
        <f t="shared" si="75"/>
        <v>86.491947434418606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12.801999999999998</v>
      </c>
      <c r="FE81" s="13">
        <f>IF('Données projet'!$A$218&gt;35,FE80+FD81-FM80,IF(A81&lt;'Données projet'!$A$218,$FB$205^A81,IF(A81='Données projet'!$A$218,'Données projet'!$B$218,FE80+FD81-FM80)))</f>
        <v>386.17600000000016</v>
      </c>
      <c r="FF81" s="18">
        <f>FE81*VLOOKUP('Données projet'!$B$16,Paramètres!$A$1:$I$89,3,0)*VLOOKUP('Données projet'!$B$16,Paramètres!$A$1:$I$89,5,0)</f>
        <v>215.87238400000007</v>
      </c>
      <c r="FG81" s="14">
        <f t="shared" si="101"/>
        <v>53.216782268838472</v>
      </c>
      <c r="FH81" s="22">
        <f t="shared" si="76"/>
        <v>468.66363125156045</v>
      </c>
      <c r="FI81" s="62">
        <f t="shared" si="77"/>
        <v>738.58706928598667</v>
      </c>
      <c r="FJ81" s="62">
        <f ca="1">AVERAGE(OFFSET($FI$3,0,0,'Données projet'!$E$16+1,1))-AVERAGE(OFFSET($H$3,0,0,'Données projet'!$E$16+1,1))</f>
        <v>280.9225643428145</v>
      </c>
      <c r="FK81" s="62">
        <f t="shared" si="102"/>
        <v>236.89414218053955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69.35282942328827</v>
      </c>
      <c r="FR81" s="23">
        <f>EXP(-LN(2)/25)*FR80+(1-EXP(-LN(2)/25))/(LN(2)/25)*Calculateur!FM81*Calculateur!FO81*VLOOKUP('Données projet'!$B$16,Paramètres!$A$1:$I$89,3,0)*0.475*44/12</f>
        <v>27.45094777304298</v>
      </c>
      <c r="FS81" s="23">
        <f>EXP(-LN(2)/2)*FS80+(1-EXP(-LN(2)/2))/(LN(2)/2)*FM81*FP81*VLOOKUP('Données projet'!$B$16,Paramètres!$A$1:$I$89,3,0)*0.475*44/12</f>
        <v>2.6822546242429967E-4</v>
      </c>
      <c r="FT81" s="24">
        <f t="shared" si="78"/>
        <v>96.804045421793674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4.4679999999999946</v>
      </c>
      <c r="FZ81" s="13">
        <f>IF('Données projet'!$A$244&gt;35,FZ80+FY81-GH80,IF(A81&lt;'Données projet'!$A$244,$FW$205^A81,IF(A81='Données projet'!$A$244,'Données projet'!$B$244,FZ80+FY81-GH80)))</f>
        <v>285.38399999999939</v>
      </c>
      <c r="GA81" s="18">
        <f>FZ81*VLOOKUP('Données projet'!$B$17,Paramètres!$A$1:$I$89,3,0)*VLOOKUP('Données projet'!$B$17,Paramètres!$A$1:$I$89,5,0)</f>
        <v>126.13972799999974</v>
      </c>
      <c r="GB81" s="14">
        <f t="shared" si="103"/>
        <v>33.102804946961953</v>
      </c>
      <c r="GC81" s="22">
        <f t="shared" si="79"/>
        <v>277.34741154929156</v>
      </c>
      <c r="GD81" s="62">
        <f t="shared" si="80"/>
        <v>547.27084958371779</v>
      </c>
      <c r="GE81" s="62">
        <f ca="1">AVERAGE(OFFSET($GD$3,0,0,'Données projet'!$E$17+1,1))-AVERAGE(OFFSET($H$3,0,0,'Données projet'!$E$17+1,1))</f>
        <v>325.67421864225201</v>
      </c>
      <c r="GF81" s="62">
        <f t="shared" si="104"/>
        <v>542.01920418736745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56.352183357767302</v>
      </c>
      <c r="GM81" s="23">
        <f>EXP(-LN(2)/25)*GM80+(1-EXP(-LN(2)/25))/(LN(2)/25)*Calculateur!GH81*Calculateur!GJ81*VLOOKUP('Données projet'!$B$17,Paramètres!$A$1:$I$89,3,0)*0.475*44/12</f>
        <v>53.63273918779835</v>
      </c>
      <c r="GN81" s="23">
        <f>EXP(-LN(2)/2)*GN80+(1-EXP(-LN(2)/2))/(LN(2)/2)*GH81*GK81*VLOOKUP('Données projet'!$B$17,Paramètres!$A$1:$I$89,3,0)*0.475*44/12</f>
        <v>2.7319569206411918E-4</v>
      </c>
      <c r="GO81" s="23">
        <f t="shared" si="81"/>
        <v>109.98519574125771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2.8710000000000009</v>
      </c>
      <c r="GU81" s="13">
        <f>IF('Données projet'!$A$270&gt;35,GU80+GT81-HC80,IF(A81&lt;'Données projet'!$A$270,$GR$205^A81,IF(A81='Données projet'!$A$270,'Données projet'!$B$270,GU80+GT81-HC80)))</f>
        <v>86.943000000000012</v>
      </c>
      <c r="GV81" s="18">
        <f>GU81*VLOOKUP('Données projet'!$B$18,Paramètres!$A$1:$I$89,3,0)*VLOOKUP('Données projet'!$B$18,Paramètres!$A$1:$I$89,5,0)</f>
        <v>88.160202000000027</v>
      </c>
      <c r="GW81" s="14">
        <f t="shared" si="105"/>
        <v>24.120978054974568</v>
      </c>
      <c r="GX81" s="22">
        <f t="shared" si="82"/>
        <v>195.55638859574742</v>
      </c>
      <c r="GY81" s="62">
        <f t="shared" si="83"/>
        <v>465.47982663017365</v>
      </c>
      <c r="GZ81" s="62">
        <f ca="1">AVERAGE(OFFSET($GY$3,0,0,'Données projet'!$E$18+1,1))-AVERAGE(OFFSET($H$3,0,0,'Données projet'!$E$18+1,1))</f>
        <v>220.89224520315713</v>
      </c>
      <c r="HA81" s="62">
        <f t="shared" si="106"/>
        <v>141.82763623159096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-2.8421709430404007E-14</v>
      </c>
      <c r="O82" s="14">
        <f>N82*VLOOKUP('Données projet'!$B$9,Paramètres!$A$1:$I$89,3,0)*VLOOKUP('Données projet'!$B$9,Paramètres!$A$1:$I$89,5,0)</f>
        <v>-2.7489477361086758E-14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84.959354125980269</v>
      </c>
      <c r="T82" s="62">
        <f t="shared" si="88"/>
        <v>89.658970210276806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12.130093154237576</v>
      </c>
      <c r="AB82" s="23">
        <f>EXP(-LN(2)/2)*AB81+(1-EXP(-LN(2)/2))/(LN(2)/2)*V82*Y82*VLOOKUP('Données projet'!$B$9,Paramètres!$A$1:$I$89,3,0)*0.475*44/12</f>
        <v>0.14456668646709278</v>
      </c>
      <c r="AC82" s="24">
        <f t="shared" si="57"/>
        <v>12.274659840704668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9.6040000000000028</v>
      </c>
      <c r="AI82" s="14">
        <f>IF('Données projet'!$A$62&gt;35,AI81+AH82-AQ81,IF(A82&lt;'Données projet'!$A$62,$AF$205^A82,IF(A82='Données projet'!$A$62,'Données projet'!$B$62,AI81+AH82-AQ81)))</f>
        <v>349.56599999999997</v>
      </c>
      <c r="AJ82" s="14">
        <f>AI82*VLOOKUP('Données projet'!$B$10,Paramètres!$A$1:$I$89,3,0)*VLOOKUP('Données projet'!$B$10,Paramètres!$A$1:$I$89,5,0)</f>
        <v>332.6470056</v>
      </c>
      <c r="AK82" s="14">
        <f t="shared" si="89"/>
        <v>77.978843532770128</v>
      </c>
      <c r="AL82" s="22">
        <f t="shared" si="58"/>
        <v>715.17335390624123</v>
      </c>
      <c r="AM82" s="62">
        <f t="shared" si="59"/>
        <v>985.50290128741813</v>
      </c>
      <c r="AN82" s="62">
        <f ca="1">AVERAGE(OFFSET($AM$3,0,0,'Données projet'!$E$10+1,1))-AVERAGE(OFFSET($H$3,0,0,'Données projet'!$E$10+1,1))</f>
        <v>592.76231355549089</v>
      </c>
      <c r="AO82" s="62">
        <f t="shared" si="90"/>
        <v>200.66895551079014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2.2234501128191289</v>
      </c>
      <c r="AV82" s="23">
        <f>EXP(-LN(2)/25)*AV81+(1-EXP(-LN(2)/25))/(LN(2)/25)*Calculateur!AQ82*Calculateur!AS82*VLOOKUP('Données projet'!$B$10,Paramètres!$A$1:$I$89,3,0)*0.475*44/12</f>
        <v>10.709244933089222</v>
      </c>
      <c r="AW82" s="23">
        <f>EXP(-LN(2)/2)*AW81+(1-EXP(-LN(2)/2))/(LN(2)/2)*AQ82*AT82*VLOOKUP('Données projet'!$B$10,Paramètres!$A$1:$I$89,3,0)*0.475*44/12</f>
        <v>1.7759576290352082E-2</v>
      </c>
      <c r="AX82" s="23">
        <f t="shared" si="60"/>
        <v>12.950454622198702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4.625</v>
      </c>
      <c r="BD82" s="13">
        <f>IF('Données projet'!$A$88&gt;35,BD81+BC82-BL81,IF(A82&lt;'Données projet'!$A$88,$BA$205^A82,IF(A82='Données projet'!$A$88,'Données projet'!$B$88,BD81+BC82-BL81)))</f>
        <v>140.16000000000011</v>
      </c>
      <c r="BE82" s="14">
        <f>BD82*VLOOKUP('Données projet'!$B$11,Paramètres!$A$1:$I$89,3,0)*VLOOKUP('Données projet'!$B$11,Paramètres!$A$1:$I$89,5,0)</f>
        <v>126.8167680000001</v>
      </c>
      <c r="BF82" s="14">
        <f t="shared" si="91"/>
        <v>33.259749961072437</v>
      </c>
      <c r="BG82" s="22">
        <f t="shared" si="61"/>
        <v>278.79993544886798</v>
      </c>
      <c r="BH82" s="62">
        <f t="shared" si="62"/>
        <v>549.12948283004494</v>
      </c>
      <c r="BI82" s="62">
        <f ca="1">AVERAGE(OFFSET($BH$3,0,0,'Données projet'!$E$11+1,1))-AVERAGE(OFFSET($H$3,0,0,'Données projet'!$E$11+1,1))</f>
        <v>316.71836722354374</v>
      </c>
      <c r="BJ82" s="62">
        <f t="shared" si="92"/>
        <v>164.34067012996618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8.9901867908694673</v>
      </c>
      <c r="BQ82" s="23">
        <f>EXP(-LN(2)/25)*BQ81+(1-EXP(-LN(2)/25))/(LN(2)/25)*Calculateur!BL82*Calculateur!BN82*VLOOKUP('Données projet'!$B$11,Paramètres!$A$1:$I$89,3,0)*0.475*44/12</f>
        <v>4.8117044099583524</v>
      </c>
      <c r="BR82" s="23">
        <f>EXP(-LN(2)/2)*BR81+(1-EXP(-LN(2)/2))/(LN(2)/2)*BL82*BO82*VLOOKUP('Données projet'!$B$11,Paramètres!$A$1:$I$89,3,0)*0.475*44/12</f>
        <v>1.1473635444889713E-3</v>
      </c>
      <c r="BS82" s="24">
        <f t="shared" si="63"/>
        <v>13.803038564372308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4.8845000000000001</v>
      </c>
      <c r="BY82" s="13">
        <f>IF('Données projet'!$A$114&gt;35,BY81+BX82-CG81,IF(A82&lt;'Données projet'!$A$114,$BV$205^A82,IF(A82='Données projet'!$A$114,'Données projet'!$B$114,BY81+BX82-CG81)))</f>
        <v>249.36299999999989</v>
      </c>
      <c r="BZ82" s="14">
        <f>BY82*VLOOKUP('Données projet'!$B$12,Paramètres!$A$1:$I$89,3,0)*VLOOKUP('Données projet'!$B$12,Paramètres!$A$1:$I$89,5,0)</f>
        <v>283.97458439999986</v>
      </c>
      <c r="CA82" s="14">
        <f t="shared" si="93"/>
        <v>67.806262542746282</v>
      </c>
      <c r="CB82" s="22">
        <f t="shared" si="64"/>
        <v>612.68497509194958</v>
      </c>
      <c r="CC82" s="62">
        <f t="shared" si="65"/>
        <v>883.01452247312659</v>
      </c>
      <c r="CD82" s="62">
        <f ca="1">AVERAGE(OFFSET($CC$3,0,0,'Données projet'!$E$12+1,1))-AVERAGE(OFFSET($H$3,0,0,'Données projet'!$E$12+1,1))</f>
        <v>454.9779384236806</v>
      </c>
      <c r="CE82" s="62">
        <f t="shared" si="94"/>
        <v>379.32753348721906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9.1778950384306111</v>
      </c>
      <c r="CM82" s="23">
        <f>EXP(-LN(2)/2)*CM81+(1-EXP(-LN(2)/2))/(LN(2)/2)*CG82*CJ82*VLOOKUP('Données projet'!$B$12,Paramètres!$A$1:$I$89,3,0)*0.475*44/12</f>
        <v>0.15199965037282204</v>
      </c>
      <c r="CN82" s="24">
        <f t="shared" si="66"/>
        <v>9.3298946888034333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252.10592533338991</v>
      </c>
      <c r="CZ82" s="62">
        <f t="shared" si="96"/>
        <v>272.71831345325313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87.664888367912468</v>
      </c>
      <c r="DH82" s="23">
        <f>EXP(-LN(2)/2)*DH81+(1-EXP(-LN(2)/2))/(LN(2)/2)*DB82*DE82*VLOOKUP('Données projet'!$B$13,Paramètres!$A$1:$I$89,3,0)*0.475*44/12</f>
        <v>2.3354338908871102E-2</v>
      </c>
      <c r="DI82" s="24">
        <f t="shared" si="69"/>
        <v>87.688242706821342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21.3764</v>
      </c>
      <c r="DO82" s="13">
        <f>IF('Données projet'!$A$166&gt;35,DO81+DN82-DW81,IF(A82&lt;'Données projet'!$A$166,$DL$205^A82,IF(A82='Données projet'!$A$166,'Données projet'!$B$166,DO81+DN82-DW81)))</f>
        <v>799.67359999999996</v>
      </c>
      <c r="DP82" s="18">
        <f>DO82*VLOOKUP('Données projet'!$B$14,Paramètres!$A$1:$I$89,3,0)*VLOOKUP('Données projet'!$B$14,Paramètres!$A$1:$I$89,5,0)</f>
        <v>478.20481280000001</v>
      </c>
      <c r="DQ82" s="14">
        <f t="shared" si="97"/>
        <v>107.46299608943688</v>
      </c>
      <c r="DR82" s="22">
        <f t="shared" si="70"/>
        <v>1020.0381004824359</v>
      </c>
      <c r="DS82" s="62">
        <f t="shared" si="71"/>
        <v>1290.3676478636128</v>
      </c>
      <c r="DT82" s="62">
        <f ca="1">AVERAGE(OFFSET($DS$3,0,0,'Données projet'!$E$14+1,1))-AVERAGE(OFFSET($H$3,0,0,'Données projet'!$E$14+1,1))</f>
        <v>423.0896575168394</v>
      </c>
      <c r="DU82" s="62">
        <f t="shared" si="98"/>
        <v>305.98537395014284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5.9873029861724492</v>
      </c>
      <c r="EB82" s="23">
        <f>EXP(-LN(2)/25)*EB81+(1-EXP(-LN(2)/25))/(LN(2)/25)*Calculateur!DW82*Calculateur!DY82*VLOOKUP('Données projet'!$B$14,Paramètres!$A$1:$I$89,3,0)*0.475*44/12</f>
        <v>33.833247746792871</v>
      </c>
      <c r="EC82" s="23">
        <f>EXP(-LN(2)/2)*EC81+(1-EXP(-LN(2)/2))/(LN(2)/2)*DW82*DZ82*VLOOKUP('Données projet'!$B$14,Paramètres!$A$1:$I$89,3,0)*0.475*44/12</f>
        <v>4.5786893211705515E-3</v>
      </c>
      <c r="ED82" s="24">
        <f t="shared" si="72"/>
        <v>39.825129422286494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2.2737367544323206E-13</v>
      </c>
      <c r="EK82" s="18">
        <f>EJ82*VLOOKUP('Données projet'!$B$15,Paramètres!$A$1:$I$89,3,0)*VLOOKUP('Données projet'!$B$15,Paramètres!$A$1:$I$89,5,0)</f>
        <v>1.3596945791505279E-13</v>
      </c>
      <c r="EL82" s="14">
        <f t="shared" si="99"/>
        <v>1.9708830566360721E-12</v>
      </c>
      <c r="EM82" s="22">
        <f t="shared" si="73"/>
        <v>3.669434796176543E-12</v>
      </c>
      <c r="EN82" s="62">
        <f t="shared" si="74"/>
        <v>270.32954738118065</v>
      </c>
      <c r="EO82" s="62">
        <f ca="1">AVERAGE(OFFSET($EN$3,0,0,'Données projet'!$E$15+1,1))-AVERAGE(OFFSET($H$3,0,0,'Données projet'!$E$15+1,1))</f>
        <v>281.21543175875604</v>
      </c>
      <c r="EP82" s="62">
        <f t="shared" si="100"/>
        <v>366.68536296857428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65.544298140205555</v>
      </c>
      <c r="EW82" s="23">
        <f>EXP(-LN(2)/25)*EW81+(1-EXP(-LN(2)/25))/(LN(2)/25)*Calculateur!ER82*Calculateur!ET82*VLOOKUP('Données projet'!$B$15,Paramètres!$A$1:$I$89,3,0)*0.475*44/12</f>
        <v>19.089781491180844</v>
      </c>
      <c r="EX82" s="23">
        <f>EXP(-LN(2)/2)*EX81+(1-EXP(-LN(2)/2))/(LN(2)/2)*ER82*EU82*VLOOKUP('Données projet'!$B$15,Paramètres!$A$1:$I$89,3,0)*0.475*44/12</f>
        <v>7.2050957302717406E-3</v>
      </c>
      <c r="EY82" s="24">
        <f t="shared" si="75"/>
        <v>84.64128472711667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12.801999999999998</v>
      </c>
      <c r="FE82" s="13">
        <f>IF('Données projet'!$A$218&gt;35,FE81+FD82-FM81,IF(A82&lt;'Données projet'!$A$218,$FB$205^A82,IF(A82='Données projet'!$A$218,'Données projet'!$B$218,FE81+FD82-FM81)))</f>
        <v>398.97800000000018</v>
      </c>
      <c r="FF82" s="18">
        <f>FE82*VLOOKUP('Données projet'!$B$16,Paramètres!$A$1:$I$89,3,0)*VLOOKUP('Données projet'!$B$16,Paramètres!$A$1:$I$89,5,0)</f>
        <v>223.02870200000012</v>
      </c>
      <c r="FG82" s="14">
        <f t="shared" si="101"/>
        <v>54.772634390637712</v>
      </c>
      <c r="FH82" s="22">
        <f t="shared" si="76"/>
        <v>483.8373275470276</v>
      </c>
      <c r="FI82" s="62">
        <f t="shared" si="77"/>
        <v>754.16687492820461</v>
      </c>
      <c r="FJ82" s="62">
        <f ca="1">AVERAGE(OFFSET($FI$3,0,0,'Données projet'!$E$16+1,1))-AVERAGE(OFFSET($H$3,0,0,'Données projet'!$E$16+1,1))</f>
        <v>280.9225643428145</v>
      </c>
      <c r="FK82" s="62">
        <f t="shared" si="102"/>
        <v>236.89414218053955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67.992862739346648</v>
      </c>
      <c r="FR82" s="23">
        <f>EXP(-LN(2)/25)*FR81+(1-EXP(-LN(2)/25))/(LN(2)/25)*Calculateur!FM82*Calculateur!FO82*VLOOKUP('Données projet'!$B$16,Paramètres!$A$1:$I$89,3,0)*0.475*44/12</f>
        <v>26.700300162606517</v>
      </c>
      <c r="FS82" s="23">
        <f>EXP(-LN(2)/2)*FS81+(1-EXP(-LN(2)/2))/(LN(2)/2)*FM82*FP82*VLOOKUP('Données projet'!$B$16,Paramètres!$A$1:$I$89,3,0)*0.475*44/12</f>
        <v>1.896640433671198E-4</v>
      </c>
      <c r="FT82" s="24">
        <f t="shared" si="78"/>
        <v>94.693352565996534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4.4679999999999946</v>
      </c>
      <c r="FZ82" s="13">
        <f>IF('Données projet'!$A$244&gt;35,FZ81+FY82-GH81,IF(A82&lt;'Données projet'!$A$244,$FW$205^A82,IF(A82='Données projet'!$A$244,'Données projet'!$B$244,FZ81+FY82-GH81)))</f>
        <v>289.85199999999941</v>
      </c>
      <c r="GA82" s="18">
        <f>FZ82*VLOOKUP('Données projet'!$B$17,Paramètres!$A$1:$I$89,3,0)*VLOOKUP('Données projet'!$B$17,Paramètres!$A$1:$I$89,5,0)</f>
        <v>128.11458399999975</v>
      </c>
      <c r="GB82" s="14">
        <f t="shared" si="103"/>
        <v>33.56032531360345</v>
      </c>
      <c r="GC82" s="22">
        <f t="shared" si="79"/>
        <v>281.58380038785884</v>
      </c>
      <c r="GD82" s="62">
        <f t="shared" si="80"/>
        <v>551.91334776903579</v>
      </c>
      <c r="GE82" s="62">
        <f ca="1">AVERAGE(OFFSET($GD$3,0,0,'Données projet'!$E$17+1,1))-AVERAGE(OFFSET($H$3,0,0,'Données projet'!$E$17+1,1))</f>
        <v>325.67421864225201</v>
      </c>
      <c r="GF82" s="62">
        <f t="shared" si="104"/>
        <v>542.01920418736745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55.247151413559436</v>
      </c>
      <c r="GM82" s="23">
        <f>EXP(-LN(2)/25)*GM81+(1-EXP(-LN(2)/25))/(LN(2)/25)*Calculateur!GH82*Calculateur!GJ82*VLOOKUP('Données projet'!$B$17,Paramètres!$A$1:$I$89,3,0)*0.475*44/12</f>
        <v>52.166149114284828</v>
      </c>
      <c r="GN82" s="23">
        <f>EXP(-LN(2)/2)*GN81+(1-EXP(-LN(2)/2))/(LN(2)/2)*GH82*GK82*VLOOKUP('Données projet'!$B$17,Paramètres!$A$1:$I$89,3,0)*0.475*44/12</f>
        <v>1.9317852644949054E-4</v>
      </c>
      <c r="GO82" s="23">
        <f t="shared" si="81"/>
        <v>107.4134937063707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2.8710000000000009</v>
      </c>
      <c r="GU82" s="13">
        <f>IF('Données projet'!$A$270&gt;35,GU81+GT82-HC81,IF(A82&lt;'Données projet'!$A$270,$GR$205^A82,IF(A82='Données projet'!$A$270,'Données projet'!$B$270,GU81+GT82-HC81)))</f>
        <v>89.814000000000007</v>
      </c>
      <c r="GV82" s="18">
        <f>GU82*VLOOKUP('Données projet'!$B$18,Paramètres!$A$1:$I$89,3,0)*VLOOKUP('Données projet'!$B$18,Paramètres!$A$1:$I$89,5,0)</f>
        <v>91.071396000000021</v>
      </c>
      <c r="GW82" s="14">
        <f t="shared" si="105"/>
        <v>24.823441672755926</v>
      </c>
      <c r="GX82" s="22">
        <f t="shared" si="82"/>
        <v>201.85017561338327</v>
      </c>
      <c r="GY82" s="62">
        <f t="shared" si="83"/>
        <v>472.17972299456022</v>
      </c>
      <c r="GZ82" s="62">
        <f ca="1">AVERAGE(OFFSET($GY$3,0,0,'Données projet'!$E$18+1,1))-AVERAGE(OFFSET($H$3,0,0,'Données projet'!$E$18+1,1))</f>
        <v>220.89224520315713</v>
      </c>
      <c r="HA82" s="62">
        <f t="shared" si="106"/>
        <v>141.82763623159096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-2.8421709430404007E-14</v>
      </c>
      <c r="O83" s="14">
        <f>N83*VLOOKUP('Données projet'!$B$9,Paramètres!$A$1:$I$89,3,0)*VLOOKUP('Données projet'!$B$9,Paramètres!$A$1:$I$89,5,0)</f>
        <v>-2.7489477361086758E-14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84.959354125980269</v>
      </c>
      <c r="T83" s="62">
        <f t="shared" si="88"/>
        <v>89.658970210276806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11.798395119041075</v>
      </c>
      <c r="AB83" s="23">
        <f>EXP(-LN(2)/2)*AB82+(1-EXP(-LN(2)/2))/(LN(2)/2)*V83*Y83*VLOOKUP('Données projet'!$B$9,Paramètres!$A$1:$I$89,3,0)*0.475*44/12</f>
        <v>0.1022240843345508</v>
      </c>
      <c r="AC83" s="24">
        <f t="shared" si="57"/>
        <v>11.900619203375626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359.17</v>
      </c>
      <c r="AG83" s="13">
        <f>VLOOKUP(A83,'Données projet'!$A$61:$I$81,9,0)</f>
        <v>9.6040000000000028</v>
      </c>
      <c r="AH83" s="13">
        <f t="array" ref="AH83">INDEX(AG:AG,MIN(IF(ISNUMBER(AG83:AG279),ROW(AG83:AG279),"")))</f>
        <v>9.6040000000000028</v>
      </c>
      <c r="AI83" s="14">
        <f>IF('Données projet'!$A$62&gt;35,AI82+AH83-AQ82,IF(A83&lt;'Données projet'!$A$62,$AF$205^A83,IF(A83='Données projet'!$A$62,'Données projet'!$B$62,AI82+AH83-AQ82)))</f>
        <v>359.16999999999996</v>
      </c>
      <c r="AJ83" s="14">
        <f>AI83*VLOOKUP('Données projet'!$B$10,Paramètres!$A$1:$I$89,3,0)*VLOOKUP('Données projet'!$B$10,Paramètres!$A$1:$I$89,5,0)</f>
        <v>341.78617199999997</v>
      </c>
      <c r="AK83" s="14">
        <f t="shared" si="89"/>
        <v>79.868868253336686</v>
      </c>
      <c r="AL83" s="22">
        <f t="shared" si="58"/>
        <v>734.38252844122792</v>
      </c>
      <c r="AM83" s="62">
        <f t="shared" si="59"/>
        <v>1005.1111400799141</v>
      </c>
      <c r="AN83" s="62">
        <f ca="1">AVERAGE(OFFSET($AM$3,0,0,'Données projet'!$E$10+1,1))-AVERAGE(OFFSET($H$3,0,0,'Données projet'!$E$10+1,1))</f>
        <v>592.76231355549089</v>
      </c>
      <c r="AO83" s="62">
        <f t="shared" si="90"/>
        <v>200.66895551079014</v>
      </c>
      <c r="AP83" s="16">
        <f>IF(ISNA(VLOOKUP(A83,'Données projet'!$A$61:$I$81,3,0)),0,VLOOKUP(A83,'Données projet'!$A$61:$I$81,3,0))</f>
        <v>4</v>
      </c>
      <c r="AQ83" s="16">
        <f>IF(ISNA(VLOOKUP(A83,'Données projet'!$A$61:$I$81,4,0)),0,VLOOKUP(A83,'Données projet'!$A$61:$I$81,4,0))</f>
        <v>205.24</v>
      </c>
      <c r="AR83" s="17">
        <f>IF(ISNA(VLOOKUP(A83,'Données projet'!$A$61:$I$81,5,0)),0%,VLOOKUP(A83,'Données projet'!$A$61:$I$81,5,0)*VLOOKUP('Données projet'!$B$10,Paramètres!$A$1:$I$89,7,0))</f>
        <v>0.25800000000000001</v>
      </c>
      <c r="AS83" s="17">
        <f>IF(ISNA(VLOOKUP(A83,'Données projet'!$A$61:$I$81,6,0)),0%,VLOOKUP(A83,'Données projet'!$A$61:$I$81,6,0)*VLOOKUP('Données projet'!$B$10,Paramètres!$A$1:$I$89,7,0))</f>
        <v>0.129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57.883448603264938</v>
      </c>
      <c r="AV83" s="23">
        <f>EXP(-LN(2)/25)*AV82+(1-EXP(-LN(2)/25))/(LN(2)/25)*Calculateur!AQ83*Calculateur!AS83*VLOOKUP('Données projet'!$B$10,Paramètres!$A$1:$I$89,3,0)*0.475*44/12</f>
        <v>38.158536415731589</v>
      </c>
      <c r="AW83" s="23">
        <f>EXP(-LN(2)/2)*AW82+(1-EXP(-LN(2)/2))/(LN(2)/2)*AQ83*AT83*VLOOKUP('Données projet'!$B$10,Paramètres!$A$1:$I$89,3,0)*0.475*44/12</f>
        <v>1.2557916825907787E-2</v>
      </c>
      <c r="AX83" s="23">
        <f t="shared" si="60"/>
        <v>96.05454293582244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4.625</v>
      </c>
      <c r="BD83" s="13">
        <f>IF('Données projet'!$A$88&gt;35,BD82+BC83-BL82,IF(A83&lt;'Données projet'!$A$88,$BA$205^A83,IF(A83='Données projet'!$A$88,'Données projet'!$B$88,BD82+BC83-BL82)))</f>
        <v>144.78500000000011</v>
      </c>
      <c r="BE83" s="14">
        <f>BD83*VLOOKUP('Données projet'!$B$11,Paramètres!$A$1:$I$89,3,0)*VLOOKUP('Données projet'!$B$11,Paramètres!$A$1:$I$89,5,0)</f>
        <v>131.0014680000001</v>
      </c>
      <c r="BF83" s="14">
        <f t="shared" si="91"/>
        <v>34.227665727057676</v>
      </c>
      <c r="BG83" s="22">
        <f t="shared" si="61"/>
        <v>287.77407457462567</v>
      </c>
      <c r="BH83" s="62">
        <f t="shared" si="62"/>
        <v>558.50268621331179</v>
      </c>
      <c r="BI83" s="62">
        <f ca="1">AVERAGE(OFFSET($BH$3,0,0,'Données projet'!$E$11+1,1))-AVERAGE(OFFSET($H$3,0,0,'Données projet'!$E$11+1,1))</f>
        <v>316.71836722354374</v>
      </c>
      <c r="BJ83" s="62">
        <f t="shared" si="92"/>
        <v>164.34067012996618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8.8138947113730115</v>
      </c>
      <c r="BQ83" s="23">
        <f>EXP(-LN(2)/25)*BQ82+(1-EXP(-LN(2)/25))/(LN(2)/25)*Calculateur!BL83*Calculateur!BN83*VLOOKUP('Données projet'!$B$11,Paramètres!$A$1:$I$89,3,0)*0.475*44/12</f>
        <v>4.6801280998315038</v>
      </c>
      <c r="BR83" s="23">
        <f>EXP(-LN(2)/2)*BR82+(1-EXP(-LN(2)/2))/(LN(2)/2)*BL83*BO83*VLOOKUP('Données projet'!$B$11,Paramètres!$A$1:$I$89,3,0)*0.475*44/12</f>
        <v>8.1130854279438459E-4</v>
      </c>
      <c r="BS83" s="24">
        <f t="shared" si="63"/>
        <v>13.49483411974731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4.8845000000000001</v>
      </c>
      <c r="BY83" s="13">
        <f>IF('Données projet'!$A$114&gt;35,BY82+BX83-CG82,IF(A83&lt;'Données projet'!$A$114,$BV$205^A83,IF(A83='Données projet'!$A$114,'Données projet'!$B$114,BY82+BX83-CG82)))</f>
        <v>254.24749999999989</v>
      </c>
      <c r="BZ83" s="14">
        <f>BY83*VLOOKUP('Données projet'!$B$12,Paramètres!$A$1:$I$89,3,0)*VLOOKUP('Données projet'!$B$12,Paramètres!$A$1:$I$89,5,0)</f>
        <v>289.53705299999984</v>
      </c>
      <c r="CA83" s="14">
        <f t="shared" si="93"/>
        <v>68.978516762384004</v>
      </c>
      <c r="CB83" s="22">
        <f t="shared" si="64"/>
        <v>624.41461733615188</v>
      </c>
      <c r="CC83" s="62">
        <f t="shared" si="65"/>
        <v>895.14322897483794</v>
      </c>
      <c r="CD83" s="62">
        <f ca="1">AVERAGE(OFFSET($CC$3,0,0,'Données projet'!$E$12+1,1))-AVERAGE(OFFSET($H$3,0,0,'Données projet'!$E$12+1,1))</f>
        <v>454.9779384236806</v>
      </c>
      <c r="CE83" s="62">
        <f t="shared" si="94"/>
        <v>379.32753348721906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8.9269250159602027</v>
      </c>
      <c r="CM83" s="23">
        <f>EXP(-LN(2)/2)*CM82+(1-EXP(-LN(2)/2))/(LN(2)/2)*CG83*CJ83*VLOOKUP('Données projet'!$B$12,Paramètres!$A$1:$I$89,3,0)*0.475*44/12</f>
        <v>0.1074799835166068</v>
      </c>
      <c r="CN83" s="24">
        <f t="shared" si="66"/>
        <v>9.0344049994768092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252.10592533338991</v>
      </c>
      <c r="CZ83" s="62">
        <f t="shared" si="96"/>
        <v>272.71831345325313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85.267687385395789</v>
      </c>
      <c r="DH83" s="23">
        <f>EXP(-LN(2)/2)*DH82+(1-EXP(-LN(2)/2))/(LN(2)/2)*DB83*DE83*VLOOKUP('Données projet'!$B$13,Paramètres!$A$1:$I$89,3,0)*0.475*44/12</f>
        <v>1.6514011412591591E-2</v>
      </c>
      <c r="DI83" s="24">
        <f t="shared" si="69"/>
        <v>85.284201396808385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821.05</v>
      </c>
      <c r="DM83" s="13">
        <f>VLOOKUP(A83,'Données projet'!$A$165:$I$185,9,0)</f>
        <v>21.3764</v>
      </c>
      <c r="DN83" s="13">
        <f t="array" ref="DN83">INDEX(DM:DM,MIN(IF(ISNUMBER(DM83:DM279),ROW(DM83:DM279),"")))</f>
        <v>21.3764</v>
      </c>
      <c r="DO83" s="13">
        <f>IF('Données projet'!$A$166&gt;35,DO82+DN83-DW82,IF(A83&lt;'Données projet'!$A$166,$DL$205^A83,IF(A83='Données projet'!$A$166,'Données projet'!$B$166,DO82+DN83-DW82)))</f>
        <v>821.05</v>
      </c>
      <c r="DP83" s="18">
        <f>DO83*VLOOKUP('Données projet'!$B$14,Paramètres!$A$1:$I$89,3,0)*VLOOKUP('Données projet'!$B$14,Paramètres!$A$1:$I$89,5,0)</f>
        <v>490.98790000000002</v>
      </c>
      <c r="DQ83" s="14">
        <f t="shared" si="97"/>
        <v>109.99734795256533</v>
      </c>
      <c r="DR83" s="22">
        <f t="shared" si="70"/>
        <v>1046.7159735173848</v>
      </c>
      <c r="DS83" s="62">
        <f t="shared" si="71"/>
        <v>1317.4445851560708</v>
      </c>
      <c r="DT83" s="62">
        <f ca="1">AVERAGE(OFFSET($DS$3,0,0,'Données projet'!$E$14+1,1))-AVERAGE(OFFSET($H$3,0,0,'Données projet'!$E$14+1,1))</f>
        <v>423.0896575168394</v>
      </c>
      <c r="DU83" s="62">
        <f t="shared" si="98"/>
        <v>305.98537395014284</v>
      </c>
      <c r="DV83" s="16">
        <f>IF(ISNA(VLOOKUP(A83,'Données projet'!$A$165:$I$185,3,0)),0,VLOOKUP(A83,'Données projet'!$A$165:$I$185,3,0))</f>
        <v>5</v>
      </c>
      <c r="DW83" s="16">
        <f>IF(ISNA(VLOOKUP(A83,'Données projet'!$A$165:$I$185,4,0)),0,VLOOKUP(A83,'Données projet'!$A$165:$I$185,4,0))</f>
        <v>821.05</v>
      </c>
      <c r="DX83" s="17">
        <f>IF(ISNA(VLOOKUP(A83,'Données projet'!$A$165:$I$185,5,0)),0%,VLOOKUP(A83,'Données projet'!$A$165:$I$185,5,0)*VLOOKUP('Données projet'!$B$14,Paramètres!$A$1:$I$89,7,0))</f>
        <v>0.22500000000000001</v>
      </c>
      <c r="DY83" s="17">
        <f>IF(ISNA(VLOOKUP(A83,'Données projet'!$A$165:$I$185,6,0)),0%,VLOOKUP(A83,'Données projet'!$A$165:$I$185,6,0)*VLOOKUP('Données projet'!$B$14,Paramètres!$A$1:$I$89,7,0))</f>
        <v>0.22500000000000001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152.41849226946107</v>
      </c>
      <c r="EB83" s="23">
        <f>EXP(-LN(2)/25)*EB82+(1-EXP(-LN(2)/25))/(LN(2)/25)*Calculateur!DW83*Calculateur!DY83*VLOOKUP('Données projet'!$B$14,Paramètres!$A$1:$I$89,3,0)*0.475*44/12</f>
        <v>178.87965478652055</v>
      </c>
      <c r="EC83" s="23">
        <f>EXP(-LN(2)/2)*EC82+(1-EXP(-LN(2)/2))/(LN(2)/2)*DW83*DZ83*VLOOKUP('Données projet'!$B$14,Paramètres!$A$1:$I$89,3,0)*0.475*44/12</f>
        <v>3.237622267946127E-3</v>
      </c>
      <c r="ED83" s="24">
        <f t="shared" si="72"/>
        <v>331.30138467824958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2.2737367544323206E-13</v>
      </c>
      <c r="EK83" s="18">
        <f>EJ83*VLOOKUP('Données projet'!$B$15,Paramètres!$A$1:$I$89,3,0)*VLOOKUP('Données projet'!$B$15,Paramètres!$A$1:$I$89,5,0)</f>
        <v>1.3596945791505279E-13</v>
      </c>
      <c r="EL83" s="14">
        <f t="shared" si="99"/>
        <v>1.9708830566360721E-12</v>
      </c>
      <c r="EM83" s="22">
        <f t="shared" si="73"/>
        <v>3.669434796176543E-12</v>
      </c>
      <c r="EN83" s="62">
        <f t="shared" si="74"/>
        <v>270.72861163868981</v>
      </c>
      <c r="EO83" s="62">
        <f ca="1">AVERAGE(OFFSET($EN$3,0,0,'Données projet'!$E$15+1,1))-AVERAGE(OFFSET($H$3,0,0,'Données projet'!$E$15+1,1))</f>
        <v>281.21543175875604</v>
      </c>
      <c r="EP83" s="62">
        <f t="shared" si="100"/>
        <v>366.68536296857428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64.259014431750487</v>
      </c>
      <c r="EW83" s="23">
        <f>EXP(-LN(2)/25)*EW82+(1-EXP(-LN(2)/25))/(LN(2)/25)*Calculateur!ER83*Calculateur!ET83*VLOOKUP('Données projet'!$B$15,Paramètres!$A$1:$I$89,3,0)*0.475*44/12</f>
        <v>18.567770412416525</v>
      </c>
      <c r="EX83" s="23">
        <f>EXP(-LN(2)/2)*EX82+(1-EXP(-LN(2)/2))/(LN(2)/2)*ER83*EU83*VLOOKUP('Données projet'!$B$15,Paramètres!$A$1:$I$89,3,0)*0.475*44/12</f>
        <v>5.0947720499733874E-3</v>
      </c>
      <c r="EY83" s="24">
        <f t="shared" si="75"/>
        <v>82.83187961621698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411.78</v>
      </c>
      <c r="FC83" s="13">
        <f>VLOOKUP(A83,'Données projet'!$A$217:$I$237,9,0)</f>
        <v>12.801999999999998</v>
      </c>
      <c r="FD83" s="13">
        <f t="array" ref="FD83">INDEX(FC:FC,MIN(IF(ISNUMBER(FC83:FC279),ROW(FC83:FC279),"")))</f>
        <v>12.801999999999998</v>
      </c>
      <c r="FE83" s="13">
        <f>IF('Données projet'!$A$218&gt;35,FE82+FD83-FM82,IF(A83&lt;'Données projet'!$A$218,$FB$205^A83,IF(A83='Données projet'!$A$218,'Données projet'!$B$218,FE82+FD83-FM82)))</f>
        <v>411.7800000000002</v>
      </c>
      <c r="FF83" s="18">
        <f>FE83*VLOOKUP('Données projet'!$B$16,Paramètres!$A$1:$I$89,3,0)*VLOOKUP('Données projet'!$B$16,Paramètres!$A$1:$I$89,5,0)</f>
        <v>230.18502000000012</v>
      </c>
      <c r="FG83" s="14">
        <f t="shared" si="101"/>
        <v>56.322685308481141</v>
      </c>
      <c r="FH83" s="22">
        <f t="shared" si="76"/>
        <v>499.00092007893818</v>
      </c>
      <c r="FI83" s="62">
        <f t="shared" si="77"/>
        <v>769.72953171762424</v>
      </c>
      <c r="FJ83" s="62">
        <f ca="1">AVERAGE(OFFSET($FI$3,0,0,'Données projet'!$E$16+1,1))-AVERAGE(OFFSET($H$3,0,0,'Données projet'!$E$16+1,1))</f>
        <v>280.9225643428145</v>
      </c>
      <c r="FK83" s="62">
        <f t="shared" si="102"/>
        <v>236.89414218053955</v>
      </c>
      <c r="FL83" s="16">
        <f>IF(ISNA(VLOOKUP(A83,'Données projet'!$A$217:$I$237,3,0)),0,VLOOKUP(A83,'Données projet'!$A$217:$I$237,3,0))</f>
        <v>11</v>
      </c>
      <c r="FM83" s="16">
        <f>IF(ISNA(VLOOKUP(A83,'Données projet'!$A$217:$I$237,4,0)),0,VLOOKUP(A83,'Données projet'!$A$217:$I$237,4,0))</f>
        <v>411.78</v>
      </c>
      <c r="FN83" s="17">
        <f>IF(ISNA(VLOOKUP(A83,'Données projet'!$A$217:$I$237,5,0)),0%,VLOOKUP(A83,'Données projet'!$A$217:$I$237,5,0)*VLOOKUP('Données projet'!$B$16,Paramètres!$A$1:$I$89,7,0))</f>
        <v>0.44000000000000006</v>
      </c>
      <c r="FO83" s="17">
        <f>IF(ISNA(VLOOKUP(A83,'Données projet'!$A$217:$I$237,6,0)),0%,VLOOKUP(A83,'Données projet'!$A$217:$I$237,6,0)*VLOOKUP('Données projet'!$B$16,Paramètres!$A$1:$I$89,7,0))</f>
        <v>0.11000000000000001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201.0158810835008</v>
      </c>
      <c r="FR83" s="23">
        <f>EXP(-LN(2)/25)*FR82+(1-EXP(-LN(2)/25))/(LN(2)/25)*Calculateur!FM83*Calculateur!FO83*VLOOKUP('Données projet'!$B$16,Paramètres!$A$1:$I$89,3,0)*0.475*44/12</f>
        <v>59.427005274920504</v>
      </c>
      <c r="FS83" s="23">
        <f>EXP(-LN(2)/2)*FS82+(1-EXP(-LN(2)/2))/(LN(2)/2)*FM83*FP83*VLOOKUP('Données projet'!$B$16,Paramètres!$A$1:$I$89,3,0)*0.475*44/12</f>
        <v>1.3411273121214984E-4</v>
      </c>
      <c r="FT83" s="24">
        <f t="shared" si="78"/>
        <v>260.44302047115252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294.32</v>
      </c>
      <c r="FX83" s="13">
        <f>VLOOKUP(A83,'Données projet'!$A$243:$I$263,9,0)</f>
        <v>4.4679999999999946</v>
      </c>
      <c r="FY83" s="13">
        <f t="array" ref="FY83">INDEX(FX:FX,MIN(IF(ISNUMBER(FX83:FX279),ROW(FX83:FX279),"")))</f>
        <v>4.4679999999999946</v>
      </c>
      <c r="FZ83" s="13">
        <f>IF('Données projet'!$A$244&gt;35,FZ82+FY83-GH82,IF(A83&lt;'Données projet'!$A$244,$FW$205^A83,IF(A83='Données projet'!$A$244,'Données projet'!$B$244,FZ82+FY83-GH82)))</f>
        <v>294.31999999999942</v>
      </c>
      <c r="GA83" s="18">
        <f>FZ83*VLOOKUP('Données projet'!$B$17,Paramètres!$A$1:$I$89,3,0)*VLOOKUP('Données projet'!$B$17,Paramètres!$A$1:$I$89,5,0)</f>
        <v>130.08943999999977</v>
      </c>
      <c r="GB83" s="14">
        <f t="shared" si="103"/>
        <v>34.017025463000415</v>
      </c>
      <c r="GC83" s="22">
        <f t="shared" si="79"/>
        <v>285.81876068139195</v>
      </c>
      <c r="GD83" s="62">
        <f t="shared" si="80"/>
        <v>556.54737232007801</v>
      </c>
      <c r="GE83" s="62">
        <f ca="1">AVERAGE(OFFSET($GD$3,0,0,'Données projet'!$E$17+1,1))-AVERAGE(OFFSET($H$3,0,0,'Données projet'!$E$17+1,1))</f>
        <v>325.67421864225201</v>
      </c>
      <c r="GF83" s="62">
        <f t="shared" si="104"/>
        <v>542.01920418736745</v>
      </c>
      <c r="GG83" s="16">
        <f>IF(ISNA(VLOOKUP(A83,'Données projet'!$A$243:$I$263,3,0)),0,VLOOKUP(A83,'Données projet'!$A$243:$I$263,3,0))</f>
        <v>12</v>
      </c>
      <c r="GH83" s="16">
        <f>IF(ISNA(VLOOKUP(A83,'Données projet'!$A$243:$I$263,4,0)),0,VLOOKUP(A83,'Données projet'!$A$243:$I$263,4,0))</f>
        <v>294.32</v>
      </c>
      <c r="GI83" s="17">
        <f>IF(ISNA(VLOOKUP(A83,'Données projet'!$A$243:$I$263,5,0)),0%,VLOOKUP(A83,'Données projet'!$A$243:$I$263,5,0)*VLOOKUP('Données projet'!$B$17,Paramètres!$A$1:$I$89,7,0))</f>
        <v>0.44000000000000006</v>
      </c>
      <c r="GJ83" s="17">
        <f>IF(ISNA(VLOOKUP(A83,'Données projet'!$A$243:$I$263,6,0)),0%,VLOOKUP(A83,'Données projet'!$A$243:$I$263,6,0)*VLOOKUP('Données projet'!$B$17,Paramètres!$A$1:$I$89,7,0))</f>
        <v>0.11000000000000001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130.09548040986985</v>
      </c>
      <c r="GM83" s="23">
        <f>EXP(-LN(2)/25)*GM82+(1-EXP(-LN(2)/25))/(LN(2)/25)*Calculateur!GH83*Calculateur!GJ83*VLOOKUP('Données projet'!$B$17,Paramètres!$A$1:$I$89,3,0)*0.475*44/12</f>
        <v>69.647843007129183</v>
      </c>
      <c r="GN83" s="23">
        <f>EXP(-LN(2)/2)*GN82+(1-EXP(-LN(2)/2))/(LN(2)/2)*GH83*GK83*VLOOKUP('Données projet'!$B$17,Paramètres!$A$1:$I$89,3,0)*0.475*44/12</f>
        <v>1.3659784603205959E-4</v>
      </c>
      <c r="GO83" s="23">
        <f t="shared" si="81"/>
        <v>199.74346001484506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2.8710000000000009</v>
      </c>
      <c r="GU83" s="13">
        <f>IF('Données projet'!$A$270&gt;35,GU82+GT83-HC82,IF(A83&lt;'Données projet'!$A$270,$GR$205^A83,IF(A83='Données projet'!$A$270,'Données projet'!$B$270,GU82+GT83-HC82)))</f>
        <v>92.685000000000002</v>
      </c>
      <c r="GV83" s="18">
        <f>GU83*VLOOKUP('Données projet'!$B$18,Paramètres!$A$1:$I$89,3,0)*VLOOKUP('Données projet'!$B$18,Paramètres!$A$1:$I$89,5,0)</f>
        <v>93.982590000000016</v>
      </c>
      <c r="GW83" s="14">
        <f t="shared" si="105"/>
        <v>25.523295916143301</v>
      </c>
      <c r="GX83" s="22">
        <f t="shared" si="82"/>
        <v>208.13941797061625</v>
      </c>
      <c r="GY83" s="62">
        <f t="shared" si="83"/>
        <v>478.86802960930237</v>
      </c>
      <c r="GZ83" s="62">
        <f ca="1">AVERAGE(OFFSET($GY$3,0,0,'Données projet'!$E$18+1,1))-AVERAGE(OFFSET($H$3,0,0,'Données projet'!$E$18+1,1))</f>
        <v>220.89224520315713</v>
      </c>
      <c r="HA83" s="62">
        <f t="shared" si="106"/>
        <v>141.82763623159096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-2.8421709430404007E-14</v>
      </c>
      <c r="O84" s="14">
        <f>N84*VLOOKUP('Données projet'!$B$9,Paramètres!$A$1:$I$89,3,0)*VLOOKUP('Données projet'!$B$9,Paramètres!$A$1:$I$89,5,0)</f>
        <v>-2.7489477361086758E-14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84.959354125980269</v>
      </c>
      <c r="T84" s="62">
        <f t="shared" si="88"/>
        <v>89.658970210276806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11.475767384060264</v>
      </c>
      <c r="AB84" s="23">
        <f>EXP(-LN(2)/2)*AB83+(1-EXP(-LN(2)/2))/(LN(2)/2)*V84*Y84*VLOOKUP('Données projet'!$B$9,Paramètres!$A$1:$I$89,3,0)*0.475*44/12</f>
        <v>7.228334323354639E-2</v>
      </c>
      <c r="AC84" s="24">
        <f t="shared" si="57"/>
        <v>11.548050727293811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12.027399999999998</v>
      </c>
      <c r="AI84" s="14">
        <f>IF('Données projet'!$A$62&gt;35,AI83+AH84-AQ83,IF(A84&lt;'Données projet'!$A$62,$AF$205^A84,IF(A84='Données projet'!$A$62,'Données projet'!$B$62,AI83+AH84-AQ83)))</f>
        <v>165.95739999999995</v>
      </c>
      <c r="AJ84" s="14">
        <f>AI84*VLOOKUP('Données projet'!$B$10,Paramètres!$A$1:$I$89,3,0)*VLOOKUP('Données projet'!$B$10,Paramètres!$A$1:$I$89,5,0)</f>
        <v>157.92506183999996</v>
      </c>
      <c r="AK84" s="14">
        <f t="shared" si="89"/>
        <v>40.374152363175234</v>
      </c>
      <c r="AL84" s="22">
        <f t="shared" si="58"/>
        <v>345.37113140386344</v>
      </c>
      <c r="AM84" s="62">
        <f t="shared" si="59"/>
        <v>616.49188442736488</v>
      </c>
      <c r="AN84" s="62">
        <f ca="1">AVERAGE(OFFSET($AM$3,0,0,'Données projet'!$E$10+1,1))-AVERAGE(OFFSET($H$3,0,0,'Données projet'!$E$10+1,1))</f>
        <v>592.76231355549089</v>
      </c>
      <c r="AO84" s="62">
        <f t="shared" si="90"/>
        <v>200.66895551079014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56.748389481572438</v>
      </c>
      <c r="AV84" s="23">
        <f>EXP(-LN(2)/25)*AV83+(1-EXP(-LN(2)/25))/(LN(2)/25)*Calculateur!AQ84*Calculateur!AS84*VLOOKUP('Données projet'!$B$10,Paramètres!$A$1:$I$89,3,0)*0.475*44/12</f>
        <v>37.115089230773194</v>
      </c>
      <c r="AW84" s="23">
        <f>EXP(-LN(2)/2)*AW83+(1-EXP(-LN(2)/2))/(LN(2)/2)*AQ84*AT84*VLOOKUP('Données projet'!$B$10,Paramètres!$A$1:$I$89,3,0)*0.475*44/12</f>
        <v>8.8797881451760409E-3</v>
      </c>
      <c r="AX84" s="23">
        <f t="shared" si="60"/>
        <v>93.872358500490805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4.625</v>
      </c>
      <c r="BD84" s="13">
        <f>IF('Données projet'!$A$88&gt;35,BD83+BC84-BL83,IF(A84&lt;'Données projet'!$A$88,$BA$205^A84,IF(A84='Données projet'!$A$88,'Données projet'!$B$88,BD83+BC84-BL83)))</f>
        <v>149.41000000000011</v>
      </c>
      <c r="BE84" s="14">
        <f>BD84*VLOOKUP('Données projet'!$B$11,Paramètres!$A$1:$I$89,3,0)*VLOOKUP('Données projet'!$B$11,Paramètres!$A$1:$I$89,5,0)</f>
        <v>135.18616800000009</v>
      </c>
      <c r="BF84" s="14">
        <f t="shared" si="91"/>
        <v>35.191988556157348</v>
      </c>
      <c r="BG84" s="22">
        <f t="shared" si="61"/>
        <v>296.74195600197419</v>
      </c>
      <c r="BH84" s="62">
        <f t="shared" si="62"/>
        <v>567.86270902547562</v>
      </c>
      <c r="BI84" s="62">
        <f ca="1">AVERAGE(OFFSET($BH$3,0,0,'Données projet'!$E$11+1,1))-AVERAGE(OFFSET($H$3,0,0,'Données projet'!$E$11+1,1))</f>
        <v>316.71836722354374</v>
      </c>
      <c r="BJ84" s="62">
        <f t="shared" si="92"/>
        <v>164.34067012996618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8.6410596120279308</v>
      </c>
      <c r="BQ84" s="23">
        <f>EXP(-LN(2)/25)*BQ83+(1-EXP(-LN(2)/25))/(LN(2)/25)*Calculateur!BL84*Calculateur!BN84*VLOOKUP('Données projet'!$B$11,Paramètres!$A$1:$I$89,3,0)*0.475*44/12</f>
        <v>4.5521497508243716</v>
      </c>
      <c r="BR84" s="23">
        <f>EXP(-LN(2)/2)*BR83+(1-EXP(-LN(2)/2))/(LN(2)/2)*BL84*BO84*VLOOKUP('Données projet'!$B$11,Paramètres!$A$1:$I$89,3,0)*0.475*44/12</f>
        <v>5.7368177224448563E-4</v>
      </c>
      <c r="BS84" s="24">
        <f t="shared" si="63"/>
        <v>13.193783044624547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4.8845000000000001</v>
      </c>
      <c r="BY84" s="13">
        <f>IF('Données projet'!$A$114&gt;35,BY83+BX84-CG83,IF(A84&lt;'Données projet'!$A$114,$BV$205^A84,IF(A84='Données projet'!$A$114,'Données projet'!$B$114,BY83+BX84-CG83)))</f>
        <v>259.13199999999989</v>
      </c>
      <c r="BZ84" s="14">
        <f>BY84*VLOOKUP('Données projet'!$B$12,Paramètres!$A$1:$I$89,3,0)*VLOOKUP('Données projet'!$B$12,Paramètres!$A$1:$I$89,5,0)</f>
        <v>295.09952159999989</v>
      </c>
      <c r="CA84" s="14">
        <f t="shared" si="93"/>
        <v>70.148152310959162</v>
      </c>
      <c r="CB84" s="22">
        <f t="shared" si="64"/>
        <v>636.13969872825373</v>
      </c>
      <c r="CC84" s="62">
        <f t="shared" si="65"/>
        <v>907.26045175175523</v>
      </c>
      <c r="CD84" s="62">
        <f ca="1">AVERAGE(OFFSET($CC$3,0,0,'Données projet'!$E$12+1,1))-AVERAGE(OFFSET($H$3,0,0,'Données projet'!$E$12+1,1))</f>
        <v>454.9779384236806</v>
      </c>
      <c r="CE84" s="62">
        <f t="shared" si="94"/>
        <v>379.32753348721906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8.6828177819521866</v>
      </c>
      <c r="CM84" s="23">
        <f>EXP(-LN(2)/2)*CM83+(1-EXP(-LN(2)/2))/(LN(2)/2)*CG84*CJ84*VLOOKUP('Données projet'!$B$12,Paramètres!$A$1:$I$89,3,0)*0.475*44/12</f>
        <v>7.5999825186411019E-2</v>
      </c>
      <c r="CN84" s="24">
        <f t="shared" si="66"/>
        <v>8.7588176071385977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252.10592533338991</v>
      </c>
      <c r="CZ84" s="62">
        <f t="shared" si="96"/>
        <v>272.71831345325313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82.93603798980935</v>
      </c>
      <c r="DH84" s="23">
        <f>EXP(-LN(2)/2)*DH83+(1-EXP(-LN(2)/2))/(LN(2)/2)*DB84*DE84*VLOOKUP('Données projet'!$B$13,Paramètres!$A$1:$I$89,3,0)*0.475*44/12</f>
        <v>1.1677169454435551E-2</v>
      </c>
      <c r="DI84" s="24">
        <f t="shared" si="69"/>
        <v>82.94771515926378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>
        <f>DO84*VLOOKUP('Données projet'!$B$14,Paramètres!$A$1:$I$89,3,0)*VLOOKUP('Données projet'!$B$14,Paramètres!$A$1:$I$89,5,0)</f>
        <v>0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423.0896575168394</v>
      </c>
      <c r="DU84" s="62">
        <f t="shared" si="98"/>
        <v>305.98537395014284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149.42965860215759</v>
      </c>
      <c r="EB84" s="23">
        <f>EXP(-LN(2)/25)*EB83+(1-EXP(-LN(2)/25))/(LN(2)/25)*Calculateur!DW84*Calculateur!DY84*VLOOKUP('Données projet'!$B$14,Paramètres!$A$1:$I$89,3,0)*0.475*44/12</f>
        <v>173.98818121951092</v>
      </c>
      <c r="EC84" s="23">
        <f>EXP(-LN(2)/2)*EC83+(1-EXP(-LN(2)/2))/(LN(2)/2)*DW84*DZ84*VLOOKUP('Données projet'!$B$14,Paramètres!$A$1:$I$89,3,0)*0.475*44/12</f>
        <v>2.2893446605852757E-3</v>
      </c>
      <c r="ED84" s="24">
        <f t="shared" si="72"/>
        <v>323.4201291663291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2.2737367544323206E-13</v>
      </c>
      <c r="EK84" s="18">
        <f>EJ84*VLOOKUP('Données projet'!$B$15,Paramètres!$A$1:$I$89,3,0)*VLOOKUP('Données projet'!$B$15,Paramètres!$A$1:$I$89,5,0)</f>
        <v>1.3596945791505279E-13</v>
      </c>
      <c r="EL84" s="14">
        <f t="shared" si="99"/>
        <v>1.9708830566360721E-12</v>
      </c>
      <c r="EM84" s="22">
        <f t="shared" si="73"/>
        <v>3.669434796176543E-12</v>
      </c>
      <c r="EN84" s="62">
        <f t="shared" si="74"/>
        <v>271.12075302350513</v>
      </c>
      <c r="EO84" s="62">
        <f ca="1">AVERAGE(OFFSET($EN$3,0,0,'Données projet'!$E$15+1,1))-AVERAGE(OFFSET($H$3,0,0,'Données projet'!$E$15+1,1))</f>
        <v>281.21543175875604</v>
      </c>
      <c r="EP84" s="62">
        <f t="shared" si="100"/>
        <v>366.68536296857428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62.998934352872567</v>
      </c>
      <c r="EW84" s="23">
        <f>EXP(-LN(2)/25)*EW83+(1-EXP(-LN(2)/25))/(LN(2)/25)*Calculateur!ER84*Calculateur!ET84*VLOOKUP('Données projet'!$B$15,Paramètres!$A$1:$I$89,3,0)*0.475*44/12</f>
        <v>18.060033754052387</v>
      </c>
      <c r="EX84" s="23">
        <f>EXP(-LN(2)/2)*EX83+(1-EXP(-LN(2)/2))/(LN(2)/2)*ER84*EU84*VLOOKUP('Données projet'!$B$15,Paramètres!$A$1:$I$89,3,0)*0.475*44/12</f>
        <v>3.6025478651358703E-3</v>
      </c>
      <c r="EY84" s="24">
        <f t="shared" si="75"/>
        <v>81.062570654790093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2.2737367544323206E-13</v>
      </c>
      <c r="FF84" s="18">
        <f>FE84*VLOOKUP('Données projet'!$B$16,Paramètres!$A$1:$I$89,3,0)*VLOOKUP('Données projet'!$B$16,Paramètres!$A$1:$I$89,5,0)</f>
        <v>1.2710188457276673E-13</v>
      </c>
      <c r="FG84" s="14">
        <f t="shared" si="101"/>
        <v>1.856866851063998E-12</v>
      </c>
      <c r="FH84" s="22">
        <f t="shared" si="76"/>
        <v>3.4554122145673649E-12</v>
      </c>
      <c r="FI84" s="62">
        <f t="shared" si="77"/>
        <v>271.1207530235049</v>
      </c>
      <c r="FJ84" s="62">
        <f ca="1">AVERAGE(OFFSET($FI$3,0,0,'Données projet'!$E$16+1,1))-AVERAGE(OFFSET($H$3,0,0,'Données projet'!$E$16+1,1))</f>
        <v>280.9225643428145</v>
      </c>
      <c r="FK84" s="62">
        <f t="shared" si="102"/>
        <v>236.89414218053955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197.07408226303431</v>
      </c>
      <c r="FR84" s="23">
        <f>EXP(-LN(2)/25)*FR83+(1-EXP(-LN(2)/25))/(LN(2)/25)*Calculateur!FM84*Calculateur!FO84*VLOOKUP('Données projet'!$B$16,Paramètres!$A$1:$I$89,3,0)*0.475*44/12</f>
        <v>57.801970690547414</v>
      </c>
      <c r="FS84" s="23">
        <f>EXP(-LN(2)/2)*FS83+(1-EXP(-LN(2)/2))/(LN(2)/2)*FM84*FP84*VLOOKUP('Données projet'!$B$16,Paramètres!$A$1:$I$89,3,0)*0.475*44/12</f>
        <v>9.4832021683559898E-5</v>
      </c>
      <c r="FT84" s="24">
        <f t="shared" si="78"/>
        <v>254.87614778560342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-5.6843418860808015E-13</v>
      </c>
      <c r="GA84" s="18">
        <f>FZ84*VLOOKUP('Données projet'!$B$17,Paramètres!$A$1:$I$89,3,0)*VLOOKUP('Données projet'!$B$17,Paramètres!$A$1:$I$89,5,0)</f>
        <v>-2.5124791136477147E-13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325.67421864225201</v>
      </c>
      <c r="GF84" s="62">
        <f t="shared" si="104"/>
        <v>542.01920418736745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127.54438738944015</v>
      </c>
      <c r="GM84" s="23">
        <f>EXP(-LN(2)/25)*GM83+(1-EXP(-LN(2)/25))/(LN(2)/25)*Calculateur!GH84*Calculateur!GJ84*VLOOKUP('Données projet'!$B$17,Paramètres!$A$1:$I$89,3,0)*0.475*44/12</f>
        <v>67.743319077478347</v>
      </c>
      <c r="GN84" s="23">
        <f>EXP(-LN(2)/2)*GN83+(1-EXP(-LN(2)/2))/(LN(2)/2)*GH84*GK84*VLOOKUP('Données projet'!$B$17,Paramètres!$A$1:$I$89,3,0)*0.475*44/12</f>
        <v>9.658926322474527E-5</v>
      </c>
      <c r="GO84" s="23">
        <f t="shared" si="81"/>
        <v>195.28780305618173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2.8710000000000009</v>
      </c>
      <c r="GU84" s="13">
        <f>IF('Données projet'!$A$270&gt;35,GU83+GT84-HC83,IF(A84&lt;'Données projet'!$A$270,$GR$205^A84,IF(A84='Données projet'!$A$270,'Données projet'!$B$270,GU83+GT84-HC83)))</f>
        <v>95.555999999999997</v>
      </c>
      <c r="GV84" s="18">
        <f>GU84*VLOOKUP('Données projet'!$B$18,Paramètres!$A$1:$I$89,3,0)*VLOOKUP('Données projet'!$B$18,Paramètres!$A$1:$I$89,5,0)</f>
        <v>96.893784000000011</v>
      </c>
      <c r="GW84" s="14">
        <f t="shared" si="105"/>
        <v>26.220630887914645</v>
      </c>
      <c r="GX84" s="22">
        <f t="shared" si="82"/>
        <v>214.42427259645135</v>
      </c>
      <c r="GY84" s="62">
        <f t="shared" si="83"/>
        <v>485.54502561995275</v>
      </c>
      <c r="GZ84" s="62">
        <f ca="1">AVERAGE(OFFSET($GY$3,0,0,'Données projet'!$E$18+1,1))-AVERAGE(OFFSET($H$3,0,0,'Données projet'!$E$18+1,1))</f>
        <v>220.89224520315713</v>
      </c>
      <c r="HA84" s="62">
        <f t="shared" si="106"/>
        <v>141.82763623159096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-2.8421709430404007E-14</v>
      </c>
      <c r="O85" s="14">
        <f>N85*VLOOKUP('Données projet'!$B$9,Paramètres!$A$1:$I$89,3,0)*VLOOKUP('Données projet'!$B$9,Paramètres!$A$1:$I$89,5,0)</f>
        <v>-2.7489477361086758E-14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84.959354125980269</v>
      </c>
      <c r="T85" s="62">
        <f t="shared" si="88"/>
        <v>89.658970210276806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11.161961921458758</v>
      </c>
      <c r="AB85" s="23">
        <f>EXP(-LN(2)/2)*AB84+(1-EXP(-LN(2)/2))/(LN(2)/2)*V85*Y85*VLOOKUP('Données projet'!$B$9,Paramètres!$A$1:$I$89,3,0)*0.475*44/12</f>
        <v>5.1112042167275398E-2</v>
      </c>
      <c r="AC85" s="24">
        <f t="shared" si="57"/>
        <v>11.213073963626034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12.027399999999998</v>
      </c>
      <c r="AI85" s="14">
        <f>IF('Données projet'!$A$62&gt;35,AI84+AH85-AQ84,IF(A85&lt;'Données projet'!$A$62,$AF$205^A85,IF(A85='Données projet'!$A$62,'Données projet'!$B$62,AI84+AH85-AQ84)))</f>
        <v>177.98479999999995</v>
      </c>
      <c r="AJ85" s="14">
        <f>AI85*VLOOKUP('Données projet'!$B$10,Paramètres!$A$1:$I$89,3,0)*VLOOKUP('Données projet'!$B$10,Paramètres!$A$1:$I$89,5,0)</f>
        <v>169.37033567999995</v>
      </c>
      <c r="AK85" s="14">
        <f t="shared" si="89"/>
        <v>42.948969281687269</v>
      </c>
      <c r="AL85" s="22">
        <f t="shared" si="58"/>
        <v>369.78945614160529</v>
      </c>
      <c r="AM85" s="62">
        <f t="shared" si="59"/>
        <v>641.29554777359226</v>
      </c>
      <c r="AN85" s="62">
        <f ca="1">AVERAGE(OFFSET($AM$3,0,0,'Données projet'!$E$10+1,1))-AVERAGE(OFFSET($H$3,0,0,'Données projet'!$E$10+1,1))</f>
        <v>592.76231355549089</v>
      </c>
      <c r="AO85" s="62">
        <f t="shared" si="90"/>
        <v>200.66895551079014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55.635588176938626</v>
      </c>
      <c r="AV85" s="23">
        <f>EXP(-LN(2)/25)*AV84+(1-EXP(-LN(2)/25))/(LN(2)/25)*Calculateur!AQ85*Calculateur!AS85*VLOOKUP('Données projet'!$B$10,Paramètres!$A$1:$I$89,3,0)*0.475*44/12</f>
        <v>36.100175163959989</v>
      </c>
      <c r="AW85" s="23">
        <f>EXP(-LN(2)/2)*AW84+(1-EXP(-LN(2)/2))/(LN(2)/2)*AQ85*AT85*VLOOKUP('Données projet'!$B$10,Paramètres!$A$1:$I$89,3,0)*0.475*44/12</f>
        <v>6.2789584129538936E-3</v>
      </c>
      <c r="AX85" s="23">
        <f t="shared" si="60"/>
        <v>91.742042299311564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4.625</v>
      </c>
      <c r="BD85" s="13">
        <f>IF('Données projet'!$A$88&gt;35,BD84+BC85-BL84,IF(A85&lt;'Données projet'!$A$88,$BA$205^A85,IF(A85='Données projet'!$A$88,'Données projet'!$B$88,BD84+BC85-BL84)))</f>
        <v>154.03500000000011</v>
      </c>
      <c r="BE85" s="14">
        <f>BD85*VLOOKUP('Données projet'!$B$11,Paramètres!$A$1:$I$89,3,0)*VLOOKUP('Données projet'!$B$11,Paramètres!$A$1:$I$89,5,0)</f>
        <v>139.37086800000009</v>
      </c>
      <c r="BF85" s="14">
        <f t="shared" si="91"/>
        <v>36.152842430771884</v>
      </c>
      <c r="BG85" s="22">
        <f t="shared" si="61"/>
        <v>305.70379566692787</v>
      </c>
      <c r="BH85" s="62">
        <f t="shared" si="62"/>
        <v>577.20988729891496</v>
      </c>
      <c r="BI85" s="62">
        <f ca="1">AVERAGE(OFFSET($BH$3,0,0,'Données projet'!$E$11+1,1))-AVERAGE(OFFSET($H$3,0,0,'Données projet'!$E$11+1,1))</f>
        <v>316.71836722354374</v>
      </c>
      <c r="BJ85" s="62">
        <f t="shared" si="92"/>
        <v>164.34067012996618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8.4716137035620047</v>
      </c>
      <c r="BQ85" s="23">
        <f>EXP(-LN(2)/25)*BQ84+(1-EXP(-LN(2)/25))/(LN(2)/25)*Calculateur!BL85*Calculateur!BN85*VLOOKUP('Données projet'!$B$11,Paramètres!$A$1:$I$89,3,0)*0.475*44/12</f>
        <v>4.4276709765009281</v>
      </c>
      <c r="BR85" s="23">
        <f>EXP(-LN(2)/2)*BR84+(1-EXP(-LN(2)/2))/(LN(2)/2)*BL85*BO85*VLOOKUP('Données projet'!$B$11,Paramètres!$A$1:$I$89,3,0)*0.475*44/12</f>
        <v>4.0565427139719229E-4</v>
      </c>
      <c r="BS85" s="24">
        <f t="shared" si="63"/>
        <v>12.899690334334331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4.8845000000000001</v>
      </c>
      <c r="BY85" s="13">
        <f>IF('Données projet'!$A$114&gt;35,BY84+BX85-CG84,IF(A85&lt;'Données projet'!$A$114,$BV$205^A85,IF(A85='Données projet'!$A$114,'Données projet'!$B$114,BY84+BX85-CG84)))</f>
        <v>264.01649999999989</v>
      </c>
      <c r="BZ85" s="14">
        <f>BY85*VLOOKUP('Données projet'!$B$12,Paramètres!$A$1:$I$89,3,0)*VLOOKUP('Données projet'!$B$12,Paramètres!$A$1:$I$89,5,0)</f>
        <v>300.66199019999988</v>
      </c>
      <c r="CA85" s="14">
        <f t="shared" si="93"/>
        <v>71.315224240759918</v>
      </c>
      <c r="CB85" s="22">
        <f t="shared" si="64"/>
        <v>647.86031515098989</v>
      </c>
      <c r="CC85" s="62">
        <f t="shared" si="65"/>
        <v>919.36640678297692</v>
      </c>
      <c r="CD85" s="62">
        <f ca="1">AVERAGE(OFFSET($CC$3,0,0,'Données projet'!$E$12+1,1))-AVERAGE(OFFSET($H$3,0,0,'Données projet'!$E$12+1,1))</f>
        <v>454.9779384236806</v>
      </c>
      <c r="CE85" s="62">
        <f t="shared" si="94"/>
        <v>379.32753348721906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8.4453856730951617</v>
      </c>
      <c r="CM85" s="23">
        <f>EXP(-LN(2)/2)*CM84+(1-EXP(-LN(2)/2))/(LN(2)/2)*CG85*CJ85*VLOOKUP('Données projet'!$B$12,Paramètres!$A$1:$I$89,3,0)*0.475*44/12</f>
        <v>5.37399917583034E-2</v>
      </c>
      <c r="CN85" s="24">
        <f t="shared" si="66"/>
        <v>8.4991256648534659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252.10592533338991</v>
      </c>
      <c r="CZ85" s="62">
        <f t="shared" si="96"/>
        <v>272.71831345325313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80.668147669561321</v>
      </c>
      <c r="DH85" s="23">
        <f>EXP(-LN(2)/2)*DH84+(1-EXP(-LN(2)/2))/(LN(2)/2)*DB85*DE85*VLOOKUP('Données projet'!$B$13,Paramètres!$A$1:$I$89,3,0)*0.475*44/12</f>
        <v>8.2570057062957957E-3</v>
      </c>
      <c r="DI85" s="24">
        <f t="shared" si="69"/>
        <v>80.676404675267619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>
        <f>DO85*VLOOKUP('Données projet'!$B$14,Paramètres!$A$1:$I$89,3,0)*VLOOKUP('Données projet'!$B$14,Paramètres!$A$1:$I$89,5,0)</f>
        <v>0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423.0896575168394</v>
      </c>
      <c r="DU85" s="62">
        <f t="shared" si="98"/>
        <v>305.98537395014284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146.4994341400614</v>
      </c>
      <c r="EB85" s="23">
        <f>EXP(-LN(2)/25)*EB84+(1-EXP(-LN(2)/25))/(LN(2)/25)*Calculateur!DW85*Calculateur!DY85*VLOOKUP('Données projet'!$B$14,Paramètres!$A$1:$I$89,3,0)*0.475*44/12</f>
        <v>169.2304652544226</v>
      </c>
      <c r="EC85" s="23">
        <f>EXP(-LN(2)/2)*EC84+(1-EXP(-LN(2)/2))/(LN(2)/2)*DW85*DZ85*VLOOKUP('Données projet'!$B$14,Paramètres!$A$1:$I$89,3,0)*0.475*44/12</f>
        <v>1.6188111339730635E-3</v>
      </c>
      <c r="ED85" s="24">
        <f t="shared" si="72"/>
        <v>315.73151820561799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2.2737367544323206E-13</v>
      </c>
      <c r="EK85" s="18">
        <f>EJ85*VLOOKUP('Données projet'!$B$15,Paramètres!$A$1:$I$89,3,0)*VLOOKUP('Données projet'!$B$15,Paramètres!$A$1:$I$89,5,0)</f>
        <v>1.3596945791505279E-13</v>
      </c>
      <c r="EL85" s="14">
        <f t="shared" si="99"/>
        <v>1.9708830566360721E-12</v>
      </c>
      <c r="EM85" s="22">
        <f t="shared" si="73"/>
        <v>3.669434796176543E-12</v>
      </c>
      <c r="EN85" s="62">
        <f t="shared" si="74"/>
        <v>271.50609163199073</v>
      </c>
      <c r="EO85" s="62">
        <f ca="1">AVERAGE(OFFSET($EN$3,0,0,'Données projet'!$E$15+1,1))-AVERAGE(OFFSET($H$3,0,0,'Données projet'!$E$15+1,1))</f>
        <v>281.21543175875604</v>
      </c>
      <c r="EP85" s="62">
        <f t="shared" si="100"/>
        <v>366.68536296857428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61.763563675768481</v>
      </c>
      <c r="EW85" s="23">
        <f>EXP(-LN(2)/25)*EW84+(1-EXP(-LN(2)/25))/(LN(2)/25)*Calculateur!ER85*Calculateur!ET85*VLOOKUP('Données projet'!$B$15,Paramètres!$A$1:$I$89,3,0)*0.475*44/12</f>
        <v>17.566181181311926</v>
      </c>
      <c r="EX85" s="23">
        <f>EXP(-LN(2)/2)*EX84+(1-EXP(-LN(2)/2))/(LN(2)/2)*ER85*EU85*VLOOKUP('Données projet'!$B$15,Paramètres!$A$1:$I$89,3,0)*0.475*44/12</f>
        <v>2.5473860249866937E-3</v>
      </c>
      <c r="EY85" s="24">
        <f t="shared" si="75"/>
        <v>79.3322922431054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2.2737367544323206E-13</v>
      </c>
      <c r="FF85" s="18">
        <f>FE85*VLOOKUP('Données projet'!$B$16,Paramètres!$A$1:$I$89,3,0)*VLOOKUP('Données projet'!$B$16,Paramètres!$A$1:$I$89,5,0)</f>
        <v>1.2710188457276673E-13</v>
      </c>
      <c r="FG85" s="14">
        <f t="shared" si="101"/>
        <v>1.856866851063998E-12</v>
      </c>
      <c r="FH85" s="22">
        <f t="shared" si="76"/>
        <v>3.4554122145673649E-12</v>
      </c>
      <c r="FI85" s="62">
        <f t="shared" si="77"/>
        <v>271.5060916319905</v>
      </c>
      <c r="FJ85" s="62">
        <f ca="1">AVERAGE(OFFSET($FI$3,0,0,'Données projet'!$E$16+1,1))-AVERAGE(OFFSET($H$3,0,0,'Données projet'!$E$16+1,1))</f>
        <v>280.9225643428145</v>
      </c>
      <c r="FK85" s="62">
        <f t="shared" si="102"/>
        <v>236.89414218053955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193.20957971317731</v>
      </c>
      <c r="FR85" s="23">
        <f>EXP(-LN(2)/25)*FR84+(1-EXP(-LN(2)/25))/(LN(2)/25)*Calculateur!FM85*Calculateur!FO85*VLOOKUP('Données projet'!$B$16,Paramètres!$A$1:$I$89,3,0)*0.475*44/12</f>
        <v>56.221372762340863</v>
      </c>
      <c r="FS85" s="23">
        <f>EXP(-LN(2)/2)*FS84+(1-EXP(-LN(2)/2))/(LN(2)/2)*FM85*FP85*VLOOKUP('Données projet'!$B$16,Paramètres!$A$1:$I$89,3,0)*0.475*44/12</f>
        <v>6.7056365606074918E-5</v>
      </c>
      <c r="FT85" s="24">
        <f t="shared" si="78"/>
        <v>249.43101953188375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-5.6843418860808015E-13</v>
      </c>
      <c r="GA85" s="18">
        <f>FZ85*VLOOKUP('Données projet'!$B$17,Paramètres!$A$1:$I$89,3,0)*VLOOKUP('Données projet'!$B$17,Paramètres!$A$1:$I$89,5,0)</f>
        <v>-2.5124791136477147E-13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325.67421864225201</v>
      </c>
      <c r="GF85" s="62">
        <f t="shared" si="104"/>
        <v>542.01920418736745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125.04331974712798</v>
      </c>
      <c r="GM85" s="23">
        <f>EXP(-LN(2)/25)*GM84+(1-EXP(-LN(2)/25))/(LN(2)/25)*Calculateur!GH85*Calculateur!GJ85*VLOOKUP('Données projet'!$B$17,Paramètres!$A$1:$I$89,3,0)*0.475*44/12</f>
        <v>65.890874454838382</v>
      </c>
      <c r="GN85" s="23">
        <f>EXP(-LN(2)/2)*GN84+(1-EXP(-LN(2)/2))/(LN(2)/2)*GH85*GK85*VLOOKUP('Données projet'!$B$17,Paramètres!$A$1:$I$89,3,0)*0.475*44/12</f>
        <v>6.8298923016029794E-5</v>
      </c>
      <c r="GO85" s="23">
        <f t="shared" si="81"/>
        <v>190.93426250088939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2.8710000000000009</v>
      </c>
      <c r="GU85" s="13">
        <f>IF('Données projet'!$A$270&gt;35,GU84+GT85-HC84,IF(A85&lt;'Données projet'!$A$270,$GR$205^A85,IF(A85='Données projet'!$A$270,'Données projet'!$B$270,GU84+GT85-HC84)))</f>
        <v>98.426999999999992</v>
      </c>
      <c r="GV85" s="18">
        <f>GU85*VLOOKUP('Données projet'!$B$18,Paramètres!$A$1:$I$89,3,0)*VLOOKUP('Données projet'!$B$18,Paramètres!$A$1:$I$89,5,0)</f>
        <v>99.804978000000006</v>
      </c>
      <c r="GW85" s="14">
        <f t="shared" si="105"/>
        <v>26.915530968819368</v>
      </c>
      <c r="GX85" s="22">
        <f t="shared" si="82"/>
        <v>220.70488645402705</v>
      </c>
      <c r="GY85" s="62">
        <f t="shared" si="83"/>
        <v>492.21097808601405</v>
      </c>
      <c r="GZ85" s="62">
        <f ca="1">AVERAGE(OFFSET($GY$3,0,0,'Données projet'!$E$18+1,1))-AVERAGE(OFFSET($H$3,0,0,'Données projet'!$E$18+1,1))</f>
        <v>220.89224520315713</v>
      </c>
      <c r="HA85" s="62">
        <f t="shared" si="106"/>
        <v>141.82763623159096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-2.8421709430404007E-14</v>
      </c>
      <c r="O86" s="14">
        <f>N86*VLOOKUP('Données projet'!$B$9,Paramètres!$A$1:$I$89,3,0)*VLOOKUP('Données projet'!$B$9,Paramètres!$A$1:$I$89,5,0)</f>
        <v>-2.7489477361086758E-14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84.959354125980269</v>
      </c>
      <c r="T86" s="62">
        <f t="shared" si="88"/>
        <v>89.658970210276806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10.856737485734401</v>
      </c>
      <c r="AB86" s="23">
        <f>EXP(-LN(2)/2)*AB85+(1-EXP(-LN(2)/2))/(LN(2)/2)*V86*Y86*VLOOKUP('Données projet'!$B$9,Paramètres!$A$1:$I$89,3,0)*0.475*44/12</f>
        <v>3.6141671616773195E-2</v>
      </c>
      <c r="AC86" s="24">
        <f t="shared" si="57"/>
        <v>10.892879157351175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12.027399999999998</v>
      </c>
      <c r="AI86" s="14">
        <f>IF('Données projet'!$A$62&gt;35,AI85+AH86-AQ85,IF(A86&lt;'Données projet'!$A$62,$AF$205^A86,IF(A86='Données projet'!$A$62,'Données projet'!$B$62,AI85+AH86-AQ85)))</f>
        <v>190.01219999999995</v>
      </c>
      <c r="AJ86" s="14">
        <f>AI86*VLOOKUP('Données projet'!$B$10,Paramètres!$A$1:$I$89,3,0)*VLOOKUP('Données projet'!$B$10,Paramètres!$A$1:$I$89,5,0)</f>
        <v>180.81560951999995</v>
      </c>
      <c r="AK86" s="14">
        <f t="shared" si="89"/>
        <v>45.503596485554084</v>
      </c>
      <c r="AL86" s="22">
        <f t="shared" si="58"/>
        <v>394.1726171263399</v>
      </c>
      <c r="AM86" s="62">
        <f t="shared" si="59"/>
        <v>666.05736260344338</v>
      </c>
      <c r="AN86" s="62">
        <f ca="1">AVERAGE(OFFSET($AM$3,0,0,'Données projet'!$E$10+1,1))-AVERAGE(OFFSET($H$3,0,0,'Données projet'!$E$10+1,1))</f>
        <v>592.76231355549089</v>
      </c>
      <c r="AO86" s="62">
        <f t="shared" si="90"/>
        <v>200.66895551079014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54.544608227146909</v>
      </c>
      <c r="AV86" s="23">
        <f>EXP(-LN(2)/25)*AV85+(1-EXP(-LN(2)/25))/(LN(2)/25)*Calculateur!AQ86*Calculateur!AS86*VLOOKUP('Données projet'!$B$10,Paramètres!$A$1:$I$89,3,0)*0.475*44/12</f>
        <v>35.113013975675798</v>
      </c>
      <c r="AW86" s="23">
        <f>EXP(-LN(2)/2)*AW85+(1-EXP(-LN(2)/2))/(LN(2)/2)*AQ86*AT86*VLOOKUP('Données projet'!$B$10,Paramètres!$A$1:$I$89,3,0)*0.475*44/12</f>
        <v>4.4398940725880204E-3</v>
      </c>
      <c r="AX86" s="23">
        <f t="shared" si="60"/>
        <v>89.662062096895298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4.625</v>
      </c>
      <c r="BD86" s="13">
        <f>IF('Données projet'!$A$88&gt;35,BD85+BC86-BL85,IF(A86&lt;'Données projet'!$A$88,$BA$205^A86,IF(A86='Données projet'!$A$88,'Données projet'!$B$88,BD85+BC86-BL85)))</f>
        <v>158.66000000000011</v>
      </c>
      <c r="BE86" s="14">
        <f>BD86*VLOOKUP('Données projet'!$B$11,Paramètres!$A$1:$I$89,3,0)*VLOOKUP('Données projet'!$B$11,Paramètres!$A$1:$I$89,5,0)</f>
        <v>143.55556800000011</v>
      </c>
      <c r="BF86" s="14">
        <f t="shared" si="91"/>
        <v>37.110343464851603</v>
      </c>
      <c r="BG86" s="22">
        <f t="shared" si="61"/>
        <v>314.65979580128345</v>
      </c>
      <c r="BH86" s="62">
        <f t="shared" si="62"/>
        <v>586.54454127838699</v>
      </c>
      <c r="BI86" s="62">
        <f ca="1">AVERAGE(OFFSET($BH$3,0,0,'Données projet'!$E$11+1,1))-AVERAGE(OFFSET($H$3,0,0,'Données projet'!$E$11+1,1))</f>
        <v>316.71836722354374</v>
      </c>
      <c r="BJ86" s="62">
        <f t="shared" si="92"/>
        <v>164.34067012996618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8.3054905260092973</v>
      </c>
      <c r="BQ86" s="23">
        <f>EXP(-LN(2)/25)*BQ85+(1-EXP(-LN(2)/25))/(LN(2)/25)*Calculateur!BL86*Calculateur!BN86*VLOOKUP('Données projet'!$B$11,Paramètres!$A$1:$I$89,3,0)*0.475*44/12</f>
        <v>4.3065960808074131</v>
      </c>
      <c r="BR86" s="23">
        <f>EXP(-LN(2)/2)*BR85+(1-EXP(-LN(2)/2))/(LN(2)/2)*BL86*BO86*VLOOKUP('Données projet'!$B$11,Paramètres!$A$1:$I$89,3,0)*0.475*44/12</f>
        <v>2.8684088612224281E-4</v>
      </c>
      <c r="BS86" s="24">
        <f t="shared" si="63"/>
        <v>12.612373447702833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4.8845000000000001</v>
      </c>
      <c r="BY86" s="13">
        <f>IF('Données projet'!$A$114&gt;35,BY85+BX86-CG85,IF(A86&lt;'Données projet'!$A$114,$BV$205^A86,IF(A86='Données projet'!$A$114,'Données projet'!$B$114,BY85+BX86-CG85)))</f>
        <v>268.9009999999999</v>
      </c>
      <c r="BZ86" s="14">
        <f>BY86*VLOOKUP('Données projet'!$B$12,Paramètres!$A$1:$I$89,3,0)*VLOOKUP('Données projet'!$B$12,Paramètres!$A$1:$I$89,5,0)</f>
        <v>306.22445879999987</v>
      </c>
      <c r="CA86" s="14">
        <f t="shared" si="93"/>
        <v>72.479785450455225</v>
      </c>
      <c r="CB86" s="22">
        <f t="shared" si="64"/>
        <v>659.57655873620922</v>
      </c>
      <c r="CC86" s="62">
        <f t="shared" si="65"/>
        <v>931.4613042133127</v>
      </c>
      <c r="CD86" s="62">
        <f ca="1">AVERAGE(OFFSET($CC$3,0,0,'Données projet'!$E$12+1,1))-AVERAGE(OFFSET($H$3,0,0,'Données projet'!$E$12+1,1))</f>
        <v>454.9779384236806</v>
      </c>
      <c r="CE86" s="62">
        <f t="shared" si="94"/>
        <v>379.32753348721906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8.214446157740845</v>
      </c>
      <c r="CM86" s="23">
        <f>EXP(-LN(2)/2)*CM85+(1-EXP(-LN(2)/2))/(LN(2)/2)*CG86*CJ86*VLOOKUP('Données projet'!$B$12,Paramètres!$A$1:$I$89,3,0)*0.475*44/12</f>
        <v>3.7999912593205509E-2</v>
      </c>
      <c r="CN86" s="24">
        <f t="shared" si="66"/>
        <v>8.2524460703340505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252.10592533338991</v>
      </c>
      <c r="CZ86" s="62">
        <f t="shared" si="96"/>
        <v>272.71831345325313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78.462272929383644</v>
      </c>
      <c r="DH86" s="23">
        <f>EXP(-LN(2)/2)*DH85+(1-EXP(-LN(2)/2))/(LN(2)/2)*DB86*DE86*VLOOKUP('Données projet'!$B$13,Paramètres!$A$1:$I$89,3,0)*0.475*44/12</f>
        <v>5.8385847272177755E-3</v>
      </c>
      <c r="DI86" s="24">
        <f t="shared" si="69"/>
        <v>78.468111514110859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projet'!$B$14,Paramètres!$A$1:$I$89,3,0)*VLOOKUP('Données projet'!$B$14,Paramètres!$A$1:$I$89,5,0)</f>
        <v>0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423.0896575168394</v>
      </c>
      <c r="DU86" s="62">
        <f t="shared" si="98"/>
        <v>305.98537395014284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143.62666959240647</v>
      </c>
      <c r="EB86" s="23">
        <f>EXP(-LN(2)/25)*EB85+(1-EXP(-LN(2)/25))/(LN(2)/25)*Calculateur!DW86*Calculateur!DY86*VLOOKUP('Données projet'!$B$14,Paramètres!$A$1:$I$89,3,0)*0.475*44/12</f>
        <v>164.60284928259702</v>
      </c>
      <c r="EC86" s="23">
        <f>EXP(-LN(2)/2)*EC85+(1-EXP(-LN(2)/2))/(LN(2)/2)*DW86*DZ86*VLOOKUP('Données projet'!$B$14,Paramètres!$A$1:$I$89,3,0)*0.475*44/12</f>
        <v>1.1446723302926379E-3</v>
      </c>
      <c r="ED86" s="24">
        <f t="shared" si="72"/>
        <v>308.23066354733373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2.2737367544323206E-13</v>
      </c>
      <c r="EK86" s="18">
        <f>EJ86*VLOOKUP('Données projet'!$B$15,Paramètres!$A$1:$I$89,3,0)*VLOOKUP('Données projet'!$B$15,Paramètres!$A$1:$I$89,5,0)</f>
        <v>1.3596945791505279E-13</v>
      </c>
      <c r="EL86" s="14">
        <f t="shared" si="99"/>
        <v>1.9708830566360721E-12</v>
      </c>
      <c r="EM86" s="22">
        <f t="shared" si="73"/>
        <v>3.669434796176543E-12</v>
      </c>
      <c r="EN86" s="62">
        <f t="shared" si="74"/>
        <v>271.88474547710717</v>
      </c>
      <c r="EO86" s="62">
        <f ca="1">AVERAGE(OFFSET($EN$3,0,0,'Données projet'!$E$15+1,1))-AVERAGE(OFFSET($H$3,0,0,'Données projet'!$E$15+1,1))</f>
        <v>281.21543175875604</v>
      </c>
      <c r="EP86" s="62">
        <f t="shared" si="100"/>
        <v>366.68536296857428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60.552417864140693</v>
      </c>
      <c r="EW86" s="23">
        <f>EXP(-LN(2)/25)*EW85+(1-EXP(-LN(2)/25))/(LN(2)/25)*Calculateur!ER86*Calculateur!ET86*VLOOKUP('Données projet'!$B$15,Paramètres!$A$1:$I$89,3,0)*0.475*44/12</f>
        <v>17.085833033143629</v>
      </c>
      <c r="EX86" s="23">
        <f>EXP(-LN(2)/2)*EX85+(1-EXP(-LN(2)/2))/(LN(2)/2)*ER86*EU86*VLOOKUP('Données projet'!$B$15,Paramètres!$A$1:$I$89,3,0)*0.475*44/12</f>
        <v>1.8012739325679351E-3</v>
      </c>
      <c r="EY86" s="24">
        <f t="shared" si="75"/>
        <v>77.640052171216894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2.2737367544323206E-13</v>
      </c>
      <c r="FF86" s="18">
        <f>FE86*VLOOKUP('Données projet'!$B$16,Paramètres!$A$1:$I$89,3,0)*VLOOKUP('Données projet'!$B$16,Paramètres!$A$1:$I$89,5,0)</f>
        <v>1.2710188457276673E-13</v>
      </c>
      <c r="FG86" s="14">
        <f t="shared" si="101"/>
        <v>1.856866851063998E-12</v>
      </c>
      <c r="FH86" s="22">
        <f t="shared" si="76"/>
        <v>3.4554122145673649E-12</v>
      </c>
      <c r="FI86" s="62">
        <f t="shared" si="77"/>
        <v>271.88474547710695</v>
      </c>
      <c r="FJ86" s="62">
        <f ca="1">AVERAGE(OFFSET($FI$3,0,0,'Données projet'!$E$16+1,1))-AVERAGE(OFFSET($H$3,0,0,'Données projet'!$E$16+1,1))</f>
        <v>280.9225643428145</v>
      </c>
      <c r="FK86" s="62">
        <f t="shared" si="102"/>
        <v>236.89414218053955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189.42085770120917</v>
      </c>
      <c r="FR86" s="23">
        <f>EXP(-LN(2)/25)*FR85+(1-EXP(-LN(2)/25))/(LN(2)/25)*Calculateur!FM86*Calculateur!FO86*VLOOKUP('Données projet'!$B$16,Paramètres!$A$1:$I$89,3,0)*0.475*44/12</f>
        <v>54.683996367601154</v>
      </c>
      <c r="FS86" s="23">
        <f>EXP(-LN(2)/2)*FS85+(1-EXP(-LN(2)/2))/(LN(2)/2)*FM86*FP86*VLOOKUP('Données projet'!$B$16,Paramètres!$A$1:$I$89,3,0)*0.475*44/12</f>
        <v>4.7416010841779949E-5</v>
      </c>
      <c r="FT86" s="24">
        <f t="shared" si="78"/>
        <v>244.10490148482114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-5.6843418860808015E-13</v>
      </c>
      <c r="GA86" s="18">
        <f>FZ86*VLOOKUP('Données projet'!$B$17,Paramètres!$A$1:$I$89,3,0)*VLOOKUP('Données projet'!$B$17,Paramètres!$A$1:$I$89,5,0)</f>
        <v>-2.5124791136477147E-13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325.67421864225201</v>
      </c>
      <c r="GF86" s="62">
        <f t="shared" si="104"/>
        <v>542.01920418736745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122.59129651578093</v>
      </c>
      <c r="GM86" s="23">
        <f>EXP(-LN(2)/25)*GM85+(1-EXP(-LN(2)/25))/(LN(2)/25)*Calculateur!GH86*Calculateur!GJ86*VLOOKUP('Données projet'!$B$17,Paramètres!$A$1:$I$89,3,0)*0.475*44/12</f>
        <v>64.089085027820332</v>
      </c>
      <c r="GN86" s="23">
        <f>EXP(-LN(2)/2)*GN85+(1-EXP(-LN(2)/2))/(LN(2)/2)*GH86*GK86*VLOOKUP('Données projet'!$B$17,Paramètres!$A$1:$I$89,3,0)*0.475*44/12</f>
        <v>4.8294631612372635E-5</v>
      </c>
      <c r="GO86" s="23">
        <f t="shared" si="81"/>
        <v>186.68042983823287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2.8710000000000009</v>
      </c>
      <c r="GU86" s="13">
        <f>IF('Données projet'!$A$270&gt;35,GU85+GT86-HC85,IF(A86&lt;'Données projet'!$A$270,$GR$205^A86,IF(A86='Données projet'!$A$270,'Données projet'!$B$270,GU85+GT86-HC85)))</f>
        <v>101.29799999999999</v>
      </c>
      <c r="GV86" s="18">
        <f>GU86*VLOOKUP('Données projet'!$B$18,Paramètres!$A$1:$I$89,3,0)*VLOOKUP('Données projet'!$B$18,Paramètres!$A$1:$I$89,5,0)</f>
        <v>102.716172</v>
      </c>
      <c r="GW86" s="14">
        <f t="shared" si="105"/>
        <v>27.608075337137862</v>
      </c>
      <c r="GX86" s="22">
        <f t="shared" si="82"/>
        <v>226.98139744551511</v>
      </c>
      <c r="GY86" s="62">
        <f t="shared" si="83"/>
        <v>498.86614292261856</v>
      </c>
      <c r="GZ86" s="62">
        <f ca="1">AVERAGE(OFFSET($GY$3,0,0,'Données projet'!$E$18+1,1))-AVERAGE(OFFSET($H$3,0,0,'Données projet'!$E$18+1,1))</f>
        <v>220.89224520315713</v>
      </c>
      <c r="HA86" s="62">
        <f t="shared" si="106"/>
        <v>141.82763623159096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-2.8421709430404007E-14</v>
      </c>
      <c r="O87" s="14">
        <f>N87*VLOOKUP('Données projet'!$B$9,Paramètres!$A$1:$I$89,3,0)*VLOOKUP('Données projet'!$B$9,Paramètres!$A$1:$I$89,5,0)</f>
        <v>-2.7489477361086758E-14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84.959354125980269</v>
      </c>
      <c r="T87" s="62">
        <f t="shared" si="88"/>
        <v>89.658970210276806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10.559859428255983</v>
      </c>
      <c r="AB87" s="23">
        <f>EXP(-LN(2)/2)*AB86+(1-EXP(-LN(2)/2))/(LN(2)/2)*V87*Y87*VLOOKUP('Données projet'!$B$9,Paramètres!$A$1:$I$89,3,0)*0.475*44/12</f>
        <v>2.5556021083637699E-2</v>
      </c>
      <c r="AC87" s="24">
        <f t="shared" si="57"/>
        <v>10.585415449339621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12.027399999999998</v>
      </c>
      <c r="AI87" s="14">
        <f>IF('Données projet'!$A$62&gt;35,AI86+AH87-AQ86,IF(A87&lt;'Données projet'!$A$62,$AF$205^A87,IF(A87='Données projet'!$A$62,'Données projet'!$B$62,AI86+AH87-AQ86)))</f>
        <v>202.03959999999995</v>
      </c>
      <c r="AJ87" s="14">
        <f>AI87*VLOOKUP('Données projet'!$B$10,Paramètres!$A$1:$I$89,3,0)*VLOOKUP('Données projet'!$B$10,Paramètres!$A$1:$I$89,5,0)</f>
        <v>192.26088335999995</v>
      </c>
      <c r="AK87" s="14">
        <f t="shared" si="89"/>
        <v>48.039457417216511</v>
      </c>
      <c r="AL87" s="22">
        <f t="shared" si="58"/>
        <v>418.5230935203187</v>
      </c>
      <c r="AM87" s="62">
        <f t="shared" si="59"/>
        <v>690.77992404486895</v>
      </c>
      <c r="AN87" s="62">
        <f ca="1">AVERAGE(OFFSET($AM$3,0,0,'Données projet'!$E$10+1,1))-AVERAGE(OFFSET($H$3,0,0,'Données projet'!$E$10+1,1))</f>
        <v>592.76231355549089</v>
      </c>
      <c r="AO87" s="62">
        <f t="shared" si="90"/>
        <v>200.66895551079014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53.475021728738547</v>
      </c>
      <c r="AV87" s="23">
        <f>EXP(-LN(2)/25)*AV86+(1-EXP(-LN(2)/25))/(LN(2)/25)*Calculateur!AQ87*Calculateur!AS87*VLOOKUP('Données projet'!$B$10,Paramètres!$A$1:$I$89,3,0)*0.475*44/12</f>
        <v>34.152846761997793</v>
      </c>
      <c r="AW87" s="23">
        <f>EXP(-LN(2)/2)*AW86+(1-EXP(-LN(2)/2))/(LN(2)/2)*AQ87*AT87*VLOOKUP('Données projet'!$B$10,Paramètres!$A$1:$I$89,3,0)*0.475*44/12</f>
        <v>3.1394792064769468E-3</v>
      </c>
      <c r="AX87" s="23">
        <f t="shared" si="60"/>
        <v>87.631007969942829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4.625</v>
      </c>
      <c r="BD87" s="13">
        <f>IF('Données projet'!$A$88&gt;35,BD86+BC87-BL86,IF(A87&lt;'Données projet'!$A$88,$BA$205^A87,IF(A87='Données projet'!$A$88,'Données projet'!$B$88,BD86+BC87-BL86)))</f>
        <v>163.28500000000011</v>
      </c>
      <c r="BE87" s="14">
        <f>BD87*VLOOKUP('Données projet'!$B$11,Paramètres!$A$1:$I$89,3,0)*VLOOKUP('Données projet'!$B$11,Paramètres!$A$1:$I$89,5,0)</f>
        <v>147.74026800000007</v>
      </c>
      <c r="BF87" s="14">
        <f t="shared" si="91"/>
        <v>38.064600617899195</v>
      </c>
      <c r="BG87" s="22">
        <f t="shared" si="61"/>
        <v>323.61014617617457</v>
      </c>
      <c r="BH87" s="62">
        <f t="shared" si="62"/>
        <v>595.86697670072488</v>
      </c>
      <c r="BI87" s="62">
        <f ca="1">AVERAGE(OFFSET($BH$3,0,0,'Données projet'!$E$11+1,1))-AVERAGE(OFFSET($H$3,0,0,'Données projet'!$E$11+1,1))</f>
        <v>316.71836722354374</v>
      </c>
      <c r="BJ87" s="62">
        <f t="shared" si="92"/>
        <v>164.34067012996618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8.1426249226432645</v>
      </c>
      <c r="BQ87" s="23">
        <f>EXP(-LN(2)/25)*BQ86+(1-EXP(-LN(2)/25))/(LN(2)/25)*Calculateur!BL87*Calculateur!BN87*VLOOKUP('Données projet'!$B$11,Paramètres!$A$1:$I$89,3,0)*0.475*44/12</f>
        <v>4.1888319845036897</v>
      </c>
      <c r="BR87" s="23">
        <f>EXP(-LN(2)/2)*BR86+(1-EXP(-LN(2)/2))/(LN(2)/2)*BL87*BO87*VLOOKUP('Données projet'!$B$11,Paramètres!$A$1:$I$89,3,0)*0.475*44/12</f>
        <v>2.0282713569859615E-4</v>
      </c>
      <c r="BS87" s="24">
        <f t="shared" si="63"/>
        <v>12.331659734282653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4.8845000000000001</v>
      </c>
      <c r="BY87" s="13">
        <f>IF('Données projet'!$A$114&gt;35,BY86+BX87-CG86,IF(A87&lt;'Données projet'!$A$114,$BV$205^A87,IF(A87='Données projet'!$A$114,'Données projet'!$B$114,BY86+BX87-CG86)))</f>
        <v>273.7854999999999</v>
      </c>
      <c r="BZ87" s="14">
        <f>BY87*VLOOKUP('Données projet'!$B$12,Paramètres!$A$1:$I$89,3,0)*VLOOKUP('Données projet'!$B$12,Paramètres!$A$1:$I$89,5,0)</f>
        <v>311.78692739999991</v>
      </c>
      <c r="CA87" s="14">
        <f t="shared" si="93"/>
        <v>73.641886806906371</v>
      </c>
      <c r="CB87" s="22">
        <f t="shared" si="64"/>
        <v>671.28851807702836</v>
      </c>
      <c r="CC87" s="62">
        <f t="shared" si="65"/>
        <v>943.54534860157867</v>
      </c>
      <c r="CD87" s="62">
        <f ca="1">AVERAGE(OFFSET($CC$3,0,0,'Données projet'!$E$12+1,1))-AVERAGE(OFFSET($H$3,0,0,'Données projet'!$E$12+1,1))</f>
        <v>454.9779384236806</v>
      </c>
      <c r="CE87" s="62">
        <f t="shared" si="94"/>
        <v>379.32753348721906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7.9898216955784722</v>
      </c>
      <c r="CM87" s="23">
        <f>EXP(-LN(2)/2)*CM86+(1-EXP(-LN(2)/2))/(LN(2)/2)*CG87*CJ87*VLOOKUP('Données projet'!$B$12,Paramètres!$A$1:$I$89,3,0)*0.475*44/12</f>
        <v>2.68699958791517E-2</v>
      </c>
      <c r="CN87" s="24">
        <f t="shared" si="66"/>
        <v>8.0166916914576234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252.10592533338991</v>
      </c>
      <c r="CZ87" s="62">
        <f t="shared" si="96"/>
        <v>272.71831345325313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76.316717949978042</v>
      </c>
      <c r="DH87" s="23">
        <f>EXP(-LN(2)/2)*DH86+(1-EXP(-LN(2)/2))/(LN(2)/2)*DB87*DE87*VLOOKUP('Données projet'!$B$13,Paramètres!$A$1:$I$89,3,0)*0.475*44/12</f>
        <v>4.1285028531478979E-3</v>
      </c>
      <c r="DI87" s="24">
        <f t="shared" si="69"/>
        <v>76.320846452831191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projet'!$B$14,Paramètres!$A$1:$I$89,3,0)*VLOOKUP('Données projet'!$B$14,Paramètres!$A$1:$I$89,5,0)</f>
        <v>0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423.0896575168394</v>
      </c>
      <c r="DU87" s="62">
        <f t="shared" si="98"/>
        <v>305.98537395014284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140.81023820531769</v>
      </c>
      <c r="EB87" s="23">
        <f>EXP(-LN(2)/25)*EB86+(1-EXP(-LN(2)/25))/(LN(2)/25)*Calculateur!DW87*Calculateur!DY87*VLOOKUP('Données projet'!$B$14,Paramètres!$A$1:$I$89,3,0)*0.475*44/12</f>
        <v>160.10177571287676</v>
      </c>
      <c r="EC87" s="23">
        <f>EXP(-LN(2)/2)*EC86+(1-EXP(-LN(2)/2))/(LN(2)/2)*DW87*DZ87*VLOOKUP('Données projet'!$B$14,Paramètres!$A$1:$I$89,3,0)*0.475*44/12</f>
        <v>8.0940556698653175E-4</v>
      </c>
      <c r="ED87" s="24">
        <f t="shared" si="72"/>
        <v>300.91282332376147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2.2737367544323206E-13</v>
      </c>
      <c r="EK87" s="18">
        <f>EJ87*VLOOKUP('Données projet'!$B$15,Paramètres!$A$1:$I$89,3,0)*VLOOKUP('Données projet'!$B$15,Paramètres!$A$1:$I$89,5,0)</f>
        <v>1.3596945791505279E-13</v>
      </c>
      <c r="EL87" s="14">
        <f t="shared" si="99"/>
        <v>1.9708830566360721E-12</v>
      </c>
      <c r="EM87" s="22">
        <f t="shared" si="73"/>
        <v>3.669434796176543E-12</v>
      </c>
      <c r="EN87" s="62">
        <f t="shared" si="74"/>
        <v>272.256830524554</v>
      </c>
      <c r="EO87" s="62">
        <f ca="1">AVERAGE(OFFSET($EN$3,0,0,'Données projet'!$E$15+1,1))-AVERAGE(OFFSET($H$3,0,0,'Données projet'!$E$15+1,1))</f>
        <v>281.21543175875604</v>
      </c>
      <c r="EP87" s="62">
        <f t="shared" si="100"/>
        <v>366.68536296857428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59.365021883152927</v>
      </c>
      <c r="EW87" s="23">
        <f>EXP(-LN(2)/25)*EW86+(1-EXP(-LN(2)/25))/(LN(2)/25)*Calculateur!ER87*Calculateur!ET87*VLOOKUP('Données projet'!$B$15,Paramètres!$A$1:$I$89,3,0)*0.475*44/12</f>
        <v>16.618620030347408</v>
      </c>
      <c r="EX87" s="23">
        <f>EXP(-LN(2)/2)*EX86+(1-EXP(-LN(2)/2))/(LN(2)/2)*ER87*EU87*VLOOKUP('Données projet'!$B$15,Paramètres!$A$1:$I$89,3,0)*0.475*44/12</f>
        <v>1.2736930124933469E-3</v>
      </c>
      <c r="EY87" s="24">
        <f t="shared" si="75"/>
        <v>75.984915606512828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2.2737367544323206E-13</v>
      </c>
      <c r="FF87" s="18">
        <f>FE87*VLOOKUP('Données projet'!$B$16,Paramètres!$A$1:$I$89,3,0)*VLOOKUP('Données projet'!$B$16,Paramètres!$A$1:$I$89,5,0)</f>
        <v>1.2710188457276673E-13</v>
      </c>
      <c r="FG87" s="14">
        <f t="shared" si="101"/>
        <v>1.856866851063998E-12</v>
      </c>
      <c r="FH87" s="22">
        <f t="shared" si="76"/>
        <v>3.4554122145673649E-12</v>
      </c>
      <c r="FI87" s="62">
        <f t="shared" si="77"/>
        <v>272.25683052455378</v>
      </c>
      <c r="FJ87" s="62">
        <f ca="1">AVERAGE(OFFSET($FI$3,0,0,'Données projet'!$E$16+1,1))-AVERAGE(OFFSET($H$3,0,0,'Données projet'!$E$16+1,1))</f>
        <v>280.9225643428145</v>
      </c>
      <c r="FK87" s="62">
        <f t="shared" si="102"/>
        <v>236.89414218053955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185.70643021700349</v>
      </c>
      <c r="FR87" s="23">
        <f>EXP(-LN(2)/25)*FR86+(1-EXP(-LN(2)/25))/(LN(2)/25)*Calculateur!FM87*Calculateur!FO87*VLOOKUP('Données projet'!$B$16,Paramètres!$A$1:$I$89,3,0)*0.475*44/12</f>
        <v>53.188659611222711</v>
      </c>
      <c r="FS87" s="23">
        <f>EXP(-LN(2)/2)*FS86+(1-EXP(-LN(2)/2))/(LN(2)/2)*FM87*FP87*VLOOKUP('Données projet'!$B$16,Paramètres!$A$1:$I$89,3,0)*0.475*44/12</f>
        <v>3.3528182803037459E-5</v>
      </c>
      <c r="FT87" s="24">
        <f t="shared" si="78"/>
        <v>238.89512335640899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-5.6843418860808015E-13</v>
      </c>
      <c r="GA87" s="18">
        <f>FZ87*VLOOKUP('Données projet'!$B$17,Paramètres!$A$1:$I$89,3,0)*VLOOKUP('Données projet'!$B$17,Paramètres!$A$1:$I$89,5,0)</f>
        <v>-2.5124791136477147E-13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325.67421864225201</v>
      </c>
      <c r="GF87" s="62">
        <f t="shared" si="104"/>
        <v>542.01920418736745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120.18735596441408</v>
      </c>
      <c r="GM87" s="23">
        <f>EXP(-LN(2)/25)*GM86+(1-EXP(-LN(2)/25))/(LN(2)/25)*Calculateur!GH87*Calculateur!GJ87*VLOOKUP('Données projet'!$B$17,Paramètres!$A$1:$I$89,3,0)*0.475*44/12</f>
        <v>62.33656562743608</v>
      </c>
      <c r="GN87" s="23">
        <f>EXP(-LN(2)/2)*GN86+(1-EXP(-LN(2)/2))/(LN(2)/2)*GH87*GK87*VLOOKUP('Données projet'!$B$17,Paramètres!$A$1:$I$89,3,0)*0.475*44/12</f>
        <v>3.4149461508014897E-5</v>
      </c>
      <c r="GO87" s="23">
        <f t="shared" si="81"/>
        <v>182.52395574131165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2.8710000000000009</v>
      </c>
      <c r="GU87" s="13">
        <f>IF('Données projet'!$A$270&gt;35,GU86+GT87-HC86,IF(A87&lt;'Données projet'!$A$270,$GR$205^A87,IF(A87='Données projet'!$A$270,'Données projet'!$B$270,GU86+GT87-HC86)))</f>
        <v>104.16899999999998</v>
      </c>
      <c r="GV87" s="18">
        <f>GU87*VLOOKUP('Données projet'!$B$18,Paramètres!$A$1:$I$89,3,0)*VLOOKUP('Données projet'!$B$18,Paramètres!$A$1:$I$89,5,0)</f>
        <v>105.62736599999998</v>
      </c>
      <c r="GW87" s="14">
        <f t="shared" si="105"/>
        <v>28.298338427683426</v>
      </c>
      <c r="GX87" s="22">
        <f t="shared" si="82"/>
        <v>233.25393521154857</v>
      </c>
      <c r="GY87" s="62">
        <f t="shared" si="83"/>
        <v>505.51076573609885</v>
      </c>
      <c r="GZ87" s="62">
        <f ca="1">AVERAGE(OFFSET($GY$3,0,0,'Données projet'!$E$18+1,1))-AVERAGE(OFFSET($H$3,0,0,'Données projet'!$E$18+1,1))</f>
        <v>220.89224520315713</v>
      </c>
      <c r="HA87" s="62">
        <f t="shared" si="106"/>
        <v>141.82763623159096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-2.8421709430404007E-14</v>
      </c>
      <c r="O88" s="14">
        <f>N88*VLOOKUP('Données projet'!$B$9,Paramètres!$A$1:$I$89,3,0)*VLOOKUP('Données projet'!$B$9,Paramètres!$A$1:$I$89,5,0)</f>
        <v>-2.7489477361086758E-14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84.959354125980269</v>
      </c>
      <c r="T88" s="62">
        <f t="shared" si="88"/>
        <v>89.658970210276806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10.27109951687145</v>
      </c>
      <c r="AB88" s="23">
        <f>EXP(-LN(2)/2)*AB87+(1-EXP(-LN(2)/2))/(LN(2)/2)*V88*Y88*VLOOKUP('Données projet'!$B$9,Paramètres!$A$1:$I$89,3,0)*0.475*44/12</f>
        <v>1.8070835808386598E-2</v>
      </c>
      <c r="AC88" s="24">
        <f t="shared" si="57"/>
        <v>10.289170352679836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12.027399999999998</v>
      </c>
      <c r="AI88" s="14">
        <f>IF('Données projet'!$A$62&gt;35,AI87+AH88-AQ87,IF(A88&lt;'Données projet'!$A$62,$AF$205^A88,IF(A88='Données projet'!$A$62,'Données projet'!$B$62,AI87+AH88-AQ87)))</f>
        <v>214.06699999999995</v>
      </c>
      <c r="AJ88" s="14">
        <f>AI88*VLOOKUP('Données projet'!$B$10,Paramètres!$A$1:$I$89,3,0)*VLOOKUP('Données projet'!$B$10,Paramètres!$A$1:$I$89,5,0)</f>
        <v>203.70615719999998</v>
      </c>
      <c r="AK88" s="14">
        <f t="shared" si="89"/>
        <v>50.557796469815536</v>
      </c>
      <c r="AL88" s="22">
        <f t="shared" si="58"/>
        <v>442.84305264159531</v>
      </c>
      <c r="AM88" s="62">
        <f t="shared" si="59"/>
        <v>715.46551336987682</v>
      </c>
      <c r="AN88" s="62">
        <f ca="1">AVERAGE(OFFSET($AM$3,0,0,'Données projet'!$E$10+1,1))-AVERAGE(OFFSET($H$3,0,0,'Données projet'!$E$10+1,1))</f>
        <v>592.76231355549089</v>
      </c>
      <c r="AO88" s="62">
        <f t="shared" si="90"/>
        <v>200.66895551079014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52.426409169180623</v>
      </c>
      <c r="AV88" s="23">
        <f>EXP(-LN(2)/25)*AV87+(1-EXP(-LN(2)/25))/(LN(2)/25)*Calculateur!AQ88*Calculateur!AS88*VLOOKUP('Données projet'!$B$10,Paramètres!$A$1:$I$89,3,0)*0.475*44/12</f>
        <v>33.21893537127081</v>
      </c>
      <c r="AW88" s="23">
        <f>EXP(-LN(2)/2)*AW87+(1-EXP(-LN(2)/2))/(LN(2)/2)*AQ88*AT88*VLOOKUP('Données projet'!$B$10,Paramètres!$A$1:$I$89,3,0)*0.475*44/12</f>
        <v>2.2199470362940102E-3</v>
      </c>
      <c r="AX88" s="23">
        <f t="shared" si="60"/>
        <v>85.647564487487728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167.91</v>
      </c>
      <c r="BB88" s="13">
        <f>VLOOKUP(A88,'Données projet'!$A$87:$I$107,9,0)</f>
        <v>4.625</v>
      </c>
      <c r="BC88" s="13">
        <f t="array" ref="BC88">INDEX(BB:BB,MIN(IF(ISNUMBER(BB88:BB284),ROW(BB88:BB284),"")))</f>
        <v>4.625</v>
      </c>
      <c r="BD88" s="13">
        <f>IF('Données projet'!$A$88&gt;35,BD87+BC88-BL87,IF(A88&lt;'Données projet'!$A$88,$BA$205^A88,IF(A88='Données projet'!$A$88,'Données projet'!$B$88,BD87+BC88-BL87)))</f>
        <v>167.91000000000011</v>
      </c>
      <c r="BE88" s="14">
        <f>BD88*VLOOKUP('Données projet'!$B$11,Paramètres!$A$1:$I$89,3,0)*VLOOKUP('Données projet'!$B$11,Paramètres!$A$1:$I$89,5,0)</f>
        <v>151.92496800000009</v>
      </c>
      <c r="BF88" s="14">
        <f t="shared" si="91"/>
        <v>39.015716325803162</v>
      </c>
      <c r="BG88" s="22">
        <f t="shared" si="61"/>
        <v>332.55502520077397</v>
      </c>
      <c r="BH88" s="62">
        <f t="shared" si="62"/>
        <v>605.17748592905548</v>
      </c>
      <c r="BI88" s="62">
        <f ca="1">AVERAGE(OFFSET($BH$3,0,0,'Données projet'!$E$11+1,1))-AVERAGE(OFFSET($H$3,0,0,'Données projet'!$E$11+1,1))</f>
        <v>316.71836722354374</v>
      </c>
      <c r="BJ88" s="62">
        <f t="shared" si="92"/>
        <v>164.34067012996618</v>
      </c>
      <c r="BK88" s="16">
        <f>IF(ISNA(VLOOKUP(A88,'Données projet'!$A$87:$I$107,3,0)),0,VLOOKUP(A88,'Données projet'!$A$87:$I$107,3,0))</f>
        <v>10</v>
      </c>
      <c r="BL88" s="16">
        <f>IF(ISNA(VLOOKUP(A88,'Données projet'!$A$87:$I$107,4,0)),0,VLOOKUP(A88,'Données projet'!$A$87:$I$107,4,0))</f>
        <v>16.64</v>
      </c>
      <c r="BM88" s="17">
        <f>IF(ISNA(VLOOKUP(A88,'Données projet'!$A$87:$I$107,5,0)),0%,VLOOKUP(A88,'Données projet'!$A$87:$I$107,5,0)*VLOOKUP('Données projet'!$B$11,Paramètres!$A$1:$I$89,7,0))</f>
        <v>0.25800000000000001</v>
      </c>
      <c r="BN88" s="17">
        <f>IF(ISNA(VLOOKUP(A88,'Données projet'!$A$87:$I$107,6,0)),0%,VLOOKUP(A88,'Données projet'!$A$87:$I$107,6,0)*VLOOKUP('Données projet'!$B$11,Paramètres!$A$1:$I$89,7,0))</f>
        <v>8.6000000000000007E-2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12.277058712203226</v>
      </c>
      <c r="BQ88" s="23">
        <f>EXP(-LN(2)/25)*BQ87+(1-EXP(-LN(2)/25))/(LN(2)/25)*Calculateur!BL88*Calculateur!BN88*VLOOKUP('Données projet'!$B$11,Paramètres!$A$1:$I$89,3,0)*0.475*44/12</f>
        <v>5.5000208760954958</v>
      </c>
      <c r="BR88" s="23">
        <f>EXP(-LN(2)/2)*BR87+(1-EXP(-LN(2)/2))/(LN(2)/2)*BL88*BO88*VLOOKUP('Données projet'!$B$11,Paramètres!$A$1:$I$89,3,0)*0.475*44/12</f>
        <v>1.4342044306112141E-4</v>
      </c>
      <c r="BS88" s="24">
        <f t="shared" si="63"/>
        <v>17.777223008741782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278.67</v>
      </c>
      <c r="BW88" s="13">
        <f>VLOOKUP(A88,'Données projet'!$A$113:$I$133,9,0)</f>
        <v>4.8845000000000001</v>
      </c>
      <c r="BX88" s="13">
        <f t="array" ref="BX88">INDEX(BW:BW,MIN(IF(ISNUMBER(BW88:BW284),ROW(BW88:BW284),"")))</f>
        <v>4.8845000000000001</v>
      </c>
      <c r="BY88" s="13">
        <f>IF('Données projet'!$A$114&gt;35,BY87+BX88-CG87,IF(A88&lt;'Données projet'!$A$114,$BV$205^A88,IF(A88='Données projet'!$A$114,'Données projet'!$B$114,BY87+BX88-CG87)))</f>
        <v>278.6699999999999</v>
      </c>
      <c r="BZ88" s="14">
        <f>BY88*VLOOKUP('Données projet'!$B$12,Paramètres!$A$1:$I$89,3,0)*VLOOKUP('Données projet'!$B$12,Paramètres!$A$1:$I$89,5,0)</f>
        <v>317.3493959999999</v>
      </c>
      <c r="CA88" s="14">
        <f t="shared" si="93"/>
        <v>74.801577258038577</v>
      </c>
      <c r="CB88" s="22">
        <f t="shared" si="64"/>
        <v>682.99627842441703</v>
      </c>
      <c r="CC88" s="62">
        <f t="shared" si="65"/>
        <v>955.61873915269848</v>
      </c>
      <c r="CD88" s="62">
        <f ca="1">AVERAGE(OFFSET($CC$3,0,0,'Données projet'!$E$12+1,1))-AVERAGE(OFFSET($H$3,0,0,'Données projet'!$E$12+1,1))</f>
        <v>454.9779384236806</v>
      </c>
      <c r="CE88" s="62">
        <f t="shared" si="94"/>
        <v>379.32753348721906</v>
      </c>
      <c r="CF88" s="16">
        <f>IF(ISNA(VLOOKUP(A88,'Données projet'!$A$113:$I$133,3,0)),0,VLOOKUP(A88,'Données projet'!$A$113:$I$133,3,0))</f>
        <v>5</v>
      </c>
      <c r="CG88" s="16">
        <f>IF(ISNA(VLOOKUP(A88,'Données projet'!$A$113:$I$133,4,0)),0,VLOOKUP(A88,'Données projet'!$A$113:$I$133,4,0))</f>
        <v>104.5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8.6000000000000007E-2</v>
      </c>
      <c r="CJ88" s="17">
        <f>IF(ISNA(VLOOKUP(A88,'Données projet'!$A$113:$I$133,7,0)),0%,VLOOKUP(A88,'Données projet'!$A$113:$I$133,7,0))</f>
        <v>0.2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19.040613964446898</v>
      </c>
      <c r="CM88" s="23">
        <f>EXP(-LN(2)/2)*CM87+(1-EXP(-LN(2)/2))/(LN(2)/2)*CG88*CJ88*VLOOKUP('Données projet'!$B$12,Paramètres!$A$1:$I$89,3,0)*0.475*44/12</f>
        <v>22.475808568666285</v>
      </c>
      <c r="CN88" s="24">
        <f t="shared" si="66"/>
        <v>41.516422533113186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252.10592533338991</v>
      </c>
      <c r="CZ88" s="62">
        <f t="shared" si="96"/>
        <v>272.71831345325313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74.229833284314125</v>
      </c>
      <c r="DH88" s="23">
        <f>EXP(-LN(2)/2)*DH87+(1-EXP(-LN(2)/2))/(LN(2)/2)*DB88*DE88*VLOOKUP('Données projet'!$B$13,Paramètres!$A$1:$I$89,3,0)*0.475*44/12</f>
        <v>2.9192923636088878E-3</v>
      </c>
      <c r="DI88" s="24">
        <f t="shared" si="69"/>
        <v>74.23275257667774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projet'!$B$14,Paramètres!$A$1:$I$89,3,0)*VLOOKUP('Données projet'!$B$14,Paramètres!$A$1:$I$89,5,0)</f>
        <v>0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423.0896575168394</v>
      </c>
      <c r="DU88" s="62">
        <f t="shared" si="98"/>
        <v>305.98537395014284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138.0490353198762</v>
      </c>
      <c r="EB88" s="23">
        <f>EXP(-LN(2)/25)*EB87+(1-EXP(-LN(2)/25))/(LN(2)/25)*Calculateur!DW88*Calculateur!DY88*VLOOKUP('Données projet'!$B$14,Paramètres!$A$1:$I$89,3,0)*0.475*44/12</f>
        <v>155.72378423662167</v>
      </c>
      <c r="EC88" s="23">
        <f>EXP(-LN(2)/2)*EC87+(1-EXP(-LN(2)/2))/(LN(2)/2)*DW88*DZ88*VLOOKUP('Données projet'!$B$14,Paramètres!$A$1:$I$89,3,0)*0.475*44/12</f>
        <v>5.7233616514631893E-4</v>
      </c>
      <c r="ED88" s="24">
        <f t="shared" si="72"/>
        <v>293.77339189266303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2.2737367544323206E-13</v>
      </c>
      <c r="EK88" s="18">
        <f>EJ88*VLOOKUP('Données projet'!$B$15,Paramètres!$A$1:$I$89,3,0)*VLOOKUP('Données projet'!$B$15,Paramètres!$A$1:$I$89,5,0)</f>
        <v>1.3596945791505279E-13</v>
      </c>
      <c r="EL88" s="14">
        <f t="shared" si="99"/>
        <v>1.9708830566360721E-12</v>
      </c>
      <c r="EM88" s="22">
        <f t="shared" si="73"/>
        <v>3.669434796176543E-12</v>
      </c>
      <c r="EN88" s="62">
        <f t="shared" si="74"/>
        <v>272.6224607282852</v>
      </c>
      <c r="EO88" s="62">
        <f ca="1">AVERAGE(OFFSET($EN$3,0,0,'Données projet'!$E$15+1,1))-AVERAGE(OFFSET($H$3,0,0,'Données projet'!$E$15+1,1))</f>
        <v>281.21543175875604</v>
      </c>
      <c r="EP88" s="62">
        <f t="shared" si="100"/>
        <v>366.68536296857428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58.200910013112299</v>
      </c>
      <c r="EW88" s="23">
        <f>EXP(-LN(2)/25)*EW87+(1-EXP(-LN(2)/25))/(LN(2)/25)*Calculateur!ER88*Calculateur!ET88*VLOOKUP('Données projet'!$B$15,Paramètres!$A$1:$I$89,3,0)*0.475*44/12</f>
        <v>16.164182991682313</v>
      </c>
      <c r="EX88" s="23">
        <f>EXP(-LN(2)/2)*EX87+(1-EXP(-LN(2)/2))/(LN(2)/2)*ER88*EU88*VLOOKUP('Données projet'!$B$15,Paramètres!$A$1:$I$89,3,0)*0.475*44/12</f>
        <v>9.0063696628396757E-4</v>
      </c>
      <c r="EY88" s="24">
        <f t="shared" si="75"/>
        <v>74.365993641760895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2.2737367544323206E-13</v>
      </c>
      <c r="FF88" s="18">
        <f>FE88*VLOOKUP('Données projet'!$B$16,Paramètres!$A$1:$I$89,3,0)*VLOOKUP('Données projet'!$B$16,Paramètres!$A$1:$I$89,5,0)</f>
        <v>1.2710188457276673E-13</v>
      </c>
      <c r="FG88" s="14">
        <f t="shared" si="101"/>
        <v>1.856866851063998E-12</v>
      </c>
      <c r="FH88" s="22">
        <f t="shared" si="76"/>
        <v>3.4554122145673649E-12</v>
      </c>
      <c r="FI88" s="62">
        <f t="shared" si="77"/>
        <v>272.62246072828498</v>
      </c>
      <c r="FJ88" s="62">
        <f ca="1">AVERAGE(OFFSET($FI$3,0,0,'Données projet'!$E$16+1,1))-AVERAGE(OFFSET($H$3,0,0,'Données projet'!$E$16+1,1))</f>
        <v>280.9225643428145</v>
      </c>
      <c r="FK88" s="62">
        <f t="shared" si="102"/>
        <v>236.89414218053955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182.06484039018602</v>
      </c>
      <c r="FR88" s="23">
        <f>EXP(-LN(2)/25)*FR87+(1-EXP(-LN(2)/25))/(LN(2)/25)*Calculateur!FM88*Calculateur!FO88*VLOOKUP('Données projet'!$B$16,Paramètres!$A$1:$I$89,3,0)*0.475*44/12</f>
        <v>51.734212917083781</v>
      </c>
      <c r="FS88" s="23">
        <f>EXP(-LN(2)/2)*FS87+(1-EXP(-LN(2)/2))/(LN(2)/2)*FM88*FP88*VLOOKUP('Données projet'!$B$16,Paramètres!$A$1:$I$89,3,0)*0.475*44/12</f>
        <v>2.3708005420889975E-5</v>
      </c>
      <c r="FT88" s="24">
        <f t="shared" si="78"/>
        <v>233.7990770152752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-5.6843418860808015E-13</v>
      </c>
      <c r="GA88" s="18">
        <f>FZ88*VLOOKUP('Données projet'!$B$17,Paramètres!$A$1:$I$89,3,0)*VLOOKUP('Données projet'!$B$17,Paramètres!$A$1:$I$89,5,0)</f>
        <v>-2.5124791136477147E-13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325.67421864225201</v>
      </c>
      <c r="GF88" s="62">
        <f t="shared" si="104"/>
        <v>542.01920418736745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117.83055522100059</v>
      </c>
      <c r="GM88" s="23">
        <f>EXP(-LN(2)/25)*GM87+(1-EXP(-LN(2)/25))/(LN(2)/25)*Calculateur!GH88*Calculateur!GJ88*VLOOKUP('Données projet'!$B$17,Paramètres!$A$1:$I$89,3,0)*0.475*44/12</f>
        <v>60.631968962216327</v>
      </c>
      <c r="GN88" s="23">
        <f>EXP(-LN(2)/2)*GN87+(1-EXP(-LN(2)/2))/(LN(2)/2)*GH88*GK88*VLOOKUP('Données projet'!$B$17,Paramètres!$A$1:$I$89,3,0)*0.475*44/12</f>
        <v>2.4147315806186318E-5</v>
      </c>
      <c r="GO88" s="23">
        <f t="shared" si="81"/>
        <v>178.46254833053271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107.04</v>
      </c>
      <c r="GS88" s="13">
        <f>VLOOKUP(A88,'Données projet'!$A$269:$I$289,9,0)</f>
        <v>2.8710000000000009</v>
      </c>
      <c r="GT88" s="13">
        <f t="array" ref="GT88">INDEX(GS:GS,MIN(IF(ISNUMBER(GS88:GS284),ROW(GS88:GS284),"")))</f>
        <v>2.8710000000000009</v>
      </c>
      <c r="GU88" s="13">
        <f>IF('Données projet'!$A$270&gt;35,GU87+GT88-HC87,IF(A88&lt;'Données projet'!$A$270,$GR$205^A88,IF(A88='Données projet'!$A$270,'Données projet'!$B$270,GU87+GT88-HC87)))</f>
        <v>107.03999999999998</v>
      </c>
      <c r="GV88" s="18">
        <f>GU88*VLOOKUP('Données projet'!$B$18,Paramètres!$A$1:$I$89,3,0)*VLOOKUP('Données projet'!$B$18,Paramètres!$A$1:$I$89,5,0)</f>
        <v>108.53855999999999</v>
      </c>
      <c r="GW88" s="14">
        <f t="shared" si="105"/>
        <v>28.98639033877954</v>
      </c>
      <c r="GX88" s="22">
        <f t="shared" si="82"/>
        <v>239.52262184004098</v>
      </c>
      <c r="GY88" s="62">
        <f t="shared" si="83"/>
        <v>512.14508256832255</v>
      </c>
      <c r="GZ88" s="62">
        <f ca="1">AVERAGE(OFFSET($GY$3,0,0,'Données projet'!$E$18+1,1))-AVERAGE(OFFSET($H$3,0,0,'Données projet'!$E$18+1,1))</f>
        <v>220.89224520315713</v>
      </c>
      <c r="HA88" s="62">
        <f t="shared" si="106"/>
        <v>141.82763623159096</v>
      </c>
      <c r="HB88" s="16">
        <f>IF(ISNA(VLOOKUP(A88,'Données projet'!$A$269:$I$289,3,0)),0,VLOOKUP(A88,'Données projet'!$A$269:$I$289,3,0))</f>
        <v>10</v>
      </c>
      <c r="HC88" s="16">
        <f>IF(ISNA(VLOOKUP(A88,'Données projet'!$A$269:$I$289,4,0)),0,VLOOKUP(A88,'Données projet'!$A$269:$I$289,4,0))</f>
        <v>10.61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-2.8421709430404007E-14</v>
      </c>
      <c r="O89" s="14">
        <f>N89*VLOOKUP('Données projet'!$B$9,Paramètres!$A$1:$I$89,3,0)*VLOOKUP('Données projet'!$B$9,Paramètres!$A$1:$I$89,5,0)</f>
        <v>-2.7489477361086758E-14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84.959354125980269</v>
      </c>
      <c r="T89" s="62">
        <f t="shared" si="88"/>
        <v>89.658970210276806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9.990235760448952</v>
      </c>
      <c r="AB89" s="23">
        <f>EXP(-LN(2)/2)*AB88+(1-EXP(-LN(2)/2))/(LN(2)/2)*V89*Y89*VLOOKUP('Données projet'!$B$9,Paramètres!$A$1:$I$89,3,0)*0.475*44/12</f>
        <v>1.277801054181885E-2</v>
      </c>
      <c r="AC89" s="24">
        <f t="shared" si="57"/>
        <v>10.003013770990771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12.027399999999998</v>
      </c>
      <c r="AI89" s="14">
        <f>IF('Données projet'!$A$62&gt;35,AI88+AH89-AQ88,IF(A89&lt;'Données projet'!$A$62,$AF$205^A89,IF(A89='Données projet'!$A$62,'Données projet'!$B$62,AI88+AH89-AQ88)))</f>
        <v>226.09439999999995</v>
      </c>
      <c r="AJ89" s="14">
        <f>AI89*VLOOKUP('Données projet'!$B$10,Paramètres!$A$1:$I$89,3,0)*VLOOKUP('Données projet'!$B$10,Paramètres!$A$1:$I$89,5,0)</f>
        <v>215.15143103999998</v>
      </c>
      <c r="AK89" s="14">
        <f t="shared" si="89"/>
        <v>53.059710305713544</v>
      </c>
      <c r="AL89" s="22">
        <f t="shared" si="58"/>
        <v>467.13440451045108</v>
      </c>
      <c r="AM89" s="62">
        <f t="shared" si="59"/>
        <v>740.11615257585572</v>
      </c>
      <c r="AN89" s="62">
        <f ca="1">AVERAGE(OFFSET($AM$3,0,0,'Données projet'!$E$10+1,1))-AVERAGE(OFFSET($H$3,0,0,'Données projet'!$E$10+1,1))</f>
        <v>592.76231355549089</v>
      </c>
      <c r="AO89" s="62">
        <f t="shared" si="90"/>
        <v>200.66895551079014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51.398359262325123</v>
      </c>
      <c r="AV89" s="23">
        <f>EXP(-LN(2)/25)*AV88+(1-EXP(-LN(2)/25))/(LN(2)/25)*Calculateur!AQ89*Calculateur!AS89*VLOOKUP('Données projet'!$B$10,Paramètres!$A$1:$I$89,3,0)*0.475*44/12</f>
        <v>32.310561836635522</v>
      </c>
      <c r="AW89" s="23">
        <f>EXP(-LN(2)/2)*AW88+(1-EXP(-LN(2)/2))/(LN(2)/2)*AQ89*AT89*VLOOKUP('Données projet'!$B$10,Paramètres!$A$1:$I$89,3,0)*0.475*44/12</f>
        <v>1.5697396032384734E-3</v>
      </c>
      <c r="AX89" s="23">
        <f t="shared" si="60"/>
        <v>83.710490838563885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4.7600000000000025</v>
      </c>
      <c r="BD89" s="13">
        <f>IF('Données projet'!$A$88&gt;35,BD88+BC89-BL88,IF(A89&lt;'Données projet'!$A$88,$BA$205^A89,IF(A89='Données projet'!$A$88,'Données projet'!$B$88,BD88+BC89-BL88)))</f>
        <v>156.03000000000009</v>
      </c>
      <c r="BE89" s="14">
        <f>BD89*VLOOKUP('Données projet'!$B$11,Paramètres!$A$1:$I$89,3,0)*VLOOKUP('Données projet'!$B$11,Paramètres!$A$1:$I$89,5,0)</f>
        <v>141.17594400000007</v>
      </c>
      <c r="BF89" s="14">
        <f t="shared" si="91"/>
        <v>36.566266467870435</v>
      </c>
      <c r="BG89" s="22">
        <f t="shared" si="61"/>
        <v>309.56768323154108</v>
      </c>
      <c r="BH89" s="62">
        <f t="shared" si="62"/>
        <v>582.54943129694584</v>
      </c>
      <c r="BI89" s="62">
        <f ca="1">AVERAGE(OFFSET($BH$3,0,0,'Données projet'!$E$11+1,1))-AVERAGE(OFFSET($H$3,0,0,'Données projet'!$E$11+1,1))</f>
        <v>316.71836722354374</v>
      </c>
      <c r="BJ89" s="62">
        <f t="shared" si="92"/>
        <v>164.34067012996618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12.03631307912333</v>
      </c>
      <c r="BQ89" s="23">
        <f>EXP(-LN(2)/25)*BQ88+(1-EXP(-LN(2)/25))/(LN(2)/25)*Calculateur!BL89*Calculateur!BN89*VLOOKUP('Données projet'!$B$11,Paramètres!$A$1:$I$89,3,0)*0.475*44/12</f>
        <v>5.3496225160051374</v>
      </c>
      <c r="BR89" s="23">
        <f>EXP(-LN(2)/2)*BR88+(1-EXP(-LN(2)/2))/(LN(2)/2)*BL89*BO89*VLOOKUP('Données projet'!$B$11,Paramètres!$A$1:$I$89,3,0)*0.475*44/12</f>
        <v>1.0141356784929807E-4</v>
      </c>
      <c r="BS89" s="24">
        <f t="shared" si="63"/>
        <v>17.386037008696317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3.7879999999999994</v>
      </c>
      <c r="BY89" s="13">
        <f>IF('Données projet'!$A$114&gt;35,BY88+BX89-CG88,IF(A89&lt;'Données projet'!$A$114,$BV$205^A89,IF(A89='Données projet'!$A$114,'Données projet'!$B$114,BY88+BX89-CG88)))</f>
        <v>177.95799999999991</v>
      </c>
      <c r="BZ89" s="14">
        <f>BY89*VLOOKUP('Données projet'!$B$12,Paramètres!$A$1:$I$89,3,0)*VLOOKUP('Données projet'!$B$12,Paramètres!$A$1:$I$89,5,0)</f>
        <v>202.65857039999989</v>
      </c>
      <c r="CA89" s="14">
        <f t="shared" si="93"/>
        <v>50.32799123326479</v>
      </c>
      <c r="CB89" s="22">
        <f t="shared" si="64"/>
        <v>440.61826151126928</v>
      </c>
      <c r="CC89" s="62">
        <f t="shared" si="65"/>
        <v>713.60000957667398</v>
      </c>
      <c r="CD89" s="62">
        <f ca="1">AVERAGE(OFFSET($CC$3,0,0,'Données projet'!$E$12+1,1))-AVERAGE(OFFSET($H$3,0,0,'Données projet'!$E$12+1,1))</f>
        <v>454.9779384236806</v>
      </c>
      <c r="CE89" s="62">
        <f t="shared" si="94"/>
        <v>379.32753348721906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18.519947374286726</v>
      </c>
      <c r="CM89" s="23">
        <f>EXP(-LN(2)/2)*CM88+(1-EXP(-LN(2)/2))/(LN(2)/2)*CG89*CJ89*VLOOKUP('Données projet'!$B$12,Paramètres!$A$1:$I$89,3,0)*0.475*44/12</f>
        <v>15.892796651554642</v>
      </c>
      <c r="CN89" s="24">
        <f t="shared" si="66"/>
        <v>34.41274402584137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252.10592533338991</v>
      </c>
      <c r="CZ89" s="62">
        <f t="shared" si="96"/>
        <v>272.71831345325313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72.200014589577279</v>
      </c>
      <c r="DH89" s="23">
        <f>EXP(-LN(2)/2)*DH88+(1-EXP(-LN(2)/2))/(LN(2)/2)*DB89*DE89*VLOOKUP('Données projet'!$B$13,Paramètres!$A$1:$I$89,3,0)*0.475*44/12</f>
        <v>2.0642514265739489E-3</v>
      </c>
      <c r="DI89" s="24">
        <f t="shared" si="69"/>
        <v>72.202078841003853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projet'!$B$14,Paramètres!$A$1:$I$89,3,0)*VLOOKUP('Données projet'!$B$14,Paramètres!$A$1:$I$89,5,0)</f>
        <v>0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423.0896575168394</v>
      </c>
      <c r="DU89" s="62">
        <f t="shared" si="98"/>
        <v>305.98537395014284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135.34197793885076</v>
      </c>
      <c r="EB89" s="23">
        <f>EXP(-LN(2)/25)*EB88+(1-EXP(-LN(2)/25))/(LN(2)/25)*Calculateur!DW89*Calculateur!DY89*VLOOKUP('Données projet'!$B$14,Paramètres!$A$1:$I$89,3,0)*0.475*44/12</f>
        <v>151.46550916751335</v>
      </c>
      <c r="EC89" s="23">
        <f>EXP(-LN(2)/2)*EC88+(1-EXP(-LN(2)/2))/(LN(2)/2)*DW89*DZ89*VLOOKUP('Données projet'!$B$14,Paramètres!$A$1:$I$89,3,0)*0.475*44/12</f>
        <v>4.0470278349326587E-4</v>
      </c>
      <c r="ED89" s="24">
        <f t="shared" si="72"/>
        <v>286.80789180914758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2.2737367544323206E-13</v>
      </c>
      <c r="EK89" s="18">
        <f>EJ89*VLOOKUP('Données projet'!$B$15,Paramètres!$A$1:$I$89,3,0)*VLOOKUP('Données projet'!$B$15,Paramètres!$A$1:$I$89,5,0)</f>
        <v>1.3596945791505279E-13</v>
      </c>
      <c r="EL89" s="14">
        <f t="shared" si="99"/>
        <v>1.9708830566360721E-12</v>
      </c>
      <c r="EM89" s="22">
        <f t="shared" si="73"/>
        <v>3.669434796176543E-12</v>
      </c>
      <c r="EN89" s="62">
        <f t="shared" si="74"/>
        <v>272.9817480654084</v>
      </c>
      <c r="EO89" s="62">
        <f ca="1">AVERAGE(OFFSET($EN$3,0,0,'Données projet'!$E$15+1,1))-AVERAGE(OFFSET($H$3,0,0,'Données projet'!$E$15+1,1))</f>
        <v>281.21543175875604</v>
      </c>
      <c r="EP89" s="62">
        <f t="shared" si="100"/>
        <v>366.68536296857428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57.059625666805033</v>
      </c>
      <c r="EW89" s="23">
        <f>EXP(-LN(2)/25)*EW88+(1-EXP(-LN(2)/25))/(LN(2)/25)*Calculateur!ER89*Calculateur!ET89*VLOOKUP('Données projet'!$B$15,Paramètres!$A$1:$I$89,3,0)*0.475*44/12</f>
        <v>15.72217255773732</v>
      </c>
      <c r="EX89" s="23">
        <f>EXP(-LN(2)/2)*EX88+(1-EXP(-LN(2)/2))/(LN(2)/2)*ER89*EU89*VLOOKUP('Données projet'!$B$15,Paramètres!$A$1:$I$89,3,0)*0.475*44/12</f>
        <v>6.3684650624667343E-4</v>
      </c>
      <c r="EY89" s="24">
        <f t="shared" si="75"/>
        <v>72.78243507104861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2.2737367544323206E-13</v>
      </c>
      <c r="FF89" s="18">
        <f>FE89*VLOOKUP('Données projet'!$B$16,Paramètres!$A$1:$I$89,3,0)*VLOOKUP('Données projet'!$B$16,Paramètres!$A$1:$I$89,5,0)</f>
        <v>1.2710188457276673E-13</v>
      </c>
      <c r="FG89" s="14">
        <f t="shared" si="101"/>
        <v>1.856866851063998E-12</v>
      </c>
      <c r="FH89" s="22">
        <f t="shared" si="76"/>
        <v>3.4554122145673649E-12</v>
      </c>
      <c r="FI89" s="62">
        <f t="shared" si="77"/>
        <v>272.98174806540817</v>
      </c>
      <c r="FJ89" s="62">
        <f ca="1">AVERAGE(OFFSET($FI$3,0,0,'Données projet'!$E$16+1,1))-AVERAGE(OFFSET($H$3,0,0,'Données projet'!$E$16+1,1))</f>
        <v>280.9225643428145</v>
      </c>
      <c r="FK89" s="62">
        <f t="shared" si="102"/>
        <v>236.89414218053955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178.49465991872196</v>
      </c>
      <c r="FR89" s="23">
        <f>EXP(-LN(2)/25)*FR88+(1-EXP(-LN(2)/25))/(LN(2)/25)*Calculateur!FM89*Calculateur!FO89*VLOOKUP('Données projet'!$B$16,Paramètres!$A$1:$I$89,3,0)*0.475*44/12</f>
        <v>50.319538144282106</v>
      </c>
      <c r="FS89" s="23">
        <f>EXP(-LN(2)/2)*FS88+(1-EXP(-LN(2)/2))/(LN(2)/2)*FM89*FP89*VLOOKUP('Données projet'!$B$16,Paramètres!$A$1:$I$89,3,0)*0.475*44/12</f>
        <v>1.676409140151873E-5</v>
      </c>
      <c r="FT89" s="24">
        <f t="shared" si="78"/>
        <v>228.8142148270955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-5.6843418860808015E-13</v>
      </c>
      <c r="GA89" s="18">
        <f>FZ89*VLOOKUP('Données projet'!$B$17,Paramètres!$A$1:$I$89,3,0)*VLOOKUP('Données projet'!$B$17,Paramètres!$A$1:$I$89,5,0)</f>
        <v>-2.5124791136477147E-13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325.67421864225201</v>
      </c>
      <c r="GF89" s="62">
        <f t="shared" si="104"/>
        <v>542.01920418736745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115.51996990265893</v>
      </c>
      <c r="GM89" s="23">
        <f>EXP(-LN(2)/25)*GM88+(1-EXP(-LN(2)/25))/(LN(2)/25)*Calculateur!GH89*Calculateur!GJ89*VLOOKUP('Données projet'!$B$17,Paramètres!$A$1:$I$89,3,0)*0.475*44/12</f>
        <v>58.973984582447848</v>
      </c>
      <c r="GN89" s="23">
        <f>EXP(-LN(2)/2)*GN88+(1-EXP(-LN(2)/2))/(LN(2)/2)*GH89*GK89*VLOOKUP('Données projet'!$B$17,Paramètres!$A$1:$I$89,3,0)*0.475*44/12</f>
        <v>1.7074730754007449E-5</v>
      </c>
      <c r="GO89" s="23">
        <f t="shared" si="81"/>
        <v>174.49397155983752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2.9299999999999984</v>
      </c>
      <c r="GU89" s="13">
        <f>IF('Données projet'!$A$270&gt;35,GU88+GT89-HC88,IF(A89&lt;'Données projet'!$A$270,$GR$205^A89,IF(A89='Données projet'!$A$270,'Données projet'!$B$270,GU88+GT89-HC88)))</f>
        <v>99.359999999999971</v>
      </c>
      <c r="GV89" s="18">
        <f>GU89*VLOOKUP('Données projet'!$B$18,Paramètres!$A$1:$I$89,3,0)*VLOOKUP('Données projet'!$B$18,Paramètres!$A$1:$I$89,5,0)</f>
        <v>100.75103999999999</v>
      </c>
      <c r="GW89" s="14">
        <f t="shared" si="105"/>
        <v>27.140844480453442</v>
      </c>
      <c r="GX89" s="22">
        <f t="shared" si="82"/>
        <v>222.74503213678972</v>
      </c>
      <c r="GY89" s="62">
        <f t="shared" si="83"/>
        <v>495.72678020219439</v>
      </c>
      <c r="GZ89" s="62">
        <f ca="1">AVERAGE(OFFSET($GY$3,0,0,'Données projet'!$E$18+1,1))-AVERAGE(OFFSET($H$3,0,0,'Données projet'!$E$18+1,1))</f>
        <v>220.89224520315713</v>
      </c>
      <c r="HA89" s="62">
        <f t="shared" si="106"/>
        <v>141.82763623159096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-2.8421709430404007E-14</v>
      </c>
      <c r="O90" s="14">
        <f>N90*VLOOKUP('Données projet'!$B$9,Paramètres!$A$1:$I$89,3,0)*VLOOKUP('Données projet'!$B$9,Paramètres!$A$1:$I$89,5,0)</f>
        <v>-2.7489477361086758E-14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84.959354125980269</v>
      </c>
      <c r="T90" s="62">
        <f t="shared" si="88"/>
        <v>89.658970210276806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9.7170522382158104</v>
      </c>
      <c r="AB90" s="23">
        <f>EXP(-LN(2)/2)*AB89+(1-EXP(-LN(2)/2))/(LN(2)/2)*V90*Y90*VLOOKUP('Données projet'!$B$9,Paramètres!$A$1:$I$89,3,0)*0.475*44/12</f>
        <v>9.0354179041932988E-3</v>
      </c>
      <c r="AC90" s="24">
        <f t="shared" si="57"/>
        <v>9.7260876561200043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12.027399999999998</v>
      </c>
      <c r="AI90" s="14">
        <f>IF('Données projet'!$A$62&gt;35,AI89+AH90-AQ89,IF(A90&lt;'Données projet'!$A$62,$AF$205^A90,IF(A90='Données projet'!$A$62,'Données projet'!$B$62,AI89+AH90-AQ89)))</f>
        <v>238.12179999999995</v>
      </c>
      <c r="AJ90" s="14">
        <f>AI90*VLOOKUP('Données projet'!$B$10,Paramètres!$A$1:$I$89,3,0)*VLOOKUP('Données projet'!$B$10,Paramètres!$A$1:$I$89,5,0)</f>
        <v>226.59670487999998</v>
      </c>
      <c r="AK90" s="14">
        <f t="shared" si="89"/>
        <v>55.546172320606232</v>
      </c>
      <c r="AL90" s="22">
        <f t="shared" si="58"/>
        <v>491.39884445772253</v>
      </c>
      <c r="AM90" s="62">
        <f t="shared" si="59"/>
        <v>764.73364702819731</v>
      </c>
      <c r="AN90" s="62">
        <f ca="1">AVERAGE(OFFSET($AM$3,0,0,'Données projet'!$E$10+1,1))-AVERAGE(OFFSET($H$3,0,0,'Données projet'!$E$10+1,1))</f>
        <v>592.76231355549089</v>
      </c>
      <c r="AO90" s="62">
        <f t="shared" si="90"/>
        <v>200.66895551079014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50.390468787094534</v>
      </c>
      <c r="AV90" s="23">
        <f>EXP(-LN(2)/25)*AV89+(1-EXP(-LN(2)/25))/(LN(2)/25)*Calculateur!AQ90*Calculateur!AS90*VLOOKUP('Données projet'!$B$10,Paramètres!$A$1:$I$89,3,0)*0.475*44/12</f>
        <v>31.427027824074123</v>
      </c>
      <c r="AW90" s="23">
        <f>EXP(-LN(2)/2)*AW89+(1-EXP(-LN(2)/2))/(LN(2)/2)*AQ90*AT90*VLOOKUP('Données projet'!$B$10,Paramètres!$A$1:$I$89,3,0)*0.475*44/12</f>
        <v>1.1099735181470051E-3</v>
      </c>
      <c r="AX90" s="23">
        <f t="shared" si="60"/>
        <v>81.81860658468679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4.7600000000000025</v>
      </c>
      <c r="BD90" s="13">
        <f>IF('Données projet'!$A$88&gt;35,BD89+BC90-BL89,IF(A90&lt;'Données projet'!$A$88,$BA$205^A90,IF(A90='Données projet'!$A$88,'Données projet'!$B$88,BD89+BC90-BL89)))</f>
        <v>160.79000000000008</v>
      </c>
      <c r="BE90" s="14">
        <f>BD90*VLOOKUP('Données projet'!$B$11,Paramètres!$A$1:$I$89,3,0)*VLOOKUP('Données projet'!$B$11,Paramètres!$A$1:$I$89,5,0)</f>
        <v>145.48279200000007</v>
      </c>
      <c r="BF90" s="14">
        <f t="shared" si="91"/>
        <v>37.550214189509305</v>
      </c>
      <c r="BG90" s="22">
        <f t="shared" si="61"/>
        <v>318.78248578006213</v>
      </c>
      <c r="BH90" s="62">
        <f t="shared" si="62"/>
        <v>592.11728835053691</v>
      </c>
      <c r="BI90" s="62">
        <f ca="1">AVERAGE(OFFSET($BH$3,0,0,'Données projet'!$E$11+1,1))-AVERAGE(OFFSET($H$3,0,0,'Données projet'!$E$11+1,1))</f>
        <v>316.71836722354374</v>
      </c>
      <c r="BJ90" s="62">
        <f t="shared" si="92"/>
        <v>164.34067012996618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11.800288321067795</v>
      </c>
      <c r="BQ90" s="23">
        <f>EXP(-LN(2)/25)*BQ89+(1-EXP(-LN(2)/25))/(LN(2)/25)*Calculateur!BL90*Calculateur!BN90*VLOOKUP('Données projet'!$B$11,Paramètres!$A$1:$I$89,3,0)*0.475*44/12</f>
        <v>5.2033368069805555</v>
      </c>
      <c r="BR90" s="23">
        <f>EXP(-LN(2)/2)*BR89+(1-EXP(-LN(2)/2))/(LN(2)/2)*BL90*BO90*VLOOKUP('Données projet'!$B$11,Paramètres!$A$1:$I$89,3,0)*0.475*44/12</f>
        <v>7.1710221530560704E-5</v>
      </c>
      <c r="BS90" s="24">
        <f t="shared" si="63"/>
        <v>17.003696838269878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3.7879999999999994</v>
      </c>
      <c r="BY90" s="13">
        <f>IF('Données projet'!$A$114&gt;35,BY89+BX90-CG89,IF(A90&lt;'Données projet'!$A$114,$BV$205^A90,IF(A90='Données projet'!$A$114,'Données projet'!$B$114,BY89+BX90-CG89)))</f>
        <v>181.74599999999992</v>
      </c>
      <c r="BZ90" s="14">
        <f>BY90*VLOOKUP('Données projet'!$B$12,Paramètres!$A$1:$I$89,3,0)*VLOOKUP('Données projet'!$B$12,Paramètres!$A$1:$I$89,5,0)</f>
        <v>206.97234479999992</v>
      </c>
      <c r="CA90" s="14">
        <f t="shared" si="93"/>
        <v>51.273408701194967</v>
      </c>
      <c r="CB90" s="22">
        <f t="shared" si="64"/>
        <v>449.77802068124771</v>
      </c>
      <c r="CC90" s="62">
        <f t="shared" si="65"/>
        <v>723.1128232517226</v>
      </c>
      <c r="CD90" s="62">
        <f ca="1">AVERAGE(OFFSET($CC$3,0,0,'Données projet'!$E$12+1,1))-AVERAGE(OFFSET($H$3,0,0,'Données projet'!$E$12+1,1))</f>
        <v>454.9779384236806</v>
      </c>
      <c r="CE90" s="62">
        <f t="shared" si="94"/>
        <v>379.32753348721906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18.013518439415151</v>
      </c>
      <c r="CM90" s="23">
        <f>EXP(-LN(2)/2)*CM89+(1-EXP(-LN(2)/2))/(LN(2)/2)*CG90*CJ90*VLOOKUP('Données projet'!$B$12,Paramètres!$A$1:$I$89,3,0)*0.475*44/12</f>
        <v>11.237904284333144</v>
      </c>
      <c r="CN90" s="24">
        <f t="shared" si="66"/>
        <v>29.251422723748295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252.10592533338991</v>
      </c>
      <c r="CZ90" s="62">
        <f t="shared" si="96"/>
        <v>272.71831345325313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70.225701393791539</v>
      </c>
      <c r="DH90" s="23">
        <f>EXP(-LN(2)/2)*DH89+(1-EXP(-LN(2)/2))/(LN(2)/2)*DB90*DE90*VLOOKUP('Données projet'!$B$13,Paramètres!$A$1:$I$89,3,0)*0.475*44/12</f>
        <v>1.4596461818044439E-3</v>
      </c>
      <c r="DI90" s="24">
        <f t="shared" si="69"/>
        <v>70.227161039973339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projet'!$B$14,Paramètres!$A$1:$I$89,3,0)*VLOOKUP('Données projet'!$B$14,Paramètres!$A$1:$I$89,5,0)</f>
        <v>0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423.0896575168394</v>
      </c>
      <c r="DU90" s="62">
        <f t="shared" si="98"/>
        <v>305.98537395014284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132.68800430192525</v>
      </c>
      <c r="EB90" s="23">
        <f>EXP(-LN(2)/25)*EB89+(1-EXP(-LN(2)/25))/(LN(2)/25)*Calculateur!DW90*Calculateur!DY90*VLOOKUP('Données projet'!$B$14,Paramètres!$A$1:$I$89,3,0)*0.475*44/12</f>
        <v>147.32367685410276</v>
      </c>
      <c r="EC90" s="23">
        <f>EXP(-LN(2)/2)*EC89+(1-EXP(-LN(2)/2))/(LN(2)/2)*DW90*DZ90*VLOOKUP('Données projet'!$B$14,Paramètres!$A$1:$I$89,3,0)*0.475*44/12</f>
        <v>2.8616808257315947E-4</v>
      </c>
      <c r="ED90" s="24">
        <f t="shared" si="72"/>
        <v>280.01196732411057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2.2737367544323206E-13</v>
      </c>
      <c r="EK90" s="18">
        <f>EJ90*VLOOKUP('Données projet'!$B$15,Paramètres!$A$1:$I$89,3,0)*VLOOKUP('Données projet'!$B$15,Paramètres!$A$1:$I$89,5,0)</f>
        <v>1.3596945791505279E-13</v>
      </c>
      <c r="EL90" s="14">
        <f t="shared" si="99"/>
        <v>1.9708830566360721E-12</v>
      </c>
      <c r="EM90" s="22">
        <f t="shared" si="73"/>
        <v>3.669434796176543E-12</v>
      </c>
      <c r="EN90" s="62">
        <f t="shared" si="74"/>
        <v>273.33480257047853</v>
      </c>
      <c r="EO90" s="62">
        <f ca="1">AVERAGE(OFFSET($EN$3,0,0,'Données projet'!$E$15+1,1))-AVERAGE(OFFSET($H$3,0,0,'Données projet'!$E$15+1,1))</f>
        <v>281.21543175875604</v>
      </c>
      <c r="EP90" s="62">
        <f t="shared" si="100"/>
        <v>366.68536296857428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55.940721210414139</v>
      </c>
      <c r="EW90" s="23">
        <f>EXP(-LN(2)/25)*EW89+(1-EXP(-LN(2)/25))/(LN(2)/25)*Calculateur!ER90*Calculateur!ET90*VLOOKUP('Données projet'!$B$15,Paramètres!$A$1:$I$89,3,0)*0.475*44/12</f>
        <v>15.292248922352872</v>
      </c>
      <c r="EX90" s="23">
        <f>EXP(-LN(2)/2)*EX89+(1-EXP(-LN(2)/2))/(LN(2)/2)*ER90*EU90*VLOOKUP('Données projet'!$B$15,Paramètres!$A$1:$I$89,3,0)*0.475*44/12</f>
        <v>4.5031848314198378E-4</v>
      </c>
      <c r="EY90" s="24">
        <f t="shared" si="75"/>
        <v>71.233420451250154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2.2737367544323206E-13</v>
      </c>
      <c r="FF90" s="18">
        <f>FE90*VLOOKUP('Données projet'!$B$16,Paramètres!$A$1:$I$89,3,0)*VLOOKUP('Données projet'!$B$16,Paramètres!$A$1:$I$89,5,0)</f>
        <v>1.2710188457276673E-13</v>
      </c>
      <c r="FG90" s="14">
        <f t="shared" si="101"/>
        <v>1.856866851063998E-12</v>
      </c>
      <c r="FH90" s="22">
        <f t="shared" si="76"/>
        <v>3.4554122145673649E-12</v>
      </c>
      <c r="FI90" s="62">
        <f t="shared" si="77"/>
        <v>273.3348025704783</v>
      </c>
      <c r="FJ90" s="62">
        <f ca="1">AVERAGE(OFFSET($FI$3,0,0,'Données projet'!$E$16+1,1))-AVERAGE(OFFSET($H$3,0,0,'Données projet'!$E$16+1,1))</f>
        <v>280.9225643428145</v>
      </c>
      <c r="FK90" s="62">
        <f t="shared" si="102"/>
        <v>236.89414218053955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174.99448850870826</v>
      </c>
      <c r="FR90" s="23">
        <f>EXP(-LN(2)/25)*FR89+(1-EXP(-LN(2)/25))/(LN(2)/25)*Calculateur!FM90*Calculateur!FO90*VLOOKUP('Données projet'!$B$16,Paramètres!$A$1:$I$89,3,0)*0.475*44/12</f>
        <v>48.943547727537208</v>
      </c>
      <c r="FS90" s="23">
        <f>EXP(-LN(2)/2)*FS89+(1-EXP(-LN(2)/2))/(LN(2)/2)*FM90*FP90*VLOOKUP('Données projet'!$B$16,Paramètres!$A$1:$I$89,3,0)*0.475*44/12</f>
        <v>1.1854002710444987E-5</v>
      </c>
      <c r="FT90" s="24">
        <f t="shared" si="78"/>
        <v>223.93804809024817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-5.6843418860808015E-13</v>
      </c>
      <c r="GA90" s="18">
        <f>FZ90*VLOOKUP('Données projet'!$B$17,Paramètres!$A$1:$I$89,3,0)*VLOOKUP('Données projet'!$B$17,Paramètres!$A$1:$I$89,5,0)</f>
        <v>-2.5124791136477147E-13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325.67421864225201</v>
      </c>
      <c r="GF90" s="62">
        <f t="shared" si="104"/>
        <v>542.01920418736745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113.25469375309206</v>
      </c>
      <c r="GM90" s="23">
        <f>EXP(-LN(2)/25)*GM89+(1-EXP(-LN(2)/25))/(LN(2)/25)*Calculateur!GH90*Calculateur!GJ90*VLOOKUP('Données projet'!$B$17,Paramètres!$A$1:$I$89,3,0)*0.475*44/12</f>
        <v>57.361337872733749</v>
      </c>
      <c r="GN90" s="23">
        <f>EXP(-LN(2)/2)*GN89+(1-EXP(-LN(2)/2))/(LN(2)/2)*GH90*GK90*VLOOKUP('Données projet'!$B$17,Paramètres!$A$1:$I$89,3,0)*0.475*44/12</f>
        <v>1.2073657903093159E-5</v>
      </c>
      <c r="GO90" s="23">
        <f t="shared" si="81"/>
        <v>170.6160436994837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2.9299999999999984</v>
      </c>
      <c r="GU90" s="13">
        <f>IF('Données projet'!$A$270&gt;35,GU89+GT90-HC89,IF(A90&lt;'Données projet'!$A$270,$GR$205^A90,IF(A90='Données projet'!$A$270,'Données projet'!$B$270,GU89+GT90-HC89)))</f>
        <v>102.28999999999996</v>
      </c>
      <c r="GV90" s="18">
        <f>GU90*VLOOKUP('Données projet'!$B$18,Paramètres!$A$1:$I$89,3,0)*VLOOKUP('Données projet'!$B$18,Paramètres!$A$1:$I$89,5,0)</f>
        <v>103.72205999999996</v>
      </c>
      <c r="GW90" s="14">
        <f t="shared" si="105"/>
        <v>27.846832243392566</v>
      </c>
      <c r="GX90" s="22">
        <f t="shared" si="82"/>
        <v>229.14915399057531</v>
      </c>
      <c r="GY90" s="62">
        <f t="shared" si="83"/>
        <v>502.48395656105015</v>
      </c>
      <c r="GZ90" s="62">
        <f ca="1">AVERAGE(OFFSET($GY$3,0,0,'Données projet'!$E$18+1,1))-AVERAGE(OFFSET($H$3,0,0,'Données projet'!$E$18+1,1))</f>
        <v>220.89224520315713</v>
      </c>
      <c r="HA90" s="62">
        <f t="shared" si="106"/>
        <v>141.82763623159096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-2.8421709430404007E-14</v>
      </c>
      <c r="O91" s="14">
        <f>N91*VLOOKUP('Données projet'!$B$9,Paramètres!$A$1:$I$89,3,0)*VLOOKUP('Données projet'!$B$9,Paramètres!$A$1:$I$89,5,0)</f>
        <v>-2.7489477361086758E-14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84.959354125980269</v>
      </c>
      <c r="T91" s="62">
        <f t="shared" si="88"/>
        <v>89.658970210276806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9.4513389337642302</v>
      </c>
      <c r="AB91" s="23">
        <f>EXP(-LN(2)/2)*AB90+(1-EXP(-LN(2)/2))/(LN(2)/2)*V91*Y91*VLOOKUP('Données projet'!$B$9,Paramètres!$A$1:$I$89,3,0)*0.475*44/12</f>
        <v>6.3890052709094248E-3</v>
      </c>
      <c r="AC91" s="24">
        <f t="shared" si="57"/>
        <v>9.4577279390351396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12.027399999999998</v>
      </c>
      <c r="AI91" s="14">
        <f>IF('Données projet'!$A$62&gt;35,AI90+AH91-AQ90,IF(A91&lt;'Données projet'!$A$62,$AF$205^A91,IF(A91='Données projet'!$A$62,'Données projet'!$B$62,AI90+AH91-AQ90)))</f>
        <v>250.14919999999995</v>
      </c>
      <c r="AJ91" s="14">
        <f>AI91*VLOOKUP('Données projet'!$B$10,Paramètres!$A$1:$I$89,3,0)*VLOOKUP('Données projet'!$B$10,Paramètres!$A$1:$I$89,5,0)</f>
        <v>238.04197871999997</v>
      </c>
      <c r="AK91" s="14">
        <f t="shared" si="89"/>
        <v>58.018052024399033</v>
      </c>
      <c r="AL91" s="22">
        <f t="shared" si="58"/>
        <v>515.63788687982822</v>
      </c>
      <c r="AM91" s="62">
        <f t="shared" si="59"/>
        <v>789.31961924902191</v>
      </c>
      <c r="AN91" s="62">
        <f ca="1">AVERAGE(OFFSET($AM$3,0,0,'Données projet'!$E$10+1,1))-AVERAGE(OFFSET($H$3,0,0,'Données projet'!$E$10+1,1))</f>
        <v>592.76231355549089</v>
      </c>
      <c r="AO91" s="62">
        <f t="shared" si="90"/>
        <v>200.66895551079014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49.402342429330723</v>
      </c>
      <c r="AV91" s="23">
        <f>EXP(-LN(2)/25)*AV90+(1-EXP(-LN(2)/25))/(LN(2)/25)*Calculateur!AQ91*Calculateur!AS91*VLOOKUP('Données projet'!$B$10,Paramètres!$A$1:$I$89,3,0)*0.475*44/12</f>
        <v>30.567654095549251</v>
      </c>
      <c r="AW91" s="23">
        <f>EXP(-LN(2)/2)*AW90+(1-EXP(-LN(2)/2))/(LN(2)/2)*AQ91*AT91*VLOOKUP('Données projet'!$B$10,Paramètres!$A$1:$I$89,3,0)*0.475*44/12</f>
        <v>7.848698016192367E-4</v>
      </c>
      <c r="AX91" s="23">
        <f t="shared" si="60"/>
        <v>79.970781394681595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4.7600000000000025</v>
      </c>
      <c r="BD91" s="13">
        <f>IF('Données projet'!$A$88&gt;35,BD90+BC91-BL90,IF(A91&lt;'Données projet'!$A$88,$BA$205^A91,IF(A91='Données projet'!$A$88,'Données projet'!$B$88,BD90+BC91-BL90)))</f>
        <v>165.55000000000007</v>
      </c>
      <c r="BE91" s="14">
        <f>BD91*VLOOKUP('Données projet'!$B$11,Paramètres!$A$1:$I$89,3,0)*VLOOKUP('Données projet'!$B$11,Paramètres!$A$1:$I$89,5,0)</f>
        <v>149.78964000000005</v>
      </c>
      <c r="BF91" s="14">
        <f t="shared" si="91"/>
        <v>38.530776652133547</v>
      </c>
      <c r="BG91" s="22">
        <f t="shared" si="61"/>
        <v>327.99139233579933</v>
      </c>
      <c r="BH91" s="62">
        <f t="shared" si="62"/>
        <v>601.67312470499303</v>
      </c>
      <c r="BI91" s="62">
        <f ca="1">AVERAGE(OFFSET($BH$3,0,0,'Données projet'!$E$11+1,1))-AVERAGE(OFFSET($H$3,0,0,'Données projet'!$E$11+1,1))</f>
        <v>316.71836722354374</v>
      </c>
      <c r="BJ91" s="62">
        <f t="shared" si="92"/>
        <v>164.34067012996618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11.568891864556841</v>
      </c>
      <c r="BQ91" s="23">
        <f>EXP(-LN(2)/25)*BQ90+(1-EXP(-LN(2)/25))/(LN(2)/25)*Calculateur!BL91*Calculateur!BN91*VLOOKUP('Données projet'!$B$11,Paramètres!$A$1:$I$89,3,0)*0.475*44/12</f>
        <v>5.0610512883620817</v>
      </c>
      <c r="BR91" s="23">
        <f>EXP(-LN(2)/2)*BR90+(1-EXP(-LN(2)/2))/(LN(2)/2)*BL91*BO91*VLOOKUP('Données projet'!$B$11,Paramètres!$A$1:$I$89,3,0)*0.475*44/12</f>
        <v>5.0706783924649037E-5</v>
      </c>
      <c r="BS91" s="24">
        <f t="shared" si="63"/>
        <v>16.629993859702846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3.7879999999999994</v>
      </c>
      <c r="BY91" s="13">
        <f>IF('Données projet'!$A$114&gt;35,BY90+BX91-CG90,IF(A91&lt;'Données projet'!$A$114,$BV$205^A91,IF(A91='Données projet'!$A$114,'Données projet'!$B$114,BY90+BX91-CG90)))</f>
        <v>185.53399999999993</v>
      </c>
      <c r="BZ91" s="14">
        <f>BY91*VLOOKUP('Données projet'!$B$12,Paramètres!$A$1:$I$89,3,0)*VLOOKUP('Données projet'!$B$12,Paramètres!$A$1:$I$89,5,0)</f>
        <v>211.28611919999992</v>
      </c>
      <c r="CA91" s="14">
        <f t="shared" si="93"/>
        <v>52.216535152465163</v>
      </c>
      <c r="CB91" s="22">
        <f t="shared" si="64"/>
        <v>458.93378966387667</v>
      </c>
      <c r="CC91" s="62">
        <f t="shared" si="65"/>
        <v>732.61552203307042</v>
      </c>
      <c r="CD91" s="62">
        <f ca="1">AVERAGE(OFFSET($CC$3,0,0,'Données projet'!$E$12+1,1))-AVERAGE(OFFSET($H$3,0,0,'Données projet'!$E$12+1,1))</f>
        <v>454.9779384236806</v>
      </c>
      <c r="CE91" s="62">
        <f t="shared" si="94"/>
        <v>379.32753348721906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17.520937830399578</v>
      </c>
      <c r="CM91" s="23">
        <f>EXP(-LN(2)/2)*CM90+(1-EXP(-LN(2)/2))/(LN(2)/2)*CG91*CJ91*VLOOKUP('Données projet'!$B$12,Paramètres!$A$1:$I$89,3,0)*0.475*44/12</f>
        <v>7.9463983257773219</v>
      </c>
      <c r="CN91" s="24">
        <f t="shared" si="66"/>
        <v>25.467336156176898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252.10592533338991</v>
      </c>
      <c r="CZ91" s="62">
        <f t="shared" si="96"/>
        <v>272.71831345325313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68.305375896169181</v>
      </c>
      <c r="DH91" s="23">
        <f>EXP(-LN(2)/2)*DH90+(1-EXP(-LN(2)/2))/(LN(2)/2)*DB91*DE91*VLOOKUP('Données projet'!$B$13,Paramètres!$A$1:$I$89,3,0)*0.475*44/12</f>
        <v>1.0321257132869745E-3</v>
      </c>
      <c r="DI91" s="24">
        <f t="shared" si="69"/>
        <v>68.306408021882461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projet'!$B$14,Paramètres!$A$1:$I$89,3,0)*VLOOKUP('Données projet'!$B$14,Paramètres!$A$1:$I$89,5,0)</f>
        <v>0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423.0896575168394</v>
      </c>
      <c r="DU91" s="62">
        <f t="shared" si="98"/>
        <v>305.98537395014284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130.08607346925578</v>
      </c>
      <c r="EB91" s="23">
        <f>EXP(-LN(2)/25)*EB90+(1-EXP(-LN(2)/25))/(LN(2)/25)*Calculateur!DW91*Calculateur!DY91*VLOOKUP('Données projet'!$B$14,Paramètres!$A$1:$I$89,3,0)*0.475*44/12</f>
        <v>143.29510316311186</v>
      </c>
      <c r="EC91" s="23">
        <f>EXP(-LN(2)/2)*EC90+(1-EXP(-LN(2)/2))/(LN(2)/2)*DW91*DZ91*VLOOKUP('Données projet'!$B$14,Paramètres!$A$1:$I$89,3,0)*0.475*44/12</f>
        <v>2.0235139174663294E-4</v>
      </c>
      <c r="ED91" s="24">
        <f t="shared" si="72"/>
        <v>273.38137898375942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2.2737367544323206E-13</v>
      </c>
      <c r="EK91" s="18">
        <f>EJ91*VLOOKUP('Données projet'!$B$15,Paramètres!$A$1:$I$89,3,0)*VLOOKUP('Données projet'!$B$15,Paramètres!$A$1:$I$89,5,0)</f>
        <v>1.3596945791505279E-13</v>
      </c>
      <c r="EL91" s="14">
        <f t="shared" si="99"/>
        <v>1.9708830566360721E-12</v>
      </c>
      <c r="EM91" s="22">
        <f t="shared" si="73"/>
        <v>3.669434796176543E-12</v>
      </c>
      <c r="EN91" s="62">
        <f t="shared" si="74"/>
        <v>273.68173236919739</v>
      </c>
      <c r="EO91" s="62">
        <f ca="1">AVERAGE(OFFSET($EN$3,0,0,'Données projet'!$E$15+1,1))-AVERAGE(OFFSET($H$3,0,0,'Données projet'!$E$15+1,1))</f>
        <v>281.21543175875604</v>
      </c>
      <c r="EP91" s="62">
        <f t="shared" si="100"/>
        <v>366.68536296857428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54.843757787948739</v>
      </c>
      <c r="EW91" s="23">
        <f>EXP(-LN(2)/25)*EW90+(1-EXP(-LN(2)/25))/(LN(2)/25)*Calculateur!ER91*Calculateur!ET91*VLOOKUP('Données projet'!$B$15,Paramètres!$A$1:$I$89,3,0)*0.475*44/12</f>
        <v>14.874081571386712</v>
      </c>
      <c r="EX91" s="23">
        <f>EXP(-LN(2)/2)*EX90+(1-EXP(-LN(2)/2))/(LN(2)/2)*ER91*EU91*VLOOKUP('Données projet'!$B$15,Paramètres!$A$1:$I$89,3,0)*0.475*44/12</f>
        <v>3.1842325312333671E-4</v>
      </c>
      <c r="EY91" s="24">
        <f t="shared" si="75"/>
        <v>69.718157782588577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2.2737367544323206E-13</v>
      </c>
      <c r="FF91" s="18">
        <f>FE91*VLOOKUP('Données projet'!$B$16,Paramètres!$A$1:$I$89,3,0)*VLOOKUP('Données projet'!$B$16,Paramètres!$A$1:$I$89,5,0)</f>
        <v>1.2710188457276673E-13</v>
      </c>
      <c r="FG91" s="14">
        <f t="shared" si="101"/>
        <v>1.856866851063998E-12</v>
      </c>
      <c r="FH91" s="22">
        <f t="shared" si="76"/>
        <v>3.4554122145673649E-12</v>
      </c>
      <c r="FI91" s="62">
        <f t="shared" si="77"/>
        <v>273.68173236919716</v>
      </c>
      <c r="FJ91" s="62">
        <f ca="1">AVERAGE(OFFSET($FI$3,0,0,'Données projet'!$E$16+1,1))-AVERAGE(OFFSET($H$3,0,0,'Données projet'!$E$16+1,1))</f>
        <v>280.9225643428145</v>
      </c>
      <c r="FK91" s="62">
        <f t="shared" si="102"/>
        <v>236.89414218053955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171.56295332515117</v>
      </c>
      <c r="FR91" s="23">
        <f>EXP(-LN(2)/25)*FR90+(1-EXP(-LN(2)/25))/(LN(2)/25)*Calculateur!FM91*Calculateur!FO91*VLOOKUP('Données projet'!$B$16,Paramètres!$A$1:$I$89,3,0)*0.475*44/12</f>
        <v>47.605183841098388</v>
      </c>
      <c r="FS91" s="23">
        <f>EXP(-LN(2)/2)*FS90+(1-EXP(-LN(2)/2))/(LN(2)/2)*FM91*FP91*VLOOKUP('Données projet'!$B$16,Paramètres!$A$1:$I$89,3,0)*0.475*44/12</f>
        <v>8.3820457007593648E-6</v>
      </c>
      <c r="FT91" s="24">
        <f t="shared" si="78"/>
        <v>219.16814554829526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-5.6843418860808015E-13</v>
      </c>
      <c r="GA91" s="18">
        <f>FZ91*VLOOKUP('Données projet'!$B$17,Paramètres!$A$1:$I$89,3,0)*VLOOKUP('Données projet'!$B$17,Paramètres!$A$1:$I$89,5,0)</f>
        <v>-2.5124791136477147E-13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325.67421864225201</v>
      </c>
      <c r="GF91" s="62">
        <f t="shared" si="104"/>
        <v>542.01920418736745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111.03383828713618</v>
      </c>
      <c r="GM91" s="23">
        <f>EXP(-LN(2)/25)*GM90+(1-EXP(-LN(2)/25))/(LN(2)/25)*Calculateur!GH91*Calculateur!GJ91*VLOOKUP('Données projet'!$B$17,Paramètres!$A$1:$I$89,3,0)*0.475*44/12</f>
        <v>55.792789072102188</v>
      </c>
      <c r="GN91" s="23">
        <f>EXP(-LN(2)/2)*GN90+(1-EXP(-LN(2)/2))/(LN(2)/2)*GH91*GK91*VLOOKUP('Données projet'!$B$17,Paramètres!$A$1:$I$89,3,0)*0.475*44/12</f>
        <v>8.5373653770037243E-6</v>
      </c>
      <c r="GO91" s="23">
        <f t="shared" si="81"/>
        <v>166.82663589660373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2.9299999999999984</v>
      </c>
      <c r="GU91" s="13">
        <f>IF('Données projet'!$A$270&gt;35,GU90+GT91-HC90,IF(A91&lt;'Données projet'!$A$270,$GR$205^A91,IF(A91='Données projet'!$A$270,'Données projet'!$B$270,GU90+GT91-HC90)))</f>
        <v>105.21999999999996</v>
      </c>
      <c r="GV91" s="18">
        <f>GU91*VLOOKUP('Données projet'!$B$18,Paramètres!$A$1:$I$89,3,0)*VLOOKUP('Données projet'!$B$18,Paramètres!$A$1:$I$89,5,0)</f>
        <v>106.69307999999997</v>
      </c>
      <c r="GW91" s="14">
        <f t="shared" si="105"/>
        <v>28.550469704990146</v>
      </c>
      <c r="GX91" s="22">
        <f t="shared" si="82"/>
        <v>235.54918240285778</v>
      </c>
      <c r="GY91" s="62">
        <f t="shared" si="83"/>
        <v>509.23091477205151</v>
      </c>
      <c r="GZ91" s="62">
        <f ca="1">AVERAGE(OFFSET($GY$3,0,0,'Données projet'!$E$18+1,1))-AVERAGE(OFFSET($H$3,0,0,'Données projet'!$E$18+1,1))</f>
        <v>220.89224520315713</v>
      </c>
      <c r="HA91" s="62">
        <f t="shared" si="106"/>
        <v>141.82763623159096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-2.8421709430404007E-14</v>
      </c>
      <c r="O92" s="14">
        <f>N92*VLOOKUP('Données projet'!$B$9,Paramètres!$A$1:$I$89,3,0)*VLOOKUP('Données projet'!$B$9,Paramètres!$A$1:$I$89,5,0)</f>
        <v>-2.7489477361086758E-14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84.959354125980269</v>
      </c>
      <c r="T92" s="62">
        <f t="shared" si="88"/>
        <v>89.658970210276806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9.1928915735961336</v>
      </c>
      <c r="AB92" s="23">
        <f>EXP(-LN(2)/2)*AB91+(1-EXP(-LN(2)/2))/(LN(2)/2)*V92*Y92*VLOOKUP('Données projet'!$B$9,Paramètres!$A$1:$I$89,3,0)*0.475*44/12</f>
        <v>4.5177089520966494E-3</v>
      </c>
      <c r="AC92" s="24">
        <f t="shared" si="57"/>
        <v>9.1974092825482305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12.027399999999998</v>
      </c>
      <c r="AI92" s="14">
        <f>IF('Données projet'!$A$62&gt;35,AI91+AH92-AQ91,IF(A92&lt;'Données projet'!$A$62,$AF$205^A92,IF(A92='Données projet'!$A$62,'Données projet'!$B$62,AI91+AH92-AQ91)))</f>
        <v>262.17659999999995</v>
      </c>
      <c r="AJ92" s="14">
        <f>AI92*VLOOKUP('Données projet'!$B$10,Paramètres!$A$1:$I$89,3,0)*VLOOKUP('Données projet'!$B$10,Paramètres!$A$1:$I$89,5,0)</f>
        <v>249.48725255999997</v>
      </c>
      <c r="AK92" s="14">
        <f t="shared" si="89"/>
        <v>60.476130589015291</v>
      </c>
      <c r="AL92" s="22">
        <f t="shared" si="58"/>
        <v>539.85289231786828</v>
      </c>
      <c r="AM92" s="62">
        <f t="shared" si="59"/>
        <v>813.87553602939192</v>
      </c>
      <c r="AN92" s="62">
        <f ca="1">AVERAGE(OFFSET($AM$3,0,0,'Données projet'!$E$10+1,1))-AVERAGE(OFFSET($H$3,0,0,'Données projet'!$E$10+1,1))</f>
        <v>592.76231355549089</v>
      </c>
      <c r="AO92" s="62">
        <f t="shared" si="90"/>
        <v>200.66895551079014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48.433592626745096</v>
      </c>
      <c r="AV92" s="23">
        <f>EXP(-LN(2)/25)*AV91+(1-EXP(-LN(2)/25))/(LN(2)/25)*Calculateur!AQ92*Calculateur!AS92*VLOOKUP('Données projet'!$B$10,Paramètres!$A$1:$I$89,3,0)*0.475*44/12</f>
        <v>29.731779986823391</v>
      </c>
      <c r="AW92" s="23">
        <f>EXP(-LN(2)/2)*AW91+(1-EXP(-LN(2)/2))/(LN(2)/2)*AQ92*AT92*VLOOKUP('Données projet'!$B$10,Paramètres!$A$1:$I$89,3,0)*0.475*44/12</f>
        <v>5.5498675907350256E-4</v>
      </c>
      <c r="AX92" s="23">
        <f t="shared" si="60"/>
        <v>78.165927600327549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4.7600000000000025</v>
      </c>
      <c r="BD92" s="13">
        <f>IF('Données projet'!$A$88&gt;35,BD91+BC92-BL91,IF(A92&lt;'Données projet'!$A$88,$BA$205^A92,IF(A92='Données projet'!$A$88,'Données projet'!$B$88,BD91+BC92-BL91)))</f>
        <v>170.31000000000006</v>
      </c>
      <c r="BE92" s="14">
        <f>BD92*VLOOKUP('Données projet'!$B$11,Paramètres!$A$1:$I$89,3,0)*VLOOKUP('Données projet'!$B$11,Paramètres!$A$1:$I$89,5,0)</f>
        <v>154.09648800000005</v>
      </c>
      <c r="BF92" s="14">
        <f t="shared" si="91"/>
        <v>39.508062369360907</v>
      </c>
      <c r="BG92" s="22">
        <f t="shared" si="61"/>
        <v>337.19459189330365</v>
      </c>
      <c r="BH92" s="62">
        <f t="shared" si="62"/>
        <v>611.21723560482724</v>
      </c>
      <c r="BI92" s="62">
        <f ca="1">AVERAGE(OFFSET($BH$3,0,0,'Données projet'!$E$11+1,1))-AVERAGE(OFFSET($H$3,0,0,'Données projet'!$E$11+1,1))</f>
        <v>316.71836722354374</v>
      </c>
      <c r="BJ92" s="62">
        <f t="shared" si="92"/>
        <v>164.34067012996618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11.342032951420164</v>
      </c>
      <c r="BQ92" s="23">
        <f>EXP(-LN(2)/25)*BQ91+(1-EXP(-LN(2)/25))/(LN(2)/25)*Calculateur!BL92*Calculateur!BN92*VLOOKUP('Données projet'!$B$11,Paramètres!$A$1:$I$89,3,0)*0.475*44/12</f>
        <v>4.9226565747327005</v>
      </c>
      <c r="BR92" s="23">
        <f>EXP(-LN(2)/2)*BR91+(1-EXP(-LN(2)/2))/(LN(2)/2)*BL92*BO92*VLOOKUP('Données projet'!$B$11,Paramètres!$A$1:$I$89,3,0)*0.475*44/12</f>
        <v>3.5855110765280352E-5</v>
      </c>
      <c r="BS92" s="24">
        <f t="shared" si="63"/>
        <v>16.264725381263631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3.7879999999999994</v>
      </c>
      <c r="BY92" s="13">
        <f>IF('Données projet'!$A$114&gt;35,BY91+BX92-CG91,IF(A92&lt;'Données projet'!$A$114,$BV$205^A92,IF(A92='Données projet'!$A$114,'Données projet'!$B$114,BY91+BX92-CG91)))</f>
        <v>189.32199999999995</v>
      </c>
      <c r="BZ92" s="14">
        <f>BY92*VLOOKUP('Données projet'!$B$12,Paramètres!$A$1:$I$89,3,0)*VLOOKUP('Données projet'!$B$12,Paramètres!$A$1:$I$89,5,0)</f>
        <v>215.59989359999992</v>
      </c>
      <c r="CA92" s="14">
        <f t="shared" si="93"/>
        <v>53.157422752109838</v>
      </c>
      <c r="CB92" s="22">
        <f t="shared" si="64"/>
        <v>468.08565931325774</v>
      </c>
      <c r="CC92" s="62">
        <f t="shared" si="65"/>
        <v>742.10830302478132</v>
      </c>
      <c r="CD92" s="62">
        <f ca="1">AVERAGE(OFFSET($CC$3,0,0,'Données projet'!$E$12+1,1))-AVERAGE(OFFSET($H$3,0,0,'Données projet'!$E$12+1,1))</f>
        <v>454.9779384236806</v>
      </c>
      <c r="CE92" s="62">
        <f t="shared" si="94"/>
        <v>379.32753348721906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17.041826864041226</v>
      </c>
      <c r="CM92" s="23">
        <f>EXP(-LN(2)/2)*CM91+(1-EXP(-LN(2)/2))/(LN(2)/2)*CG92*CJ92*VLOOKUP('Données projet'!$B$12,Paramètres!$A$1:$I$89,3,0)*0.475*44/12</f>
        <v>5.6189521421665729</v>
      </c>
      <c r="CN92" s="24">
        <f t="shared" si="66"/>
        <v>22.6607790062078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252.10592533338991</v>
      </c>
      <c r="CZ92" s="62">
        <f t="shared" si="96"/>
        <v>272.71831345325313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66.437561800264831</v>
      </c>
      <c r="DH92" s="23">
        <f>EXP(-LN(2)/2)*DH91+(1-EXP(-LN(2)/2))/(LN(2)/2)*DB92*DE92*VLOOKUP('Données projet'!$B$13,Paramètres!$A$1:$I$89,3,0)*0.475*44/12</f>
        <v>7.2982309090222194E-4</v>
      </c>
      <c r="DI92" s="24">
        <f t="shared" si="69"/>
        <v>66.438291623355738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projet'!$B$14,Paramètres!$A$1:$I$89,3,0)*VLOOKUP('Données projet'!$B$14,Paramètres!$A$1:$I$89,5,0)</f>
        <v>0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423.0896575168394</v>
      </c>
      <c r="DU92" s="62">
        <f t="shared" si="98"/>
        <v>305.98537395014284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127.53516491319385</v>
      </c>
      <c r="EB92" s="23">
        <f>EXP(-LN(2)/25)*EB91+(1-EXP(-LN(2)/25))/(LN(2)/25)*Calculateur!DW92*Calculateur!DY92*VLOOKUP('Données projet'!$B$14,Paramètres!$A$1:$I$89,3,0)*0.475*44/12</f>
        <v>139.3766910315546</v>
      </c>
      <c r="EC92" s="23">
        <f>EXP(-LN(2)/2)*EC91+(1-EXP(-LN(2)/2))/(LN(2)/2)*DW92*DZ92*VLOOKUP('Données projet'!$B$14,Paramètres!$A$1:$I$89,3,0)*0.475*44/12</f>
        <v>1.4308404128657973E-4</v>
      </c>
      <c r="ED92" s="24">
        <f t="shared" si="72"/>
        <v>266.91199902878975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2.2737367544323206E-13</v>
      </c>
      <c r="EK92" s="18">
        <f>EJ92*VLOOKUP('Données projet'!$B$15,Paramètres!$A$1:$I$89,3,0)*VLOOKUP('Données projet'!$B$15,Paramètres!$A$1:$I$89,5,0)</f>
        <v>1.3596945791505279E-13</v>
      </c>
      <c r="EL92" s="14">
        <f t="shared" si="99"/>
        <v>1.9708830566360721E-12</v>
      </c>
      <c r="EM92" s="22">
        <f t="shared" si="73"/>
        <v>3.669434796176543E-12</v>
      </c>
      <c r="EN92" s="62">
        <f t="shared" si="74"/>
        <v>274.02264371152728</v>
      </c>
      <c r="EO92" s="62">
        <f ca="1">AVERAGE(OFFSET($EN$3,0,0,'Données projet'!$E$15+1,1))-AVERAGE(OFFSET($H$3,0,0,'Données projet'!$E$15+1,1))</f>
        <v>281.21543175875604</v>
      </c>
      <c r="EP92" s="62">
        <f t="shared" si="100"/>
        <v>366.68536296857428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53.768305149116266</v>
      </c>
      <c r="EW92" s="23">
        <f>EXP(-LN(2)/25)*EW91+(1-EXP(-LN(2)/25))/(LN(2)/25)*Calculateur!ER92*Calculateur!ET92*VLOOKUP('Données projet'!$B$15,Paramètres!$A$1:$I$89,3,0)*0.475*44/12</f>
        <v>14.467349028623188</v>
      </c>
      <c r="EX92" s="23">
        <f>EXP(-LN(2)/2)*EX91+(1-EXP(-LN(2)/2))/(LN(2)/2)*ER92*EU92*VLOOKUP('Données projet'!$B$15,Paramètres!$A$1:$I$89,3,0)*0.475*44/12</f>
        <v>2.2515924157099189E-4</v>
      </c>
      <c r="EY92" s="24">
        <f t="shared" si="75"/>
        <v>68.235879336981014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2.2737367544323206E-13</v>
      </c>
      <c r="FF92" s="18">
        <f>FE92*VLOOKUP('Données projet'!$B$16,Paramètres!$A$1:$I$89,3,0)*VLOOKUP('Données projet'!$B$16,Paramètres!$A$1:$I$89,5,0)</f>
        <v>1.2710188457276673E-13</v>
      </c>
      <c r="FG92" s="14">
        <f t="shared" si="101"/>
        <v>1.856866851063998E-12</v>
      </c>
      <c r="FH92" s="22">
        <f t="shared" si="76"/>
        <v>3.4554122145673649E-12</v>
      </c>
      <c r="FI92" s="62">
        <f t="shared" si="77"/>
        <v>274.02264371152705</v>
      </c>
      <c r="FJ92" s="62">
        <f ca="1">AVERAGE(OFFSET($FI$3,0,0,'Données projet'!$E$16+1,1))-AVERAGE(OFFSET($H$3,0,0,'Données projet'!$E$16+1,1))</f>
        <v>280.9225643428145</v>
      </c>
      <c r="FK92" s="62">
        <f t="shared" si="102"/>
        <v>236.89414218053955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168.19870845351383</v>
      </c>
      <c r="FR92" s="23">
        <f>EXP(-LN(2)/25)*FR91+(1-EXP(-LN(2)/25))/(LN(2)/25)*Calculateur!FM92*Calculateur!FO92*VLOOKUP('Données projet'!$B$16,Paramètres!$A$1:$I$89,3,0)*0.475*44/12</f>
        <v>46.303417585515739</v>
      </c>
      <c r="FS92" s="23">
        <f>EXP(-LN(2)/2)*FS91+(1-EXP(-LN(2)/2))/(LN(2)/2)*FM92*FP92*VLOOKUP('Données projet'!$B$16,Paramètres!$A$1:$I$89,3,0)*0.475*44/12</f>
        <v>5.9270013552224936E-6</v>
      </c>
      <c r="FT92" s="24">
        <f t="shared" si="78"/>
        <v>214.50213196603093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-5.6843418860808015E-13</v>
      </c>
      <c r="GA92" s="18">
        <f>FZ92*VLOOKUP('Données projet'!$B$17,Paramètres!$A$1:$I$89,3,0)*VLOOKUP('Données projet'!$B$17,Paramètres!$A$1:$I$89,5,0)</f>
        <v>-2.5124791136477147E-13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325.67421864225201</v>
      </c>
      <c r="GF92" s="62">
        <f t="shared" si="104"/>
        <v>542.01920418736745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108.8565324422796</v>
      </c>
      <c r="GM92" s="23">
        <f>EXP(-LN(2)/25)*GM91+(1-EXP(-LN(2)/25))/(LN(2)/25)*Calculateur!GH92*Calculateur!GJ92*VLOOKUP('Données projet'!$B$17,Paramètres!$A$1:$I$89,3,0)*0.475*44/12</f>
        <v>54.267132320910292</v>
      </c>
      <c r="GN92" s="23">
        <f>EXP(-LN(2)/2)*GN91+(1-EXP(-LN(2)/2))/(LN(2)/2)*GH92*GK92*VLOOKUP('Données projet'!$B$17,Paramètres!$A$1:$I$89,3,0)*0.475*44/12</f>
        <v>6.0368289515465794E-6</v>
      </c>
      <c r="GO92" s="23">
        <f t="shared" si="81"/>
        <v>163.12367080001883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2.9299999999999984</v>
      </c>
      <c r="GU92" s="13">
        <f>IF('Données projet'!$A$270&gt;35,GU91+GT92-HC91,IF(A92&lt;'Données projet'!$A$270,$GR$205^A92,IF(A92='Données projet'!$A$270,'Données projet'!$B$270,GU91+GT92-HC91)))</f>
        <v>108.14999999999995</v>
      </c>
      <c r="GV92" s="18">
        <f>GU92*VLOOKUP('Données projet'!$B$18,Paramètres!$A$1:$I$89,3,0)*VLOOKUP('Données projet'!$B$18,Paramètres!$A$1:$I$89,5,0)</f>
        <v>109.66409999999996</v>
      </c>
      <c r="GW92" s="14">
        <f t="shared" si="105"/>
        <v>29.251829831619421</v>
      </c>
      <c r="GX92" s="22">
        <f t="shared" si="82"/>
        <v>241.9452444567371</v>
      </c>
      <c r="GY92" s="62">
        <f t="shared" si="83"/>
        <v>515.96788816826074</v>
      </c>
      <c r="GZ92" s="62">
        <f ca="1">AVERAGE(OFFSET($GY$3,0,0,'Données projet'!$E$18+1,1))-AVERAGE(OFFSET($H$3,0,0,'Données projet'!$E$18+1,1))</f>
        <v>220.89224520315713</v>
      </c>
      <c r="HA92" s="62">
        <f t="shared" si="106"/>
        <v>141.82763623159096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-2.8421709430404007E-14</v>
      </c>
      <c r="O93" s="14">
        <f>N93*VLOOKUP('Données projet'!$B$9,Paramètres!$A$1:$I$89,3,0)*VLOOKUP('Données projet'!$B$9,Paramètres!$A$1:$I$89,5,0)</f>
        <v>-2.7489477361086758E-14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84.959354125980269</v>
      </c>
      <c r="T93" s="62">
        <f t="shared" si="88"/>
        <v>89.658970210276806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8.9415114700829896</v>
      </c>
      <c r="AB93" s="23">
        <f>EXP(-LN(2)/2)*AB92+(1-EXP(-LN(2)/2))/(LN(2)/2)*V93*Y93*VLOOKUP('Données projet'!$B$9,Paramètres!$A$1:$I$89,3,0)*0.475*44/12</f>
        <v>3.1945026354547124E-3</v>
      </c>
      <c r="AC93" s="24">
        <f t="shared" si="57"/>
        <v>8.9447059727184435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12.027399999999998</v>
      </c>
      <c r="AI93" s="14">
        <f>IF('Données projet'!$A$62&gt;35,AI92+AH93-AQ92,IF(A93&lt;'Données projet'!$A$62,$AF$205^A93,IF(A93='Données projet'!$A$62,'Données projet'!$B$62,AI92+AH93-AQ92)))</f>
        <v>274.20399999999995</v>
      </c>
      <c r="AJ93" s="14">
        <f>AI93*VLOOKUP('Données projet'!$B$10,Paramètres!$A$1:$I$89,3,0)*VLOOKUP('Données projet'!$B$10,Paramètres!$A$1:$I$89,5,0)</f>
        <v>260.93252639999997</v>
      </c>
      <c r="AK93" s="14">
        <f t="shared" si="89"/>
        <v>62.921113462487924</v>
      </c>
      <c r="AL93" s="22">
        <f t="shared" si="58"/>
        <v>564.04508942716632</v>
      </c>
      <c r="AM93" s="62">
        <f t="shared" si="59"/>
        <v>838.40273043139405</v>
      </c>
      <c r="AN93" s="62">
        <f ca="1">AVERAGE(OFFSET($AM$3,0,0,'Données projet'!$E$10+1,1))-AVERAGE(OFFSET($H$3,0,0,'Données projet'!$E$10+1,1))</f>
        <v>592.76231355549089</v>
      </c>
      <c r="AO93" s="62">
        <f t="shared" si="90"/>
        <v>200.66895551079014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47.483839416909142</v>
      </c>
      <c r="AV93" s="23">
        <f>EXP(-LN(2)/25)*AV92+(1-EXP(-LN(2)/25))/(LN(2)/25)*Calculateur!AQ93*Calculateur!AS93*VLOOKUP('Données projet'!$B$10,Paramètres!$A$1:$I$89,3,0)*0.475*44/12</f>
        <v>28.918762899557347</v>
      </c>
      <c r="AW93" s="23">
        <f>EXP(-LN(2)/2)*AW92+(1-EXP(-LN(2)/2))/(LN(2)/2)*AQ93*AT93*VLOOKUP('Données projet'!$B$10,Paramètres!$A$1:$I$89,3,0)*0.475*44/12</f>
        <v>3.9243490080961835E-4</v>
      </c>
      <c r="AX93" s="23">
        <f t="shared" si="60"/>
        <v>76.402994751367288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175.07</v>
      </c>
      <c r="BB93" s="13">
        <f>VLOOKUP(A93,'Données projet'!$A$87:$I$107,9,0)</f>
        <v>4.7600000000000025</v>
      </c>
      <c r="BC93" s="13">
        <f t="array" ref="BC93">INDEX(BB:BB,MIN(IF(ISNUMBER(BB93:BB289),ROW(BB93:BB289),"")))</f>
        <v>4.7600000000000025</v>
      </c>
      <c r="BD93" s="13">
        <f>IF('Données projet'!$A$88&gt;35,BD92+BC93-BL92,IF(A93&lt;'Données projet'!$A$88,$BA$205^A93,IF(A93='Données projet'!$A$88,'Données projet'!$B$88,BD92+BC93-BL92)))</f>
        <v>175.07000000000005</v>
      </c>
      <c r="BE93" s="14">
        <f>BD93*VLOOKUP('Données projet'!$B$11,Paramètres!$A$1:$I$89,3,0)*VLOOKUP('Données projet'!$B$11,Paramètres!$A$1:$I$89,5,0)</f>
        <v>158.40333600000005</v>
      </c>
      <c r="BF93" s="14">
        <f t="shared" si="91"/>
        <v>40.482173443989396</v>
      </c>
      <c r="BG93" s="22">
        <f t="shared" si="61"/>
        <v>346.39226228161493</v>
      </c>
      <c r="BH93" s="62">
        <f t="shared" si="62"/>
        <v>620.74990328584261</v>
      </c>
      <c r="BI93" s="62">
        <f ca="1">AVERAGE(OFFSET($BH$3,0,0,'Données projet'!$E$11+1,1))-AVERAGE(OFFSET($H$3,0,0,'Données projet'!$E$11+1,1))</f>
        <v>316.71836722354374</v>
      </c>
      <c r="BJ93" s="62">
        <f t="shared" si="92"/>
        <v>164.34067012996618</v>
      </c>
      <c r="BK93" s="16">
        <f>IF(ISNA(VLOOKUP(A93,'Données projet'!$A$87:$I$107,3,0)),0,VLOOKUP(A93,'Données projet'!$A$87:$I$107,3,0))</f>
        <v>11</v>
      </c>
      <c r="BL93" s="16">
        <f>IF(ISNA(VLOOKUP(A93,'Données projet'!$A$87:$I$107,4,0)),0,VLOOKUP(A93,'Données projet'!$A$87:$I$107,4,0))</f>
        <v>19.260000000000002</v>
      </c>
      <c r="BM93" s="17">
        <f>IF(ISNA(VLOOKUP(A93,'Données projet'!$A$87:$I$107,5,0)),0%,VLOOKUP(A93,'Données projet'!$A$87:$I$107,5,0)*VLOOKUP('Données projet'!$B$11,Paramètres!$A$1:$I$89,7,0))</f>
        <v>0.25800000000000001</v>
      </c>
      <c r="BN93" s="17">
        <f>IF(ISNA(VLOOKUP(A93,'Données projet'!$A$87:$I$107,6,0)),0%,VLOOKUP(A93,'Données projet'!$A$87:$I$107,6,0)*VLOOKUP('Données projet'!$B$11,Paramètres!$A$1:$I$89,7,0))</f>
        <v>8.6000000000000007E-2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16.089843500993396</v>
      </c>
      <c r="BQ93" s="23">
        <f>EXP(-LN(2)/25)*BQ92+(1-EXP(-LN(2)/25))/(LN(2)/25)*Calculateur!BL93*Calculateur!BN93*VLOOKUP('Données projet'!$B$11,Paramètres!$A$1:$I$89,3,0)*0.475*44/12</f>
        <v>6.4382633532641522</v>
      </c>
      <c r="BR93" s="23">
        <f>EXP(-LN(2)/2)*BR92+(1-EXP(-LN(2)/2))/(LN(2)/2)*BL93*BO93*VLOOKUP('Données projet'!$B$11,Paramètres!$A$1:$I$89,3,0)*0.475*44/12</f>
        <v>2.5353391962324518E-5</v>
      </c>
      <c r="BS93" s="24">
        <f t="shared" si="63"/>
        <v>22.528132207649509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3.7879999999999994</v>
      </c>
      <c r="BY93" s="13">
        <f>IF('Données projet'!$A$114&gt;35,BY92+BX93-CG92,IF(A93&lt;'Données projet'!$A$114,$BV$205^A93,IF(A93='Données projet'!$A$114,'Données projet'!$B$114,BY92+BX93-CG92)))</f>
        <v>193.10999999999996</v>
      </c>
      <c r="BZ93" s="14">
        <f>BY93*VLOOKUP('Données projet'!$B$12,Paramètres!$A$1:$I$89,3,0)*VLOOKUP('Données projet'!$B$12,Paramètres!$A$1:$I$89,5,0)</f>
        <v>219.91366799999994</v>
      </c>
      <c r="CA93" s="14">
        <f t="shared" si="93"/>
        <v>54.096121458340754</v>
      </c>
      <c r="CB93" s="22">
        <f t="shared" si="64"/>
        <v>477.2337166399434</v>
      </c>
      <c r="CC93" s="62">
        <f t="shared" si="65"/>
        <v>751.59135764417101</v>
      </c>
      <c r="CD93" s="62">
        <f ca="1">AVERAGE(OFFSET($CC$3,0,0,'Données projet'!$E$12+1,1))-AVERAGE(OFFSET($H$3,0,0,'Données projet'!$E$12+1,1))</f>
        <v>454.9779384236806</v>
      </c>
      <c r="CE93" s="62">
        <f t="shared" si="94"/>
        <v>379.32753348721906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16.575817212253295</v>
      </c>
      <c r="CM93" s="23">
        <f>EXP(-LN(2)/2)*CM92+(1-EXP(-LN(2)/2))/(LN(2)/2)*CG93*CJ93*VLOOKUP('Données projet'!$B$12,Paramètres!$A$1:$I$89,3,0)*0.475*44/12</f>
        <v>3.9731991628886618</v>
      </c>
      <c r="CN93" s="24">
        <f t="shared" si="66"/>
        <v>20.549016375141957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252.10592533338991</v>
      </c>
      <c r="CZ93" s="62">
        <f t="shared" si="96"/>
        <v>272.71831345325313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64.62082317903706</v>
      </c>
      <c r="DH93" s="23">
        <f>EXP(-LN(2)/2)*DH92+(1-EXP(-LN(2)/2))/(LN(2)/2)*DB93*DE93*VLOOKUP('Données projet'!$B$13,Paramètres!$A$1:$I$89,3,0)*0.475*44/12</f>
        <v>5.1606285664348723E-4</v>
      </c>
      <c r="DI93" s="24">
        <f t="shared" si="69"/>
        <v>64.621339241893708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projet'!$B$14,Paramètres!$A$1:$I$89,3,0)*VLOOKUP('Données projet'!$B$14,Paramètres!$A$1:$I$89,5,0)</f>
        <v>0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423.0896575168394</v>
      </c>
      <c r="DU93" s="62">
        <f t="shared" si="98"/>
        <v>305.98537395014284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125.03427811801572</v>
      </c>
      <c r="EB93" s="23">
        <f>EXP(-LN(2)/25)*EB92+(1-EXP(-LN(2)/25))/(LN(2)/25)*Calculateur!DW93*Calculateur!DY93*VLOOKUP('Données projet'!$B$14,Paramètres!$A$1:$I$89,3,0)*0.475*44/12</f>
        <v>135.56542808579511</v>
      </c>
      <c r="EC93" s="23">
        <f>EXP(-LN(2)/2)*EC92+(1-EXP(-LN(2)/2))/(LN(2)/2)*DW93*DZ93*VLOOKUP('Données projet'!$B$14,Paramètres!$A$1:$I$89,3,0)*0.475*44/12</f>
        <v>1.0117569587331647E-4</v>
      </c>
      <c r="ED93" s="24">
        <f t="shared" si="72"/>
        <v>260.59980737950667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2.2737367544323206E-13</v>
      </c>
      <c r="EK93" s="18">
        <f>EJ93*VLOOKUP('Données projet'!$B$15,Paramètres!$A$1:$I$89,3,0)*VLOOKUP('Données projet'!$B$15,Paramètres!$A$1:$I$89,5,0)</f>
        <v>1.3596945791505279E-13</v>
      </c>
      <c r="EL93" s="14">
        <f t="shared" si="99"/>
        <v>1.9708830566360721E-12</v>
      </c>
      <c r="EM93" s="22">
        <f t="shared" si="73"/>
        <v>3.669434796176543E-12</v>
      </c>
      <c r="EN93" s="62">
        <f t="shared" si="74"/>
        <v>274.35764100423137</v>
      </c>
      <c r="EO93" s="62">
        <f ca="1">AVERAGE(OFFSET($EN$3,0,0,'Données projet'!$E$15+1,1))-AVERAGE(OFFSET($H$3,0,0,'Données projet'!$E$15+1,1))</f>
        <v>281.21543175875604</v>
      </c>
      <c r="EP93" s="62">
        <f t="shared" si="100"/>
        <v>366.68536296857428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52.713941480569957</v>
      </c>
      <c r="EW93" s="23">
        <f>EXP(-LN(2)/25)*EW92+(1-EXP(-LN(2)/25))/(LN(2)/25)*Calculateur!ER93*Calculateur!ET93*VLOOKUP('Données projet'!$B$15,Paramètres!$A$1:$I$89,3,0)*0.475*44/12</f>
        <v>14.071738608630667</v>
      </c>
      <c r="EX93" s="23">
        <f>EXP(-LN(2)/2)*EX92+(1-EXP(-LN(2)/2))/(LN(2)/2)*ER93*EU93*VLOOKUP('Données projet'!$B$15,Paramètres!$A$1:$I$89,3,0)*0.475*44/12</f>
        <v>1.5921162656166836E-4</v>
      </c>
      <c r="EY93" s="24">
        <f t="shared" si="75"/>
        <v>66.785839300827192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2.2737367544323206E-13</v>
      </c>
      <c r="FF93" s="18">
        <f>FE93*VLOOKUP('Données projet'!$B$16,Paramètres!$A$1:$I$89,3,0)*VLOOKUP('Données projet'!$B$16,Paramètres!$A$1:$I$89,5,0)</f>
        <v>1.2710188457276673E-13</v>
      </c>
      <c r="FG93" s="14">
        <f t="shared" si="101"/>
        <v>1.856866851063998E-12</v>
      </c>
      <c r="FH93" s="22">
        <f t="shared" si="76"/>
        <v>3.4554122145673649E-12</v>
      </c>
      <c r="FI93" s="62">
        <f t="shared" si="77"/>
        <v>274.35764100423114</v>
      </c>
      <c r="FJ93" s="62">
        <f ca="1">AVERAGE(OFFSET($FI$3,0,0,'Données projet'!$E$16+1,1))-AVERAGE(OFFSET($H$3,0,0,'Données projet'!$E$16+1,1))</f>
        <v>280.9225643428145</v>
      </c>
      <c r="FK93" s="62">
        <f t="shared" si="102"/>
        <v>236.89414218053955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164.90043437182254</v>
      </c>
      <c r="FR93" s="23">
        <f>EXP(-LN(2)/25)*FR92+(1-EXP(-LN(2)/25))/(LN(2)/25)*Calculateur!FM93*Calculateur!FO93*VLOOKUP('Données projet'!$B$16,Paramètres!$A$1:$I$89,3,0)*0.475*44/12</f>
        <v>45.03724819664891</v>
      </c>
      <c r="FS93" s="23">
        <f>EXP(-LN(2)/2)*FS92+(1-EXP(-LN(2)/2))/(LN(2)/2)*FM93*FP93*VLOOKUP('Données projet'!$B$16,Paramètres!$A$1:$I$89,3,0)*0.475*44/12</f>
        <v>4.1910228503796824E-6</v>
      </c>
      <c r="FT93" s="24">
        <f t="shared" si="78"/>
        <v>209.93768675949428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-5.6843418860808015E-13</v>
      </c>
      <c r="GA93" s="18">
        <f>FZ93*VLOOKUP('Données projet'!$B$17,Paramètres!$A$1:$I$89,3,0)*VLOOKUP('Données projet'!$B$17,Paramètres!$A$1:$I$89,5,0)</f>
        <v>-2.5124791136477147E-13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325.67421864225201</v>
      </c>
      <c r="GF93" s="62">
        <f t="shared" si="104"/>
        <v>542.01920418736745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106.72192223701524</v>
      </c>
      <c r="GM93" s="23">
        <f>EXP(-LN(2)/25)*GM92+(1-EXP(-LN(2)/25))/(LN(2)/25)*Calculateur!GH93*Calculateur!GJ93*VLOOKUP('Données projet'!$B$17,Paramètres!$A$1:$I$89,3,0)*0.475*44/12</f>
        <v>52.783194733810539</v>
      </c>
      <c r="GN93" s="23">
        <f>EXP(-LN(2)/2)*GN92+(1-EXP(-LN(2)/2))/(LN(2)/2)*GH93*GK93*VLOOKUP('Données projet'!$B$17,Paramètres!$A$1:$I$89,3,0)*0.475*44/12</f>
        <v>4.2686826885018621E-6</v>
      </c>
      <c r="GO93" s="23">
        <f t="shared" si="81"/>
        <v>159.50512123950847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111.08</v>
      </c>
      <c r="GS93" s="13">
        <f>VLOOKUP(A93,'Données projet'!$A$269:$I$289,9,0)</f>
        <v>2.9299999999999984</v>
      </c>
      <c r="GT93" s="13">
        <f t="array" ref="GT93">INDEX(GS:GS,MIN(IF(ISNUMBER(GS93:GS289),ROW(GS93:GS289),"")))</f>
        <v>2.9299999999999984</v>
      </c>
      <c r="GU93" s="13">
        <f>IF('Données projet'!$A$270&gt;35,GU92+GT93-HC92,IF(A93&lt;'Données projet'!$A$270,$GR$205^A93,IF(A93='Données projet'!$A$270,'Données projet'!$B$270,GU92+GT93-HC92)))</f>
        <v>111.07999999999994</v>
      </c>
      <c r="GV93" s="18">
        <f>GU93*VLOOKUP('Données projet'!$B$18,Paramètres!$A$1:$I$89,3,0)*VLOOKUP('Données projet'!$B$18,Paramètres!$A$1:$I$89,5,0)</f>
        <v>112.63511999999996</v>
      </c>
      <c r="GW93" s="14">
        <f t="shared" si="105"/>
        <v>29.950981410988653</v>
      </c>
      <c r="GX93" s="22">
        <f t="shared" si="82"/>
        <v>248.33745995747185</v>
      </c>
      <c r="GY93" s="62">
        <f t="shared" si="83"/>
        <v>522.6951009616995</v>
      </c>
      <c r="GZ93" s="62">
        <f ca="1">AVERAGE(OFFSET($GY$3,0,0,'Données projet'!$E$18+1,1))-AVERAGE(OFFSET($H$3,0,0,'Données projet'!$E$18+1,1))</f>
        <v>220.89224520315713</v>
      </c>
      <c r="HA93" s="62">
        <f t="shared" si="106"/>
        <v>141.82763623159096</v>
      </c>
      <c r="HB93" s="16">
        <f>IF(ISNA(VLOOKUP(A93,'Données projet'!$A$269:$I$289,3,0)),0,VLOOKUP(A93,'Données projet'!$A$269:$I$289,3,0))</f>
        <v>11</v>
      </c>
      <c r="HC93" s="16">
        <f>IF(ISNA(VLOOKUP(A93,'Données projet'!$A$269:$I$289,4,0)),0,VLOOKUP(A93,'Données projet'!$A$269:$I$289,4,0))</f>
        <v>12.22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-2.8421709430404007E-14</v>
      </c>
      <c r="O94" s="14">
        <f>N94*VLOOKUP('Données projet'!$B$9,Paramètres!$A$1:$I$89,3,0)*VLOOKUP('Données projet'!$B$9,Paramètres!$A$1:$I$89,5,0)</f>
        <v>-2.7489477361086758E-14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84.959354125980269</v>
      </c>
      <c r="T94" s="62">
        <f t="shared" si="88"/>
        <v>89.658970210276806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8.6970053687199176</v>
      </c>
      <c r="AB94" s="23">
        <f>EXP(-LN(2)/2)*AB93+(1-EXP(-LN(2)/2))/(LN(2)/2)*V94*Y94*VLOOKUP('Données projet'!$B$9,Paramètres!$A$1:$I$89,3,0)*0.475*44/12</f>
        <v>2.2588544760483247E-3</v>
      </c>
      <c r="AC94" s="24">
        <f t="shared" si="57"/>
        <v>8.699264223195966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12.027399999999998</v>
      </c>
      <c r="AI94" s="14">
        <f>IF('Données projet'!$A$62&gt;35,AI93+AH94-AQ93,IF(A94&lt;'Données projet'!$A$62,$AF$205^A94,IF(A94='Données projet'!$A$62,'Données projet'!$B$62,AI93+AH94-AQ93)))</f>
        <v>286.23139999999995</v>
      </c>
      <c r="AJ94" s="14">
        <f>AI94*VLOOKUP('Données projet'!$B$10,Paramètres!$A$1:$I$89,3,0)*VLOOKUP('Données projet'!$B$10,Paramètres!$A$1:$I$89,5,0)</f>
        <v>272.37780024</v>
      </c>
      <c r="AK94" s="14">
        <f t="shared" si="89"/>
        <v>65.353640707415863</v>
      </c>
      <c r="AL94" s="22">
        <f t="shared" si="58"/>
        <v>588.21559298341595</v>
      </c>
      <c r="AM94" s="62">
        <f t="shared" si="59"/>
        <v>862.90241982626094</v>
      </c>
      <c r="AN94" s="62">
        <f ca="1">AVERAGE(OFFSET($AM$3,0,0,'Données projet'!$E$10+1,1))-AVERAGE(OFFSET($H$3,0,0,'Données projet'!$E$10+1,1))</f>
        <v>592.76231355549089</v>
      </c>
      <c r="AO94" s="62">
        <f t="shared" si="90"/>
        <v>200.66895551079014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46.552710288225811</v>
      </c>
      <c r="AV94" s="23">
        <f>EXP(-LN(2)/25)*AV93+(1-EXP(-LN(2)/25))/(LN(2)/25)*Calculateur!AQ94*Calculateur!AS94*VLOOKUP('Données projet'!$B$10,Paramètres!$A$1:$I$89,3,0)*0.475*44/12</f>
        <v>28.127977807297306</v>
      </c>
      <c r="AW94" s="23">
        <f>EXP(-LN(2)/2)*AW93+(1-EXP(-LN(2)/2))/(LN(2)/2)*AQ94*AT94*VLOOKUP('Données projet'!$B$10,Paramètres!$A$1:$I$89,3,0)*0.475*44/12</f>
        <v>2.7749337953675128E-4</v>
      </c>
      <c r="AX94" s="23">
        <f t="shared" si="60"/>
        <v>74.680965588902666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4.7849999999999993</v>
      </c>
      <c r="BD94" s="13">
        <f>IF('Données projet'!$A$88&gt;35,BD93+BC94-BL93,IF(A94&lt;'Données projet'!$A$88,$BA$205^A94,IF(A94='Données projet'!$A$88,'Données projet'!$B$88,BD93+BC94-BL93)))</f>
        <v>160.59500000000006</v>
      </c>
      <c r="BE94" s="14">
        <f>BD94*VLOOKUP('Données projet'!$B$11,Paramètres!$A$1:$I$89,3,0)*VLOOKUP('Données projet'!$B$11,Paramètres!$A$1:$I$89,5,0)</f>
        <v>145.30635600000005</v>
      </c>
      <c r="BF94" s="14">
        <f t="shared" si="91"/>
        <v>37.509972670258939</v>
      </c>
      <c r="BG94" s="22">
        <f t="shared" si="61"/>
        <v>318.40510576736773</v>
      </c>
      <c r="BH94" s="62">
        <f t="shared" si="62"/>
        <v>593.09193261021278</v>
      </c>
      <c r="BI94" s="62">
        <f ca="1">AVERAGE(OFFSET($BH$3,0,0,'Données projet'!$E$11+1,1))-AVERAGE(OFFSET($H$3,0,0,'Données projet'!$E$11+1,1))</f>
        <v>316.71836722354374</v>
      </c>
      <c r="BJ94" s="62">
        <f t="shared" si="92"/>
        <v>164.34067012996618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15.774331483774416</v>
      </c>
      <c r="BQ94" s="23">
        <f>EXP(-LN(2)/25)*BQ93+(1-EXP(-LN(2)/25))/(LN(2)/25)*Calculateur!BL94*Calculateur!BN94*VLOOKUP('Données projet'!$B$11,Paramètres!$A$1:$I$89,3,0)*0.475*44/12</f>
        <v>6.2622087032955891</v>
      </c>
      <c r="BR94" s="23">
        <f>EXP(-LN(2)/2)*BR93+(1-EXP(-LN(2)/2))/(LN(2)/2)*BL94*BO94*VLOOKUP('Données projet'!$B$11,Paramètres!$A$1:$I$89,3,0)*0.475*44/12</f>
        <v>1.7927555382640176E-5</v>
      </c>
      <c r="BS94" s="24">
        <f t="shared" si="63"/>
        <v>22.036558114625389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3.7879999999999994</v>
      </c>
      <c r="BY94" s="13">
        <f>IF('Données projet'!$A$114&gt;35,BY93+BX94-CG93,IF(A94&lt;'Données projet'!$A$114,$BV$205^A94,IF(A94='Données projet'!$A$114,'Données projet'!$B$114,BY93+BX94-CG93)))</f>
        <v>196.89799999999997</v>
      </c>
      <c r="BZ94" s="14">
        <f>BY94*VLOOKUP('Données projet'!$B$12,Paramètres!$A$1:$I$89,3,0)*VLOOKUP('Données projet'!$B$12,Paramètres!$A$1:$I$89,5,0)</f>
        <v>224.22744239999997</v>
      </c>
      <c r="CA94" s="14">
        <f t="shared" si="93"/>
        <v>55.032679157332005</v>
      </c>
      <c r="CB94" s="22">
        <f t="shared" si="64"/>
        <v>486.37804504568641</v>
      </c>
      <c r="CC94" s="62">
        <f t="shared" si="65"/>
        <v>761.06487188853146</v>
      </c>
      <c r="CD94" s="62">
        <f ca="1">AVERAGE(OFFSET($CC$3,0,0,'Données projet'!$E$12+1,1))-AVERAGE(OFFSET($H$3,0,0,'Données projet'!$E$12+1,1))</f>
        <v>454.9779384236806</v>
      </c>
      <c r="CE94" s="62">
        <f t="shared" si="94"/>
        <v>379.32753348721906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16.122550618899886</v>
      </c>
      <c r="CM94" s="23">
        <f>EXP(-LN(2)/2)*CM93+(1-EXP(-LN(2)/2))/(LN(2)/2)*CG94*CJ94*VLOOKUP('Données projet'!$B$12,Paramètres!$A$1:$I$89,3,0)*0.475*44/12</f>
        <v>2.8094760710832869</v>
      </c>
      <c r="CN94" s="24">
        <f t="shared" si="66"/>
        <v>18.932026689983175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252.10592533338991</v>
      </c>
      <c r="CZ94" s="62">
        <f t="shared" si="96"/>
        <v>272.71831345325313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62.853763370944897</v>
      </c>
      <c r="DH94" s="23">
        <f>EXP(-LN(2)/2)*DH93+(1-EXP(-LN(2)/2))/(LN(2)/2)*DB94*DE94*VLOOKUP('Données projet'!$B$13,Paramètres!$A$1:$I$89,3,0)*0.475*44/12</f>
        <v>3.6491154545111097E-4</v>
      </c>
      <c r="DI94" s="24">
        <f t="shared" si="69"/>
        <v>62.85412828249035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projet'!$B$14,Paramètres!$A$1:$I$89,3,0)*VLOOKUP('Données projet'!$B$14,Paramètres!$A$1:$I$89,5,0)</f>
        <v>0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423.0896575168394</v>
      </c>
      <c r="DU94" s="62">
        <f t="shared" si="98"/>
        <v>305.98537395014284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122.5824321875007</v>
      </c>
      <c r="EB94" s="23">
        <f>EXP(-LN(2)/25)*EB93+(1-EXP(-LN(2)/25))/(LN(2)/25)*Calculateur!DW94*Calculateur!DY94*VLOOKUP('Données projet'!$B$14,Paramètres!$A$1:$I$89,3,0)*0.475*44/12</f>
        <v>131.85838432571302</v>
      </c>
      <c r="EC94" s="23">
        <f>EXP(-LN(2)/2)*EC93+(1-EXP(-LN(2)/2))/(LN(2)/2)*DW94*DZ94*VLOOKUP('Données projet'!$B$14,Paramètres!$A$1:$I$89,3,0)*0.475*44/12</f>
        <v>7.1542020643289867E-5</v>
      </c>
      <c r="ED94" s="24">
        <f t="shared" si="72"/>
        <v>254.44088805523435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2.2737367544323206E-13</v>
      </c>
      <c r="EK94" s="18">
        <f>EJ94*VLOOKUP('Données projet'!$B$15,Paramètres!$A$1:$I$89,3,0)*VLOOKUP('Données projet'!$B$15,Paramètres!$A$1:$I$89,5,0)</f>
        <v>1.3596945791505279E-13</v>
      </c>
      <c r="EL94" s="14">
        <f t="shared" si="99"/>
        <v>1.9708830566360721E-12</v>
      </c>
      <c r="EM94" s="22">
        <f t="shared" si="73"/>
        <v>3.669434796176543E-12</v>
      </c>
      <c r="EN94" s="62">
        <f t="shared" si="74"/>
        <v>274.68682684284875</v>
      </c>
      <c r="EO94" s="62">
        <f ca="1">AVERAGE(OFFSET($EN$3,0,0,'Données projet'!$E$15+1,1))-AVERAGE(OFFSET($H$3,0,0,'Données projet'!$E$15+1,1))</f>
        <v>281.21543175875604</v>
      </c>
      <c r="EP94" s="62">
        <f t="shared" si="100"/>
        <v>366.68536296857428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51.680253240465504</v>
      </c>
      <c r="EW94" s="23">
        <f>EXP(-LN(2)/25)*EW93+(1-EXP(-LN(2)/25))/(LN(2)/25)*Calculateur!ER94*Calculateur!ET94*VLOOKUP('Données projet'!$B$15,Paramètres!$A$1:$I$89,3,0)*0.475*44/12</f>
        <v>13.68694617637709</v>
      </c>
      <c r="EX94" s="23">
        <f>EXP(-LN(2)/2)*EX93+(1-EXP(-LN(2)/2))/(LN(2)/2)*ER94*EU94*VLOOKUP('Données projet'!$B$15,Paramètres!$A$1:$I$89,3,0)*0.475*44/12</f>
        <v>1.1257962078549595E-4</v>
      </c>
      <c r="EY94" s="24">
        <f t="shared" si="75"/>
        <v>65.367311996463386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2.2737367544323206E-13</v>
      </c>
      <c r="FF94" s="18">
        <f>FE94*VLOOKUP('Données projet'!$B$16,Paramètres!$A$1:$I$89,3,0)*VLOOKUP('Données projet'!$B$16,Paramètres!$A$1:$I$89,5,0)</f>
        <v>1.2710188457276673E-13</v>
      </c>
      <c r="FG94" s="14">
        <f t="shared" si="101"/>
        <v>1.856866851063998E-12</v>
      </c>
      <c r="FH94" s="22">
        <f t="shared" si="76"/>
        <v>3.4554122145673649E-12</v>
      </c>
      <c r="FI94" s="62">
        <f t="shared" si="77"/>
        <v>274.68682684284852</v>
      </c>
      <c r="FJ94" s="62">
        <f ca="1">AVERAGE(OFFSET($FI$3,0,0,'Données projet'!$E$16+1,1))-AVERAGE(OFFSET($H$3,0,0,'Données projet'!$E$16+1,1))</f>
        <v>280.9225643428145</v>
      </c>
      <c r="FK94" s="62">
        <f t="shared" si="102"/>
        <v>236.89414218053955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161.6668374331247</v>
      </c>
      <c r="FR94" s="23">
        <f>EXP(-LN(2)/25)*FR93+(1-EXP(-LN(2)/25))/(LN(2)/25)*Calculateur!FM94*Calculateur!FO94*VLOOKUP('Données projet'!$B$16,Paramètres!$A$1:$I$89,3,0)*0.475*44/12</f>
        <v>43.805702276305595</v>
      </c>
      <c r="FS94" s="23">
        <f>EXP(-LN(2)/2)*FS93+(1-EXP(-LN(2)/2))/(LN(2)/2)*FM94*FP94*VLOOKUP('Données projet'!$B$16,Paramètres!$A$1:$I$89,3,0)*0.475*44/12</f>
        <v>2.9635006776112468E-6</v>
      </c>
      <c r="FT94" s="24">
        <f t="shared" si="78"/>
        <v>205.47254267293098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-5.6843418860808015E-13</v>
      </c>
      <c r="GA94" s="18">
        <f>FZ94*VLOOKUP('Données projet'!$B$17,Paramètres!$A$1:$I$89,3,0)*VLOOKUP('Données projet'!$B$17,Paramètres!$A$1:$I$89,5,0)</f>
        <v>-2.5124791136477147E-13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325.67421864225201</v>
      </c>
      <c r="GF94" s="62">
        <f t="shared" si="104"/>
        <v>542.01920418736745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104.62917043589243</v>
      </c>
      <c r="GM94" s="23">
        <f>EXP(-LN(2)/25)*GM93+(1-EXP(-LN(2)/25))/(LN(2)/25)*Calculateur!GH94*Calculateur!GJ94*VLOOKUP('Données projet'!$B$17,Paramètres!$A$1:$I$89,3,0)*0.475*44/12</f>
        <v>51.339835498066918</v>
      </c>
      <c r="GN94" s="23">
        <f>EXP(-LN(2)/2)*GN93+(1-EXP(-LN(2)/2))/(LN(2)/2)*GH94*GK94*VLOOKUP('Données projet'!$B$17,Paramètres!$A$1:$I$89,3,0)*0.475*44/12</f>
        <v>3.0184144757732897E-6</v>
      </c>
      <c r="GO94" s="23">
        <f t="shared" si="81"/>
        <v>155.96900895237383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2.9209999999999994</v>
      </c>
      <c r="GU94" s="13">
        <f>IF('Données projet'!$A$270&gt;35,GU93+GT94-HC93,IF(A94&lt;'Données projet'!$A$270,$GR$205^A94,IF(A94='Données projet'!$A$270,'Données projet'!$B$270,GU93+GT94-HC93)))</f>
        <v>101.78099999999995</v>
      </c>
      <c r="GV94" s="18">
        <f>GU94*VLOOKUP('Données projet'!$B$18,Paramètres!$A$1:$I$89,3,0)*VLOOKUP('Données projet'!$B$18,Paramètres!$A$1:$I$89,5,0)</f>
        <v>103.20593399999997</v>
      </c>
      <c r="GW94" s="14">
        <f t="shared" si="105"/>
        <v>27.724358751889003</v>
      </c>
      <c r="GX94" s="22">
        <f t="shared" si="82"/>
        <v>228.03692654287329</v>
      </c>
      <c r="GY94" s="62">
        <f t="shared" si="83"/>
        <v>502.72375338571834</v>
      </c>
      <c r="GZ94" s="62">
        <f ca="1">AVERAGE(OFFSET($GY$3,0,0,'Données projet'!$E$18+1,1))-AVERAGE(OFFSET($H$3,0,0,'Données projet'!$E$18+1,1))</f>
        <v>220.89224520315713</v>
      </c>
      <c r="HA94" s="62">
        <f t="shared" si="106"/>
        <v>141.82763623159096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-2.8421709430404007E-14</v>
      </c>
      <c r="O95" s="14">
        <f>N95*VLOOKUP('Données projet'!$B$9,Paramètres!$A$1:$I$89,3,0)*VLOOKUP('Données projet'!$B$9,Paramètres!$A$1:$I$89,5,0)</f>
        <v>-2.7489477361086758E-14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84.959354125980269</v>
      </c>
      <c r="T95" s="62">
        <f t="shared" si="88"/>
        <v>89.658970210276806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8.459185299556637</v>
      </c>
      <c r="AB95" s="23">
        <f>EXP(-LN(2)/2)*AB94+(1-EXP(-LN(2)/2))/(LN(2)/2)*V95*Y95*VLOOKUP('Données projet'!$B$9,Paramètres!$A$1:$I$89,3,0)*0.475*44/12</f>
        <v>1.5972513177273562E-3</v>
      </c>
      <c r="AC95" s="24">
        <f t="shared" si="57"/>
        <v>8.4607825508743648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12.027399999999998</v>
      </c>
      <c r="AI95" s="14">
        <f>IF('Données projet'!$A$62&gt;35,AI94+AH95-AQ94,IF(A95&lt;'Données projet'!$A$62,$AF$205^A95,IF(A95='Données projet'!$A$62,'Données projet'!$B$62,AI94+AH95-AQ94)))</f>
        <v>298.25879999999995</v>
      </c>
      <c r="AJ95" s="14">
        <f>AI95*VLOOKUP('Données projet'!$B$10,Paramètres!$A$1:$I$89,3,0)*VLOOKUP('Données projet'!$B$10,Paramètres!$A$1:$I$89,5,0)</f>
        <v>283.82307407999997</v>
      </c>
      <c r="AK95" s="14">
        <f t="shared" si="89"/>
        <v>67.774295552762226</v>
      </c>
      <c r="AL95" s="22">
        <f t="shared" si="58"/>
        <v>612.36541877706077</v>
      </c>
      <c r="AM95" s="62">
        <f t="shared" si="59"/>
        <v>887.37572082017255</v>
      </c>
      <c r="AN95" s="62">
        <f ca="1">AVERAGE(OFFSET($AM$3,0,0,'Données projet'!$E$10+1,1))-AVERAGE(OFFSET($H$3,0,0,'Données projet'!$E$10+1,1))</f>
        <v>592.76231355549089</v>
      </c>
      <c r="AO95" s="62">
        <f t="shared" si="90"/>
        <v>200.66895551079014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45.639840033823269</v>
      </c>
      <c r="AV95" s="23">
        <f>EXP(-LN(2)/25)*AV94+(1-EXP(-LN(2)/25))/(LN(2)/25)*Calculateur!AQ95*Calculateur!AS95*VLOOKUP('Données projet'!$B$10,Paramètres!$A$1:$I$89,3,0)*0.475*44/12</f>
        <v>27.358816774970695</v>
      </c>
      <c r="AW95" s="23">
        <f>EXP(-LN(2)/2)*AW94+(1-EXP(-LN(2)/2))/(LN(2)/2)*AQ95*AT95*VLOOKUP('Données projet'!$B$10,Paramètres!$A$1:$I$89,3,0)*0.475*44/12</f>
        <v>1.9621745040480917E-4</v>
      </c>
      <c r="AX95" s="23">
        <f t="shared" si="60"/>
        <v>72.998853026244376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4.7849999999999993</v>
      </c>
      <c r="BD95" s="13">
        <f>IF('Données projet'!$A$88&gt;35,BD94+BC95-BL94,IF(A95&lt;'Données projet'!$A$88,$BA$205^A95,IF(A95='Données projet'!$A$88,'Données projet'!$B$88,BD94+BC95-BL94)))</f>
        <v>165.38000000000005</v>
      </c>
      <c r="BE95" s="14">
        <f>BD95*VLOOKUP('Données projet'!$B$11,Paramètres!$A$1:$I$89,3,0)*VLOOKUP('Données projet'!$B$11,Paramètres!$A$1:$I$89,5,0)</f>
        <v>149.63582400000004</v>
      </c>
      <c r="BF95" s="14">
        <f t="shared" si="91"/>
        <v>38.495813613424104</v>
      </c>
      <c r="BG95" s="22">
        <f t="shared" si="61"/>
        <v>327.66260217671373</v>
      </c>
      <c r="BH95" s="62">
        <f t="shared" si="62"/>
        <v>602.67290421982545</v>
      </c>
      <c r="BI95" s="62">
        <f ca="1">AVERAGE(OFFSET($BH$3,0,0,'Données projet'!$E$11+1,1))-AVERAGE(OFFSET($H$3,0,0,'Données projet'!$E$11+1,1))</f>
        <v>316.71836722354374</v>
      </c>
      <c r="BJ95" s="62">
        <f t="shared" si="92"/>
        <v>164.34067012996618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15.465006464769772</v>
      </c>
      <c r="BQ95" s="23">
        <f>EXP(-LN(2)/25)*BQ94+(1-EXP(-LN(2)/25))/(LN(2)/25)*Calculateur!BL95*Calculateur!BN95*VLOOKUP('Données projet'!$B$11,Paramètres!$A$1:$I$89,3,0)*0.475*44/12</f>
        <v>6.0909682769887281</v>
      </c>
      <c r="BR95" s="23">
        <f>EXP(-LN(2)/2)*BR94+(1-EXP(-LN(2)/2))/(LN(2)/2)*BL95*BO95*VLOOKUP('Données projet'!$B$11,Paramètres!$A$1:$I$89,3,0)*0.475*44/12</f>
        <v>1.2676695981162259E-5</v>
      </c>
      <c r="BS95" s="24">
        <f t="shared" si="63"/>
        <v>21.555987418454482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3.7879999999999994</v>
      </c>
      <c r="BY95" s="13">
        <f>IF('Données projet'!$A$114&gt;35,BY94+BX95-CG94,IF(A95&lt;'Données projet'!$A$114,$BV$205^A95,IF(A95='Données projet'!$A$114,'Données projet'!$B$114,BY94+BX95-CG94)))</f>
        <v>200.68599999999998</v>
      </c>
      <c r="BZ95" s="14">
        <f>BY95*VLOOKUP('Données projet'!$B$12,Paramètres!$A$1:$I$89,3,0)*VLOOKUP('Données projet'!$B$12,Paramètres!$A$1:$I$89,5,0)</f>
        <v>228.5412168</v>
      </c>
      <c r="CA95" s="14">
        <f t="shared" si="93"/>
        <v>55.967141787339784</v>
      </c>
      <c r="CB95" s="22">
        <f t="shared" si="64"/>
        <v>495.51872453961681</v>
      </c>
      <c r="CC95" s="62">
        <f t="shared" si="65"/>
        <v>770.52902658272853</v>
      </c>
      <c r="CD95" s="62">
        <f ca="1">AVERAGE(OFFSET($CC$3,0,0,'Données projet'!$E$12+1,1))-AVERAGE(OFFSET($H$3,0,0,'Données projet'!$E$12+1,1))</f>
        <v>454.9779384236806</v>
      </c>
      <c r="CE95" s="62">
        <f t="shared" si="94"/>
        <v>379.32753348721906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15.68167862437798</v>
      </c>
      <c r="CM95" s="23">
        <f>EXP(-LN(2)/2)*CM94+(1-EXP(-LN(2)/2))/(LN(2)/2)*CG95*CJ95*VLOOKUP('Données projet'!$B$12,Paramètres!$A$1:$I$89,3,0)*0.475*44/12</f>
        <v>1.9865995814443311</v>
      </c>
      <c r="CN95" s="24">
        <f t="shared" si="66"/>
        <v>17.668278205822311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252.10592533338991</v>
      </c>
      <c r="CZ95" s="62">
        <f t="shared" si="96"/>
        <v>272.71831345325313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61.13502390623065</v>
      </c>
      <c r="DH95" s="23">
        <f>EXP(-LN(2)/2)*DH94+(1-EXP(-LN(2)/2))/(LN(2)/2)*DB95*DE95*VLOOKUP('Données projet'!$B$13,Paramètres!$A$1:$I$89,3,0)*0.475*44/12</f>
        <v>2.5803142832174362E-4</v>
      </c>
      <c r="DI95" s="24">
        <f t="shared" si="69"/>
        <v>61.135281937658974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projet'!$B$14,Paramètres!$A$1:$I$89,3,0)*VLOOKUP('Données projet'!$B$14,Paramètres!$A$1:$I$89,5,0)</f>
        <v>0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423.0896575168394</v>
      </c>
      <c r="DU95" s="62">
        <f t="shared" si="98"/>
        <v>305.98537395014284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120.17866546020473</v>
      </c>
      <c r="EB95" s="23">
        <f>EXP(-LN(2)/25)*EB94+(1-EXP(-LN(2)/25))/(LN(2)/25)*Calculateur!DW95*Calculateur!DY95*VLOOKUP('Données projet'!$B$14,Paramètres!$A$1:$I$89,3,0)*0.475*44/12</f>
        <v>128.25270987219534</v>
      </c>
      <c r="EC95" s="23">
        <f>EXP(-LN(2)/2)*EC94+(1-EXP(-LN(2)/2))/(LN(2)/2)*DW95*DZ95*VLOOKUP('Données projet'!$B$14,Paramètres!$A$1:$I$89,3,0)*0.475*44/12</f>
        <v>5.0587847936658234E-5</v>
      </c>
      <c r="ED95" s="24">
        <f t="shared" si="72"/>
        <v>248.43142592024802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2.2737367544323206E-13</v>
      </c>
      <c r="EK95" s="18">
        <f>EJ95*VLOOKUP('Données projet'!$B$15,Paramètres!$A$1:$I$89,3,0)*VLOOKUP('Données projet'!$B$15,Paramètres!$A$1:$I$89,5,0)</f>
        <v>1.3596945791505279E-13</v>
      </c>
      <c r="EL95" s="14">
        <f t="shared" si="99"/>
        <v>1.9708830566360721E-12</v>
      </c>
      <c r="EM95" s="22">
        <f t="shared" si="73"/>
        <v>3.669434796176543E-12</v>
      </c>
      <c r="EN95" s="62">
        <f t="shared" si="74"/>
        <v>275.01030204311542</v>
      </c>
      <c r="EO95" s="62">
        <f ca="1">AVERAGE(OFFSET($EN$3,0,0,'Données projet'!$E$15+1,1))-AVERAGE(OFFSET($H$3,0,0,'Données projet'!$E$15+1,1))</f>
        <v>281.21543175875604</v>
      </c>
      <c r="EP95" s="62">
        <f t="shared" si="100"/>
        <v>366.68536296857428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50.666834996261926</v>
      </c>
      <c r="EW95" s="23">
        <f>EXP(-LN(2)/25)*EW94+(1-EXP(-LN(2)/25))/(LN(2)/25)*Calculateur!ER95*Calculateur!ET95*VLOOKUP('Données projet'!$B$15,Paramètres!$A$1:$I$89,3,0)*0.475*44/12</f>
        <v>13.312675913418841</v>
      </c>
      <c r="EX95" s="23">
        <f>EXP(-LN(2)/2)*EX94+(1-EXP(-LN(2)/2))/(LN(2)/2)*ER95*EU95*VLOOKUP('Données projet'!$B$15,Paramètres!$A$1:$I$89,3,0)*0.475*44/12</f>
        <v>7.9605813280834178E-5</v>
      </c>
      <c r="EY95" s="24">
        <f t="shared" si="75"/>
        <v>63.979590515494053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2.2737367544323206E-13</v>
      </c>
      <c r="FF95" s="18">
        <f>FE95*VLOOKUP('Données projet'!$B$16,Paramètres!$A$1:$I$89,3,0)*VLOOKUP('Données projet'!$B$16,Paramètres!$A$1:$I$89,5,0)</f>
        <v>1.2710188457276673E-13</v>
      </c>
      <c r="FG95" s="14">
        <f t="shared" si="101"/>
        <v>1.856866851063998E-12</v>
      </c>
      <c r="FH95" s="22">
        <f t="shared" si="76"/>
        <v>3.4554122145673649E-12</v>
      </c>
      <c r="FI95" s="62">
        <f t="shared" si="77"/>
        <v>275.01030204311519</v>
      </c>
      <c r="FJ95" s="62">
        <f ca="1">AVERAGE(OFFSET($FI$3,0,0,'Données projet'!$E$16+1,1))-AVERAGE(OFFSET($H$3,0,0,'Données projet'!$E$16+1,1))</f>
        <v>280.9225643428145</v>
      </c>
      <c r="FK95" s="62">
        <f t="shared" si="102"/>
        <v>236.89414218053955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158.49664935809531</v>
      </c>
      <c r="FR95" s="23">
        <f>EXP(-LN(2)/25)*FR94+(1-EXP(-LN(2)/25))/(LN(2)/25)*Calculateur!FM95*Calculateur!FO95*VLOOKUP('Données projet'!$B$16,Paramètres!$A$1:$I$89,3,0)*0.475*44/12</f>
        <v>42.607833043918255</v>
      </c>
      <c r="FS95" s="23">
        <f>EXP(-LN(2)/2)*FS94+(1-EXP(-LN(2)/2))/(LN(2)/2)*FM95*FP95*VLOOKUP('Données projet'!$B$16,Paramètres!$A$1:$I$89,3,0)*0.475*44/12</f>
        <v>2.0955114251898412E-6</v>
      </c>
      <c r="FT95" s="24">
        <f t="shared" si="78"/>
        <v>201.10448449752499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-5.6843418860808015E-13</v>
      </c>
      <c r="GA95" s="18">
        <f>FZ95*VLOOKUP('Données projet'!$B$17,Paramètres!$A$1:$I$89,3,0)*VLOOKUP('Données projet'!$B$17,Paramètres!$A$1:$I$89,5,0)</f>
        <v>-2.5124791136477147E-13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325.67421864225201</v>
      </c>
      <c r="GF95" s="62">
        <f t="shared" si="104"/>
        <v>542.01920418736745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102.5774562211371</v>
      </c>
      <c r="GM95" s="23">
        <f>EXP(-LN(2)/25)*GM94+(1-EXP(-LN(2)/25))/(LN(2)/25)*Calculateur!GH95*Calculateur!GJ95*VLOOKUP('Données projet'!$B$17,Paramètres!$A$1:$I$89,3,0)*0.475*44/12</f>
        <v>49.935944996527667</v>
      </c>
      <c r="GN95" s="23">
        <f>EXP(-LN(2)/2)*GN94+(1-EXP(-LN(2)/2))/(LN(2)/2)*GH95*GK95*VLOOKUP('Données projet'!$B$17,Paramètres!$A$1:$I$89,3,0)*0.475*44/12</f>
        <v>2.1343413442509311E-6</v>
      </c>
      <c r="GO95" s="23">
        <f t="shared" si="81"/>
        <v>152.51340335200609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2.9209999999999994</v>
      </c>
      <c r="GU95" s="13">
        <f>IF('Données projet'!$A$270&gt;35,GU94+GT95-HC94,IF(A95&lt;'Données projet'!$A$270,$GR$205^A95,IF(A95='Données projet'!$A$270,'Données projet'!$B$270,GU94+GT95-HC94)))</f>
        <v>104.70199999999994</v>
      </c>
      <c r="GV95" s="18">
        <f>GU95*VLOOKUP('Données projet'!$B$18,Paramètres!$A$1:$I$89,3,0)*VLOOKUP('Données projet'!$B$18,Paramètres!$A$1:$I$89,5,0)</f>
        <v>106.16782799999994</v>
      </c>
      <c r="GW95" s="14">
        <f t="shared" si="105"/>
        <v>28.426240109353227</v>
      </c>
      <c r="GX95" s="22">
        <f t="shared" si="82"/>
        <v>234.41800195712344</v>
      </c>
      <c r="GY95" s="62">
        <f t="shared" si="83"/>
        <v>509.42830400023513</v>
      </c>
      <c r="GZ95" s="62">
        <f ca="1">AVERAGE(OFFSET($GY$3,0,0,'Données projet'!$E$18+1,1))-AVERAGE(OFFSET($H$3,0,0,'Données projet'!$E$18+1,1))</f>
        <v>220.89224520315713</v>
      </c>
      <c r="HA95" s="62">
        <f t="shared" si="106"/>
        <v>141.82763623159096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-2.8421709430404007E-14</v>
      </c>
      <c r="O96" s="14">
        <f>N96*VLOOKUP('Données projet'!$B$9,Paramètres!$A$1:$I$89,3,0)*VLOOKUP('Données projet'!$B$9,Paramètres!$A$1:$I$89,5,0)</f>
        <v>-2.7489477361086758E-14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84.959354125980269</v>
      </c>
      <c r="T96" s="62">
        <f t="shared" si="88"/>
        <v>89.658970210276806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8.2278684326910394</v>
      </c>
      <c r="AB96" s="23">
        <f>EXP(-LN(2)/2)*AB95+(1-EXP(-LN(2)/2))/(LN(2)/2)*V96*Y96*VLOOKUP('Données projet'!$B$9,Paramètres!$A$1:$I$89,3,0)*0.475*44/12</f>
        <v>1.1294272380241624E-3</v>
      </c>
      <c r="AC96" s="24">
        <f t="shared" si="57"/>
        <v>8.2289978599290627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12.027399999999998</v>
      </c>
      <c r="AI96" s="14">
        <f>IF('Données projet'!$A$62&gt;35,AI95+AH96-AQ95,IF(A96&lt;'Données projet'!$A$62,$AF$205^A96,IF(A96='Données projet'!$A$62,'Données projet'!$B$62,AI95+AH96-AQ95)))</f>
        <v>310.28619999999995</v>
      </c>
      <c r="AJ96" s="14">
        <f>AI96*VLOOKUP('Données projet'!$B$10,Paramètres!$A$1:$I$89,3,0)*VLOOKUP('Données projet'!$B$10,Paramètres!$A$1:$I$89,5,0)</f>
        <v>295.26834791999994</v>
      </c>
      <c r="AK96" s="14">
        <f t="shared" si="89"/>
        <v>70.183611527398085</v>
      </c>
      <c r="AL96" s="22">
        <f t="shared" si="58"/>
        <v>636.49549603755156</v>
      </c>
      <c r="AM96" s="62">
        <f t="shared" si="59"/>
        <v>911.82366170938758</v>
      </c>
      <c r="AN96" s="62">
        <f ca="1">AVERAGE(OFFSET($AM$3,0,0,'Données projet'!$E$10+1,1))-AVERAGE(OFFSET($H$3,0,0,'Données projet'!$E$10+1,1))</f>
        <v>592.76231355549089</v>
      </c>
      <c r="AO96" s="62">
        <f t="shared" si="90"/>
        <v>200.66895551079014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44.744870608313683</v>
      </c>
      <c r="AV96" s="23">
        <f>EXP(-LN(2)/25)*AV95+(1-EXP(-LN(2)/25))/(LN(2)/25)*Calculateur!AQ96*Calculateur!AS96*VLOOKUP('Données projet'!$B$10,Paramètres!$A$1:$I$89,3,0)*0.475*44/12</f>
        <v>26.610688491521476</v>
      </c>
      <c r="AW96" s="23">
        <f>EXP(-LN(2)/2)*AW95+(1-EXP(-LN(2)/2))/(LN(2)/2)*AQ96*AT96*VLOOKUP('Données projet'!$B$10,Paramètres!$A$1:$I$89,3,0)*0.475*44/12</f>
        <v>1.3874668976837564E-4</v>
      </c>
      <c r="AX96" s="23">
        <f t="shared" si="60"/>
        <v>71.355697846524933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4.7849999999999993</v>
      </c>
      <c r="BD96" s="13">
        <f>IF('Données projet'!$A$88&gt;35,BD95+BC96-BL95,IF(A96&lt;'Données projet'!$A$88,$BA$205^A96,IF(A96='Données projet'!$A$88,'Données projet'!$B$88,BD95+BC96-BL95)))</f>
        <v>170.16500000000005</v>
      </c>
      <c r="BE96" s="14">
        <f>BD96*VLOOKUP('Données projet'!$B$11,Paramètres!$A$1:$I$89,3,0)*VLOOKUP('Données projet'!$B$11,Paramètres!$A$1:$I$89,5,0)</f>
        <v>153.96529200000003</v>
      </c>
      <c r="BF96" s="14">
        <f t="shared" si="91"/>
        <v>39.478339494219696</v>
      </c>
      <c r="BG96" s="22">
        <f t="shared" si="61"/>
        <v>336.91432485243269</v>
      </c>
      <c r="BH96" s="62">
        <f t="shared" si="62"/>
        <v>612.24249052426865</v>
      </c>
      <c r="BI96" s="62">
        <f ca="1">AVERAGE(OFFSET($BH$3,0,0,'Données projet'!$E$11+1,1))-AVERAGE(OFFSET($H$3,0,0,'Données projet'!$E$11+1,1))</f>
        <v>316.71836722354374</v>
      </c>
      <c r="BJ96" s="62">
        <f t="shared" si="92"/>
        <v>164.34067012996618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15.161747120718177</v>
      </c>
      <c r="BQ96" s="23">
        <f>EXP(-LN(2)/25)*BQ95+(1-EXP(-LN(2)/25))/(LN(2)/25)*Calculateur!BL96*Calculateur!BN96*VLOOKUP('Données projet'!$B$11,Paramètres!$A$1:$I$89,3,0)*0.475*44/12</f>
        <v>5.9244104291443707</v>
      </c>
      <c r="BR96" s="23">
        <f>EXP(-LN(2)/2)*BR95+(1-EXP(-LN(2)/2))/(LN(2)/2)*BL96*BO96*VLOOKUP('Données projet'!$B$11,Paramètres!$A$1:$I$89,3,0)*0.475*44/12</f>
        <v>8.9637776913200879E-6</v>
      </c>
      <c r="BS96" s="24">
        <f t="shared" si="63"/>
        <v>21.08616651364024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3.7879999999999994</v>
      </c>
      <c r="BY96" s="13">
        <f>IF('Données projet'!$A$114&gt;35,BY95+BX96-CG95,IF(A96&lt;'Données projet'!$A$114,$BV$205^A96,IF(A96='Données projet'!$A$114,'Données projet'!$B$114,BY95+BX96-CG95)))</f>
        <v>204.47399999999999</v>
      </c>
      <c r="BZ96" s="14">
        <f>BY96*VLOOKUP('Données projet'!$B$12,Paramètres!$A$1:$I$89,3,0)*VLOOKUP('Données projet'!$B$12,Paramètres!$A$1:$I$89,5,0)</f>
        <v>232.8549912</v>
      </c>
      <c r="CA96" s="14">
        <f t="shared" si="93"/>
        <v>56.899553453185419</v>
      </c>
      <c r="CB96" s="22">
        <f t="shared" si="64"/>
        <v>504.65583193763126</v>
      </c>
      <c r="CC96" s="62">
        <f t="shared" si="65"/>
        <v>779.98399760946722</v>
      </c>
      <c r="CD96" s="62">
        <f ca="1">AVERAGE(OFFSET($CC$3,0,0,'Données projet'!$E$12+1,1))-AVERAGE(OFFSET($H$3,0,0,'Données projet'!$E$12+1,1))</f>
        <v>454.9779384236806</v>
      </c>
      <c r="CE96" s="62">
        <f t="shared" si="94"/>
        <v>379.32753348721906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15.252862297730726</v>
      </c>
      <c r="CM96" s="23">
        <f>EXP(-LN(2)/2)*CM95+(1-EXP(-LN(2)/2))/(LN(2)/2)*CG96*CJ96*VLOOKUP('Données projet'!$B$12,Paramètres!$A$1:$I$89,3,0)*0.475*44/12</f>
        <v>1.4047380355416437</v>
      </c>
      <c r="CN96" s="24">
        <f t="shared" si="66"/>
        <v>16.65760033327237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252.10592533338991</v>
      </c>
      <c r="CZ96" s="62">
        <f t="shared" si="96"/>
        <v>272.71831345325313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59.463283462563595</v>
      </c>
      <c r="DH96" s="23">
        <f>EXP(-LN(2)/2)*DH95+(1-EXP(-LN(2)/2))/(LN(2)/2)*DB96*DE96*VLOOKUP('Données projet'!$B$13,Paramètres!$A$1:$I$89,3,0)*0.475*44/12</f>
        <v>1.8245577272555549E-4</v>
      </c>
      <c r="DI96" s="24">
        <f t="shared" si="69"/>
        <v>59.463465918336318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projet'!$B$14,Paramètres!$A$1:$I$89,3,0)*VLOOKUP('Données projet'!$B$14,Paramètres!$A$1:$I$89,5,0)</f>
        <v>0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423.0896575168394</v>
      </c>
      <c r="DU96" s="62">
        <f t="shared" si="98"/>
        <v>305.98537395014284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117.8220351322781</v>
      </c>
      <c r="EB96" s="23">
        <f>EXP(-LN(2)/25)*EB95+(1-EXP(-LN(2)/25))/(LN(2)/25)*Calculateur!DW96*Calculateur!DY96*VLOOKUP('Données projet'!$B$14,Paramètres!$A$1:$I$89,3,0)*0.475*44/12</f>
        <v>124.74563277622327</v>
      </c>
      <c r="EC96" s="23">
        <f>EXP(-LN(2)/2)*EC95+(1-EXP(-LN(2)/2))/(LN(2)/2)*DW96*DZ96*VLOOKUP('Données projet'!$B$14,Paramètres!$A$1:$I$89,3,0)*0.475*44/12</f>
        <v>3.5771010321644933E-5</v>
      </c>
      <c r="ED96" s="24">
        <f t="shared" si="72"/>
        <v>242.56770367951171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2.2737367544323206E-13</v>
      </c>
      <c r="EK96" s="18">
        <f>EJ96*VLOOKUP('Données projet'!$B$15,Paramètres!$A$1:$I$89,3,0)*VLOOKUP('Données projet'!$B$15,Paramètres!$A$1:$I$89,5,0)</f>
        <v>1.3596945791505279E-13</v>
      </c>
      <c r="EL96" s="14">
        <f t="shared" si="99"/>
        <v>1.9708830566360721E-12</v>
      </c>
      <c r="EM96" s="22">
        <f t="shared" si="73"/>
        <v>3.669434796176543E-12</v>
      </c>
      <c r="EN96" s="62">
        <f t="shared" si="74"/>
        <v>275.32816567183966</v>
      </c>
      <c r="EO96" s="62">
        <f ca="1">AVERAGE(OFFSET($EN$3,0,0,'Données projet'!$E$15+1,1))-AVERAGE(OFFSET($H$3,0,0,'Données projet'!$E$15+1,1))</f>
        <v>281.21543175875604</v>
      </c>
      <c r="EP96" s="62">
        <f t="shared" si="100"/>
        <v>366.68536296857428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49.67328926570309</v>
      </c>
      <c r="EW96" s="23">
        <f>EXP(-LN(2)/25)*EW95+(1-EXP(-LN(2)/25))/(LN(2)/25)*Calculateur!ER96*Calculateur!ET96*VLOOKUP('Données projet'!$B$15,Paramètres!$A$1:$I$89,3,0)*0.475*44/12</f>
        <v>12.948640090483204</v>
      </c>
      <c r="EX96" s="23">
        <f>EXP(-LN(2)/2)*EX95+(1-EXP(-LN(2)/2))/(LN(2)/2)*ER96*EU96*VLOOKUP('Données projet'!$B$15,Paramètres!$A$1:$I$89,3,0)*0.475*44/12</f>
        <v>5.6289810392747973E-5</v>
      </c>
      <c r="EY96" s="24">
        <f t="shared" si="75"/>
        <v>62.621985645996688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2.2737367544323206E-13</v>
      </c>
      <c r="FF96" s="18">
        <f>FE96*VLOOKUP('Données projet'!$B$16,Paramètres!$A$1:$I$89,3,0)*VLOOKUP('Données projet'!$B$16,Paramètres!$A$1:$I$89,5,0)</f>
        <v>1.2710188457276673E-13</v>
      </c>
      <c r="FG96" s="14">
        <f t="shared" si="101"/>
        <v>1.856866851063998E-12</v>
      </c>
      <c r="FH96" s="22">
        <f t="shared" si="76"/>
        <v>3.4554122145673649E-12</v>
      </c>
      <c r="FI96" s="62">
        <f t="shared" si="77"/>
        <v>275.32816567183943</v>
      </c>
      <c r="FJ96" s="62">
        <f ca="1">AVERAGE(OFFSET($FI$3,0,0,'Données projet'!$E$16+1,1))-AVERAGE(OFFSET($H$3,0,0,'Données projet'!$E$16+1,1))</f>
        <v>280.9225643428145</v>
      </c>
      <c r="FK96" s="62">
        <f t="shared" si="102"/>
        <v>236.89414218053955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155.38862673759346</v>
      </c>
      <c r="FR96" s="23">
        <f>EXP(-LN(2)/25)*FR95+(1-EXP(-LN(2)/25))/(LN(2)/25)*Calculateur!FM96*Calculateur!FO96*VLOOKUP('Données projet'!$B$16,Paramètres!$A$1:$I$89,3,0)*0.475*44/12</f>
        <v>41.442719608683753</v>
      </c>
      <c r="FS96" s="23">
        <f>EXP(-LN(2)/2)*FS95+(1-EXP(-LN(2)/2))/(LN(2)/2)*FM96*FP96*VLOOKUP('Données projet'!$B$16,Paramètres!$A$1:$I$89,3,0)*0.475*44/12</f>
        <v>1.4817503388056234E-6</v>
      </c>
      <c r="FT96" s="24">
        <f t="shared" si="78"/>
        <v>196.83134782802753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-5.6843418860808015E-13</v>
      </c>
      <c r="GA96" s="18">
        <f>FZ96*VLOOKUP('Données projet'!$B$17,Paramètres!$A$1:$I$89,3,0)*VLOOKUP('Données projet'!$B$17,Paramètres!$A$1:$I$89,5,0)</f>
        <v>-2.5124791136477147E-13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325.67421864225201</v>
      </c>
      <c r="GF96" s="62">
        <f t="shared" si="104"/>
        <v>542.01920418736745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100.565974870711</v>
      </c>
      <c r="GM96" s="23">
        <f>EXP(-LN(2)/25)*GM95+(1-EXP(-LN(2)/25))/(LN(2)/25)*Calculateur!GH96*Calculateur!GJ96*VLOOKUP('Données projet'!$B$17,Paramètres!$A$1:$I$89,3,0)*0.475*44/12</f>
        <v>48.570443954580398</v>
      </c>
      <c r="GN96" s="23">
        <f>EXP(-LN(2)/2)*GN95+(1-EXP(-LN(2)/2))/(LN(2)/2)*GH96*GK96*VLOOKUP('Données projet'!$B$17,Paramètres!$A$1:$I$89,3,0)*0.475*44/12</f>
        <v>1.5092072378866448E-6</v>
      </c>
      <c r="GO96" s="23">
        <f t="shared" si="81"/>
        <v>149.13642033449864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2.9209999999999994</v>
      </c>
      <c r="GU96" s="13">
        <f>IF('Données projet'!$A$270&gt;35,GU95+GT96-HC95,IF(A96&lt;'Données projet'!$A$270,$GR$205^A96,IF(A96='Données projet'!$A$270,'Données projet'!$B$270,GU95+GT96-HC95)))</f>
        <v>107.62299999999993</v>
      </c>
      <c r="GV96" s="18">
        <f>GU96*VLOOKUP('Données projet'!$B$18,Paramètres!$A$1:$I$89,3,0)*VLOOKUP('Données projet'!$B$18,Paramètres!$A$1:$I$89,5,0)</f>
        <v>109.12972199999993</v>
      </c>
      <c r="GW96" s="14">
        <f t="shared" si="105"/>
        <v>29.125845594793006</v>
      </c>
      <c r="GX96" s="22">
        <f t="shared" si="82"/>
        <v>240.79511356093099</v>
      </c>
      <c r="GY96" s="62">
        <f t="shared" si="83"/>
        <v>516.12327923276689</v>
      </c>
      <c r="GZ96" s="62">
        <f ca="1">AVERAGE(OFFSET($GY$3,0,0,'Données projet'!$E$18+1,1))-AVERAGE(OFFSET($H$3,0,0,'Données projet'!$E$18+1,1))</f>
        <v>220.89224520315713</v>
      </c>
      <c r="HA96" s="62">
        <f t="shared" si="106"/>
        <v>141.82763623159096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-2.8421709430404007E-14</v>
      </c>
      <c r="O97" s="14">
        <f>N97*VLOOKUP('Données projet'!$B$9,Paramètres!$A$1:$I$89,3,0)*VLOOKUP('Données projet'!$B$9,Paramètres!$A$1:$I$89,5,0)</f>
        <v>-2.7489477361086758E-14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84.959354125980269</v>
      </c>
      <c r="T97" s="62">
        <f t="shared" si="88"/>
        <v>89.658970210276806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8.0028769377143067</v>
      </c>
      <c r="AB97" s="23">
        <f>EXP(-LN(2)/2)*AB96+(1-EXP(-LN(2)/2))/(LN(2)/2)*V97*Y97*VLOOKUP('Données projet'!$B$9,Paramètres!$A$1:$I$89,3,0)*0.475*44/12</f>
        <v>7.986256588636781E-4</v>
      </c>
      <c r="AC97" s="24">
        <f t="shared" si="57"/>
        <v>8.0036755633731698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12.027399999999998</v>
      </c>
      <c r="AI97" s="14">
        <f>IF('Données projet'!$A$62&gt;35,AI96+AH97-AQ96,IF(A97&lt;'Données projet'!$A$62,$AF$205^A97,IF(A97='Données projet'!$A$62,'Données projet'!$B$62,AI96+AH97-AQ96)))</f>
        <v>322.31359999999995</v>
      </c>
      <c r="AJ97" s="14">
        <f>AI97*VLOOKUP('Données projet'!$B$10,Paramètres!$A$1:$I$89,3,0)*VLOOKUP('Données projet'!$B$10,Paramètres!$A$1:$I$89,5,0)</f>
        <v>306.71362175999991</v>
      </c>
      <c r="AK97" s="14">
        <f t="shared" si="89"/>
        <v>72.582078456482662</v>
      </c>
      <c r="AL97" s="22">
        <f t="shared" si="58"/>
        <v>660.60667787704051</v>
      </c>
      <c r="AM97" s="62">
        <f t="shared" si="59"/>
        <v>936.24719295427894</v>
      </c>
      <c r="AN97" s="62">
        <f ca="1">AVERAGE(OFFSET($AM$3,0,0,'Données projet'!$E$10+1,1))-AVERAGE(OFFSET($H$3,0,0,'Données projet'!$E$10+1,1))</f>
        <v>592.76231355549089</v>
      </c>
      <c r="AO97" s="62">
        <f t="shared" si="90"/>
        <v>200.66895551079014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43.86745098736089</v>
      </c>
      <c r="AV97" s="23">
        <f>EXP(-LN(2)/25)*AV96+(1-EXP(-LN(2)/25))/(LN(2)/25)*Calculateur!AQ97*Calculateur!AS97*VLOOKUP('Données projet'!$B$10,Paramètres!$A$1:$I$89,3,0)*0.475*44/12</f>
        <v>25.883017815325534</v>
      </c>
      <c r="AW97" s="23">
        <f>EXP(-LN(2)/2)*AW96+(1-EXP(-LN(2)/2))/(LN(2)/2)*AQ97*AT97*VLOOKUP('Données projet'!$B$10,Paramètres!$A$1:$I$89,3,0)*0.475*44/12</f>
        <v>9.8108725202404587E-5</v>
      </c>
      <c r="AX97" s="23">
        <f t="shared" si="60"/>
        <v>69.750566911411624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4.7849999999999993</v>
      </c>
      <c r="BD97" s="13">
        <f>IF('Données projet'!$A$88&gt;35,BD96+BC97-BL96,IF(A97&lt;'Données projet'!$A$88,$BA$205^A97,IF(A97='Données projet'!$A$88,'Données projet'!$B$88,BD96+BC97-BL96)))</f>
        <v>174.95000000000005</v>
      </c>
      <c r="BE97" s="14">
        <f>BD97*VLOOKUP('Données projet'!$B$11,Paramètres!$A$1:$I$89,3,0)*VLOOKUP('Données projet'!$B$11,Paramètres!$A$1:$I$89,5,0)</f>
        <v>158.29476000000003</v>
      </c>
      <c r="BF97" s="14">
        <f t="shared" si="91"/>
        <v>40.457654239707679</v>
      </c>
      <c r="BG97" s="22">
        <f t="shared" si="61"/>
        <v>346.16045480082425</v>
      </c>
      <c r="BH97" s="62">
        <f t="shared" si="62"/>
        <v>621.80096987806269</v>
      </c>
      <c r="BI97" s="62">
        <f ca="1">AVERAGE(OFFSET($BH$3,0,0,'Données projet'!$E$11+1,1))-AVERAGE(OFFSET($H$3,0,0,'Données projet'!$E$11+1,1))</f>
        <v>316.71836722354374</v>
      </c>
      <c r="BJ97" s="62">
        <f t="shared" si="92"/>
        <v>164.34067012996618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14.864434507433497</v>
      </c>
      <c r="BQ97" s="23">
        <f>EXP(-LN(2)/25)*BQ96+(1-EXP(-LN(2)/25))/(LN(2)/25)*Calculateur!BL97*Calculateur!BN97*VLOOKUP('Données projet'!$B$11,Paramètres!$A$1:$I$89,3,0)*0.475*44/12</f>
        <v>5.7624071144082141</v>
      </c>
      <c r="BR97" s="23">
        <f>EXP(-LN(2)/2)*BR96+(1-EXP(-LN(2)/2))/(LN(2)/2)*BL97*BO97*VLOOKUP('Données projet'!$B$11,Paramètres!$A$1:$I$89,3,0)*0.475*44/12</f>
        <v>6.3383479905811296E-6</v>
      </c>
      <c r="BS97" s="24">
        <f t="shared" si="63"/>
        <v>20.626847960189703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3.7879999999999994</v>
      </c>
      <c r="BY97" s="13">
        <f>IF('Données projet'!$A$114&gt;35,BY96+BX97-CG96,IF(A97&lt;'Données projet'!$A$114,$BV$205^A97,IF(A97='Données projet'!$A$114,'Données projet'!$B$114,BY96+BX97-CG96)))</f>
        <v>208.262</v>
      </c>
      <c r="BZ97" s="14">
        <f>BY97*VLOOKUP('Données projet'!$B$12,Paramètres!$A$1:$I$89,3,0)*VLOOKUP('Données projet'!$B$12,Paramètres!$A$1:$I$89,5,0)</f>
        <v>237.1687656</v>
      </c>
      <c r="CA97" s="14">
        <f t="shared" si="93"/>
        <v>57.829956532015935</v>
      </c>
      <c r="CB97" s="22">
        <f t="shared" si="64"/>
        <v>513.78944104659445</v>
      </c>
      <c r="CC97" s="62">
        <f t="shared" si="65"/>
        <v>789.42995612383288</v>
      </c>
      <c r="CD97" s="62">
        <f ca="1">AVERAGE(OFFSET($CC$3,0,0,'Données projet'!$E$12+1,1))-AVERAGE(OFFSET($H$3,0,0,'Données projet'!$E$12+1,1))</f>
        <v>454.9779384236806</v>
      </c>
      <c r="CE97" s="62">
        <f t="shared" si="94"/>
        <v>379.32753348721906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14.835771976086111</v>
      </c>
      <c r="CM97" s="23">
        <f>EXP(-LN(2)/2)*CM96+(1-EXP(-LN(2)/2))/(LN(2)/2)*CG97*CJ97*VLOOKUP('Données projet'!$B$12,Paramètres!$A$1:$I$89,3,0)*0.475*44/12</f>
        <v>0.99329979072216568</v>
      </c>
      <c r="CN97" s="24">
        <f t="shared" si="66"/>
        <v>15.829071766808276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252.10592533338991</v>
      </c>
      <c r="CZ97" s="62">
        <f t="shared" si="96"/>
        <v>272.71831345325313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57.837256849241619</v>
      </c>
      <c r="DH97" s="23">
        <f>EXP(-LN(2)/2)*DH96+(1-EXP(-LN(2)/2))/(LN(2)/2)*DB97*DE97*VLOOKUP('Données projet'!$B$13,Paramètres!$A$1:$I$89,3,0)*0.475*44/12</f>
        <v>1.2901571416087181E-4</v>
      </c>
      <c r="DI97" s="24">
        <f t="shared" si="69"/>
        <v>57.837385864955777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projet'!$B$14,Paramètres!$A$1:$I$89,3,0)*VLOOKUP('Données projet'!$B$14,Paramètres!$A$1:$I$89,5,0)</f>
        <v>0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423.0896575168394</v>
      </c>
      <c r="DU97" s="62">
        <f t="shared" si="98"/>
        <v>305.98537395014284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115.51161688767955</v>
      </c>
      <c r="EB97" s="23">
        <f>EXP(-LN(2)/25)*EB96+(1-EXP(-LN(2)/25))/(LN(2)/25)*Calculateur!DW97*Calculateur!DY97*VLOOKUP('Données projet'!$B$14,Paramètres!$A$1:$I$89,3,0)*0.475*44/12</f>
        <v>121.33445688786973</v>
      </c>
      <c r="EC97" s="23">
        <f>EXP(-LN(2)/2)*EC96+(1-EXP(-LN(2)/2))/(LN(2)/2)*DW97*DZ97*VLOOKUP('Données projet'!$B$14,Paramètres!$A$1:$I$89,3,0)*0.475*44/12</f>
        <v>2.5293923968329117E-5</v>
      </c>
      <c r="ED97" s="24">
        <f t="shared" si="72"/>
        <v>236.84609906947324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2.2737367544323206E-13</v>
      </c>
      <c r="EK97" s="18">
        <f>EJ97*VLOOKUP('Données projet'!$B$15,Paramètres!$A$1:$I$89,3,0)*VLOOKUP('Données projet'!$B$15,Paramètres!$A$1:$I$89,5,0)</f>
        <v>1.3596945791505279E-13</v>
      </c>
      <c r="EL97" s="14">
        <f t="shared" si="99"/>
        <v>1.9708830566360721E-12</v>
      </c>
      <c r="EM97" s="22">
        <f t="shared" si="73"/>
        <v>3.669434796176543E-12</v>
      </c>
      <c r="EN97" s="62">
        <f t="shared" si="74"/>
        <v>275.64051507724218</v>
      </c>
      <c r="EO97" s="62">
        <f ca="1">AVERAGE(OFFSET($EN$3,0,0,'Données projet'!$E$15+1,1))-AVERAGE(OFFSET($H$3,0,0,'Données projet'!$E$15+1,1))</f>
        <v>281.21543175875604</v>
      </c>
      <c r="EP97" s="62">
        <f t="shared" si="100"/>
        <v>366.68536296857428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48.699226360917457</v>
      </c>
      <c r="EW97" s="23">
        <f>EXP(-LN(2)/25)*EW96+(1-EXP(-LN(2)/25))/(LN(2)/25)*Calculateur!ER97*Calculateur!ET97*VLOOKUP('Données projet'!$B$15,Paramètres!$A$1:$I$89,3,0)*0.475*44/12</f>
        <v>12.594558846269553</v>
      </c>
      <c r="EX97" s="23">
        <f>EXP(-LN(2)/2)*EX96+(1-EXP(-LN(2)/2))/(LN(2)/2)*ER97*EU97*VLOOKUP('Données projet'!$B$15,Paramètres!$A$1:$I$89,3,0)*0.475*44/12</f>
        <v>3.9802906640417089E-5</v>
      </c>
      <c r="EY97" s="24">
        <f t="shared" si="75"/>
        <v>61.293825010093656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2.2737367544323206E-13</v>
      </c>
      <c r="FF97" s="18">
        <f>FE97*VLOOKUP('Données projet'!$B$16,Paramètres!$A$1:$I$89,3,0)*VLOOKUP('Données projet'!$B$16,Paramètres!$A$1:$I$89,5,0)</f>
        <v>1.2710188457276673E-13</v>
      </c>
      <c r="FG97" s="14">
        <f t="shared" si="101"/>
        <v>1.856866851063998E-12</v>
      </c>
      <c r="FH97" s="22">
        <f t="shared" si="76"/>
        <v>3.4554122145673649E-12</v>
      </c>
      <c r="FI97" s="62">
        <f t="shared" si="77"/>
        <v>275.64051507724196</v>
      </c>
      <c r="FJ97" s="62">
        <f ca="1">AVERAGE(OFFSET($FI$3,0,0,'Données projet'!$E$16+1,1))-AVERAGE(OFFSET($H$3,0,0,'Données projet'!$E$16+1,1))</f>
        <v>280.9225643428145</v>
      </c>
      <c r="FK97" s="62">
        <f t="shared" si="102"/>
        <v>236.89414218053955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152.34155054497305</v>
      </c>
      <c r="FR97" s="23">
        <f>EXP(-LN(2)/25)*FR96+(1-EXP(-LN(2)/25))/(LN(2)/25)*Calculateur!FM97*Calculateur!FO97*VLOOKUP('Données projet'!$B$16,Paramètres!$A$1:$I$89,3,0)*0.475*44/12</f>
        <v>40.309466261606389</v>
      </c>
      <c r="FS97" s="23">
        <f>EXP(-LN(2)/2)*FS96+(1-EXP(-LN(2)/2))/(LN(2)/2)*FM97*FP97*VLOOKUP('Données projet'!$B$16,Paramètres!$A$1:$I$89,3,0)*0.475*44/12</f>
        <v>1.0477557125949206E-6</v>
      </c>
      <c r="FT97" s="24">
        <f t="shared" si="78"/>
        <v>192.65101785433515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-5.6843418860808015E-13</v>
      </c>
      <c r="GA97" s="18">
        <f>FZ97*VLOOKUP('Données projet'!$B$17,Paramètres!$A$1:$I$89,3,0)*VLOOKUP('Données projet'!$B$17,Paramètres!$A$1:$I$89,5,0)</f>
        <v>-2.5124791136477147E-13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325.67421864225201</v>
      </c>
      <c r="GF97" s="62">
        <f t="shared" si="104"/>
        <v>542.01920418736745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98.593937442684293</v>
      </c>
      <c r="GM97" s="23">
        <f>EXP(-LN(2)/25)*GM96+(1-EXP(-LN(2)/25))/(LN(2)/25)*Calculateur!GH97*Calculateur!GJ97*VLOOKUP('Données projet'!$B$17,Paramètres!$A$1:$I$89,3,0)*0.475*44/12</f>
        <v>47.242282610433762</v>
      </c>
      <c r="GN97" s="23">
        <f>EXP(-LN(2)/2)*GN96+(1-EXP(-LN(2)/2))/(LN(2)/2)*GH97*GK97*VLOOKUP('Données projet'!$B$17,Paramètres!$A$1:$I$89,3,0)*0.475*44/12</f>
        <v>1.0671706721254655E-6</v>
      </c>
      <c r="GO97" s="23">
        <f t="shared" si="81"/>
        <v>145.83622112028871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2.9209999999999994</v>
      </c>
      <c r="GU97" s="13">
        <f>IF('Données projet'!$A$270&gt;35,GU96+GT97-HC96,IF(A97&lt;'Données projet'!$A$270,$GR$205^A97,IF(A97='Données projet'!$A$270,'Données projet'!$B$270,GU96+GT97-HC96)))</f>
        <v>110.54399999999993</v>
      </c>
      <c r="GV97" s="18">
        <f>GU97*VLOOKUP('Données projet'!$B$18,Paramètres!$A$1:$I$89,3,0)*VLOOKUP('Données projet'!$B$18,Paramètres!$A$1:$I$89,5,0)</f>
        <v>112.09161599999993</v>
      </c>
      <c r="GW97" s="14">
        <f t="shared" si="105"/>
        <v>29.823244076020146</v>
      </c>
      <c r="GX97" s="22">
        <f t="shared" si="82"/>
        <v>247.16838129906833</v>
      </c>
      <c r="GY97" s="62">
        <f t="shared" si="83"/>
        <v>522.80889637630685</v>
      </c>
      <c r="GZ97" s="62">
        <f ca="1">AVERAGE(OFFSET($GY$3,0,0,'Données projet'!$E$18+1,1))-AVERAGE(OFFSET($H$3,0,0,'Données projet'!$E$18+1,1))</f>
        <v>220.89224520315713</v>
      </c>
      <c r="HA97" s="62">
        <f t="shared" si="106"/>
        <v>141.82763623159096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-2.8421709430404007E-14</v>
      </c>
      <c r="O98" s="14">
        <f>N98*VLOOKUP('Données projet'!$B$9,Paramètres!$A$1:$I$89,3,0)*VLOOKUP('Données projet'!$B$9,Paramètres!$A$1:$I$89,5,0)</f>
        <v>-2.7489477361086758E-14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84.959354125980269</v>
      </c>
      <c r="T98" s="62">
        <f t="shared" si="88"/>
        <v>89.658970210276806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7.7840378469995013</v>
      </c>
      <c r="AB98" s="23">
        <f>EXP(-LN(2)/2)*AB97+(1-EXP(-LN(2)/2))/(LN(2)/2)*V98*Y98*VLOOKUP('Données projet'!$B$9,Paramètres!$A$1:$I$89,3,0)*0.475*44/12</f>
        <v>5.6471361901208118E-4</v>
      </c>
      <c r="AC98" s="24">
        <f t="shared" si="57"/>
        <v>7.784602560618513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12.027399999999998</v>
      </c>
      <c r="AI98" s="14">
        <f>IF('Données projet'!$A$62&gt;35,AI97+AH98-AQ97,IF(A98&lt;'Données projet'!$A$62,$AF$205^A98,IF(A98='Données projet'!$A$62,'Données projet'!$B$62,AI97+AH98-AQ97)))</f>
        <v>334.34099999999995</v>
      </c>
      <c r="AJ98" s="14">
        <f>AI98*VLOOKUP('Données projet'!$B$10,Paramètres!$A$1:$I$89,3,0)*VLOOKUP('Données projet'!$B$10,Paramètres!$A$1:$I$89,5,0)</f>
        <v>318.15889559999994</v>
      </c>
      <c r="AK98" s="14">
        <f t="shared" si="89"/>
        <v>74.970147537639534</v>
      </c>
      <c r="AL98" s="22">
        <f t="shared" si="58"/>
        <v>684.69975013138867</v>
      </c>
      <c r="AM98" s="62">
        <f t="shared" si="59"/>
        <v>960.64719605015466</v>
      </c>
      <c r="AN98" s="62">
        <f ca="1">AVERAGE(OFFSET($AM$3,0,0,'Données projet'!$E$10+1,1))-AVERAGE(OFFSET($H$3,0,0,'Données projet'!$E$10+1,1))</f>
        <v>592.76231355549089</v>
      </c>
      <c r="AO98" s="62">
        <f t="shared" si="90"/>
        <v>200.66895551079014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43.00723703000186</v>
      </c>
      <c r="AV98" s="23">
        <f>EXP(-LN(2)/25)*AV97+(1-EXP(-LN(2)/25))/(LN(2)/25)*Calculateur!AQ98*Calculateur!AS98*VLOOKUP('Données projet'!$B$10,Paramètres!$A$1:$I$89,3,0)*0.475*44/12</f>
        <v>25.175245332036706</v>
      </c>
      <c r="AW98" s="23">
        <f>EXP(-LN(2)/2)*AW97+(1-EXP(-LN(2)/2))/(LN(2)/2)*AQ98*AT98*VLOOKUP('Données projet'!$B$10,Paramètres!$A$1:$I$89,3,0)*0.475*44/12</f>
        <v>6.937334488418782E-5</v>
      </c>
      <c r="AX98" s="23">
        <f t="shared" si="60"/>
        <v>68.182551735383456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4.7849999999999993</v>
      </c>
      <c r="BD98" s="13">
        <f>IF('Données projet'!$A$88&gt;35,BD97+BC98-BL97,IF(A98&lt;'Données projet'!$A$88,$BA$205^A98,IF(A98='Données projet'!$A$88,'Données projet'!$B$88,BD97+BC98-BL97)))</f>
        <v>179.73500000000004</v>
      </c>
      <c r="BE98" s="14">
        <f>BD98*VLOOKUP('Données projet'!$B$11,Paramètres!$A$1:$I$89,3,0)*VLOOKUP('Données projet'!$B$11,Paramètres!$A$1:$I$89,5,0)</f>
        <v>162.62422800000004</v>
      </c>
      <c r="BF98" s="14">
        <f t="shared" si="91"/>
        <v>41.433855768438221</v>
      </c>
      <c r="BG98" s="22">
        <f t="shared" si="61"/>
        <v>355.40116256336336</v>
      </c>
      <c r="BH98" s="62">
        <f t="shared" si="62"/>
        <v>631.34860848212929</v>
      </c>
      <c r="BI98" s="62">
        <f ca="1">AVERAGE(OFFSET($BH$3,0,0,'Données projet'!$E$11+1,1))-AVERAGE(OFFSET($H$3,0,0,'Données projet'!$E$11+1,1))</f>
        <v>316.71836722354374</v>
      </c>
      <c r="BJ98" s="62">
        <f t="shared" si="92"/>
        <v>164.34067012996618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14.572952013152543</v>
      </c>
      <c r="BQ98" s="23">
        <f>EXP(-LN(2)/25)*BQ97+(1-EXP(-LN(2)/25))/(LN(2)/25)*Calculateur!BL98*Calculateur!BN98*VLOOKUP('Données projet'!$B$11,Paramètres!$A$1:$I$89,3,0)*0.475*44/12</f>
        <v>5.6048337888329014</v>
      </c>
      <c r="BR98" s="23">
        <f>EXP(-LN(2)/2)*BR97+(1-EXP(-LN(2)/2))/(LN(2)/2)*BL98*BO98*VLOOKUP('Données projet'!$B$11,Paramètres!$A$1:$I$89,3,0)*0.475*44/12</f>
        <v>4.481888845660044E-6</v>
      </c>
      <c r="BS98" s="24">
        <f t="shared" si="63"/>
        <v>20.177790283874288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3.7879999999999994</v>
      </c>
      <c r="BY98" s="13">
        <f>IF('Données projet'!$A$114&gt;35,BY97+BX98-CG97,IF(A98&lt;'Données projet'!$A$114,$BV$205^A98,IF(A98='Données projet'!$A$114,'Données projet'!$B$114,BY97+BX98-CG97)))</f>
        <v>212.05</v>
      </c>
      <c r="BZ98" s="14">
        <f>BY98*VLOOKUP('Données projet'!$B$12,Paramètres!$A$1:$I$89,3,0)*VLOOKUP('Données projet'!$B$12,Paramètres!$A$1:$I$89,5,0)</f>
        <v>241.48254000000003</v>
      </c>
      <c r="CA98" s="14">
        <f t="shared" si="93"/>
        <v>58.758391771151501</v>
      </c>
      <c r="CB98" s="22">
        <f t="shared" si="64"/>
        <v>522.9196228347555</v>
      </c>
      <c r="CC98" s="62">
        <f t="shared" si="65"/>
        <v>798.86706875352138</v>
      </c>
      <c r="CD98" s="62">
        <f ca="1">AVERAGE(OFFSET($CC$3,0,0,'Données projet'!$E$12+1,1))-AVERAGE(OFFSET($H$3,0,0,'Données projet'!$E$12+1,1))</f>
        <v>454.9779384236806</v>
      </c>
      <c r="CE98" s="62">
        <f t="shared" si="94"/>
        <v>379.32753348721906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14.430087011220696</v>
      </c>
      <c r="CM98" s="23">
        <f>EXP(-LN(2)/2)*CM97+(1-EXP(-LN(2)/2))/(LN(2)/2)*CG98*CJ98*VLOOKUP('Données projet'!$B$12,Paramètres!$A$1:$I$89,3,0)*0.475*44/12</f>
        <v>0.70236901777082195</v>
      </c>
      <c r="CN98" s="24">
        <f t="shared" si="66"/>
        <v>15.132456028991518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252.10592533338991</v>
      </c>
      <c r="CZ98" s="62">
        <f t="shared" si="96"/>
        <v>272.71831345325313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56.255694019169958</v>
      </c>
      <c r="DH98" s="23">
        <f>EXP(-LN(2)/2)*DH97+(1-EXP(-LN(2)/2))/(LN(2)/2)*DB98*DE98*VLOOKUP('Données projet'!$B$13,Paramètres!$A$1:$I$89,3,0)*0.475*44/12</f>
        <v>9.1227886362777743E-5</v>
      </c>
      <c r="DI98" s="24">
        <f t="shared" si="69"/>
        <v>56.255785247056323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projet'!$B$14,Paramètres!$A$1:$I$89,3,0)*VLOOKUP('Données projet'!$B$14,Paramètres!$A$1:$I$89,5,0)</f>
        <v>0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423.0896575168394</v>
      </c>
      <c r="DU98" s="62">
        <f t="shared" si="98"/>
        <v>305.98537395014284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113.24650453564159</v>
      </c>
      <c r="EB98" s="23">
        <f>EXP(-LN(2)/25)*EB97+(1-EXP(-LN(2)/25))/(LN(2)/25)*Calculateur!DW98*Calculateur!DY98*VLOOKUP('Données projet'!$B$14,Paramètres!$A$1:$I$89,3,0)*0.475*44/12</f>
        <v>118.01655978356916</v>
      </c>
      <c r="EC98" s="23">
        <f>EXP(-LN(2)/2)*EC97+(1-EXP(-LN(2)/2))/(LN(2)/2)*DW98*DZ98*VLOOKUP('Données projet'!$B$14,Paramètres!$A$1:$I$89,3,0)*0.475*44/12</f>
        <v>1.7885505160822467E-5</v>
      </c>
      <c r="ED98" s="24">
        <f t="shared" si="72"/>
        <v>231.26308220471591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2.2737367544323206E-13</v>
      </c>
      <c r="EK98" s="18">
        <f>EJ98*VLOOKUP('Données projet'!$B$15,Paramètres!$A$1:$I$89,3,0)*VLOOKUP('Données projet'!$B$15,Paramètres!$A$1:$I$89,5,0)</f>
        <v>1.3596945791505279E-13</v>
      </c>
      <c r="EL98" s="14">
        <f t="shared" si="99"/>
        <v>1.9708830566360721E-12</v>
      </c>
      <c r="EM98" s="22">
        <f t="shared" si="73"/>
        <v>3.669434796176543E-12</v>
      </c>
      <c r="EN98" s="62">
        <f t="shared" si="74"/>
        <v>275.94744591876963</v>
      </c>
      <c r="EO98" s="62">
        <f ca="1">AVERAGE(OFFSET($EN$3,0,0,'Données projet'!$E$15+1,1))-AVERAGE(OFFSET($H$3,0,0,'Données projet'!$E$15+1,1))</f>
        <v>281.21543175875604</v>
      </c>
      <c r="EP98" s="62">
        <f t="shared" si="100"/>
        <v>366.68536296857428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47.74426423557496</v>
      </c>
      <c r="EW98" s="23">
        <f>EXP(-LN(2)/25)*EW97+(1-EXP(-LN(2)/25))/(LN(2)/25)*Calculateur!ER98*Calculateur!ET98*VLOOKUP('Données projet'!$B$15,Paramètres!$A$1:$I$89,3,0)*0.475*44/12</f>
        <v>12.250159972299247</v>
      </c>
      <c r="EX98" s="23">
        <f>EXP(-LN(2)/2)*EX97+(1-EXP(-LN(2)/2))/(LN(2)/2)*ER98*EU98*VLOOKUP('Données projet'!$B$15,Paramètres!$A$1:$I$89,3,0)*0.475*44/12</f>
        <v>2.8144905196373987E-5</v>
      </c>
      <c r="EY98" s="24">
        <f t="shared" si="75"/>
        <v>59.994452352779398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2.2737367544323206E-13</v>
      </c>
      <c r="FF98" s="18">
        <f>FE98*VLOOKUP('Données projet'!$B$16,Paramètres!$A$1:$I$89,3,0)*VLOOKUP('Données projet'!$B$16,Paramètres!$A$1:$I$89,5,0)</f>
        <v>1.2710188457276673E-13</v>
      </c>
      <c r="FG98" s="14">
        <f t="shared" si="101"/>
        <v>1.856866851063998E-12</v>
      </c>
      <c r="FH98" s="22">
        <f t="shared" si="76"/>
        <v>3.4554122145673649E-12</v>
      </c>
      <c r="FI98" s="62">
        <f t="shared" si="77"/>
        <v>275.9474459187694</v>
      </c>
      <c r="FJ98" s="62">
        <f ca="1">AVERAGE(OFFSET($FI$3,0,0,'Données projet'!$E$16+1,1))-AVERAGE(OFFSET($H$3,0,0,'Données projet'!$E$16+1,1))</f>
        <v>280.9225643428145</v>
      </c>
      <c r="FK98" s="62">
        <f t="shared" si="102"/>
        <v>236.89414218053955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149.35422565795696</v>
      </c>
      <c r="FR98" s="23">
        <f>EXP(-LN(2)/25)*FR97+(1-EXP(-LN(2)/25))/(LN(2)/25)*Calculateur!FM98*Calculateur!FO98*VLOOKUP('Données projet'!$B$16,Paramètres!$A$1:$I$89,3,0)*0.475*44/12</f>
        <v>39.207201786900058</v>
      </c>
      <c r="FS98" s="23">
        <f>EXP(-LN(2)/2)*FS97+(1-EXP(-LN(2)/2))/(LN(2)/2)*FM98*FP98*VLOOKUP('Données projet'!$B$16,Paramètres!$A$1:$I$89,3,0)*0.475*44/12</f>
        <v>7.4087516940281171E-7</v>
      </c>
      <c r="FT98" s="24">
        <f t="shared" si="78"/>
        <v>188.56142818573221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-5.6843418860808015E-13</v>
      </c>
      <c r="GA98" s="18">
        <f>FZ98*VLOOKUP('Données projet'!$B$17,Paramètres!$A$1:$I$89,3,0)*VLOOKUP('Données projet'!$B$17,Paramètres!$A$1:$I$89,5,0)</f>
        <v>-2.5124791136477147E-13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325.67421864225201</v>
      </c>
      <c r="GF98" s="62">
        <f t="shared" si="104"/>
        <v>542.01920418736745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96.660570465797122</v>
      </c>
      <c r="GM98" s="23">
        <f>EXP(-LN(2)/25)*GM97+(1-EXP(-LN(2)/25))/(LN(2)/25)*Calculateur!GH98*Calculateur!GJ98*VLOOKUP('Données projet'!$B$17,Paramètres!$A$1:$I$89,3,0)*0.475*44/12</f>
        <v>45.95043990808778</v>
      </c>
      <c r="GN98" s="23">
        <f>EXP(-LN(2)/2)*GN97+(1-EXP(-LN(2)/2))/(LN(2)/2)*GH98*GK98*VLOOKUP('Données projet'!$B$17,Paramètres!$A$1:$I$89,3,0)*0.475*44/12</f>
        <v>7.5460361894332242E-7</v>
      </c>
      <c r="GO98" s="23">
        <f t="shared" si="81"/>
        <v>142.61101112848854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2.9209999999999994</v>
      </c>
      <c r="GU98" s="13">
        <f>IF('Données projet'!$A$270&gt;35,GU97+GT98-HC97,IF(A98&lt;'Données projet'!$A$270,$GR$205^A98,IF(A98='Données projet'!$A$270,'Données projet'!$B$270,GU97+GT98-HC97)))</f>
        <v>113.46499999999992</v>
      </c>
      <c r="GV98" s="18">
        <f>GU98*VLOOKUP('Données projet'!$B$18,Paramètres!$A$1:$I$89,3,0)*VLOOKUP('Données projet'!$B$18,Paramètres!$A$1:$I$89,5,0)</f>
        <v>115.05350999999992</v>
      </c>
      <c r="GW98" s="14">
        <f t="shared" si="105"/>
        <v>30.51850057408447</v>
      </c>
      <c r="GX98" s="22">
        <f t="shared" si="82"/>
        <v>253.53791841653029</v>
      </c>
      <c r="GY98" s="62">
        <f t="shared" si="83"/>
        <v>529.48536433529625</v>
      </c>
      <c r="GZ98" s="62">
        <f ca="1">AVERAGE(OFFSET($GY$3,0,0,'Données projet'!$E$18+1,1))-AVERAGE(OFFSET($H$3,0,0,'Données projet'!$E$18+1,1))</f>
        <v>220.89224520315713</v>
      </c>
      <c r="HA98" s="62">
        <f t="shared" si="106"/>
        <v>141.82763623159096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-2.8421709430404007E-14</v>
      </c>
      <c r="O99" s="14">
        <f>N99*VLOOKUP('Données projet'!$B$9,Paramètres!$A$1:$I$89,3,0)*VLOOKUP('Données projet'!$B$9,Paramètres!$A$1:$I$89,5,0)</f>
        <v>-2.7489477361086758E-14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84.959354125980269</v>
      </c>
      <c r="T99" s="62">
        <f t="shared" si="88"/>
        <v>89.658970210276806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7.5711829227285401</v>
      </c>
      <c r="AB99" s="23">
        <f>EXP(-LN(2)/2)*AB98+(1-EXP(-LN(2)/2))/(LN(2)/2)*V99*Y99*VLOOKUP('Données projet'!$B$9,Paramètres!$A$1:$I$89,3,0)*0.475*44/12</f>
        <v>3.9931282943183905E-4</v>
      </c>
      <c r="AC99" s="24">
        <f t="shared" si="57"/>
        <v>7.5715822355579716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12.027399999999998</v>
      </c>
      <c r="AI99" s="14">
        <f>IF('Données projet'!$A$62&gt;35,AI98+AH99-AQ98,IF(A99&lt;'Données projet'!$A$62,$AF$205^A99,IF(A99='Données projet'!$A$62,'Données projet'!$B$62,AI98+AH99-AQ98)))</f>
        <v>346.36839999999995</v>
      </c>
      <c r="AJ99" s="14">
        <f>AI99*VLOOKUP('Données projet'!$B$10,Paramètres!$A$1:$I$89,3,0)*VLOOKUP('Données projet'!$B$10,Paramètres!$A$1:$I$89,5,0)</f>
        <v>329.60416943999996</v>
      </c>
      <c r="AK99" s="14">
        <f t="shared" si="89"/>
        <v>77.348235666176265</v>
      </c>
      <c r="AL99" s="22">
        <f t="shared" si="58"/>
        <v>708.77543889325682</v>
      </c>
      <c r="AM99" s="62">
        <f t="shared" si="59"/>
        <v>985.02449108964424</v>
      </c>
      <c r="AN99" s="62">
        <f ca="1">AVERAGE(OFFSET($AM$3,0,0,'Données projet'!$E$10+1,1))-AVERAGE(OFFSET($H$3,0,0,'Données projet'!$E$10+1,1))</f>
        <v>592.76231355549089</v>
      </c>
      <c r="AO99" s="62">
        <f t="shared" si="90"/>
        <v>200.66895551079014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42.163891343667935</v>
      </c>
      <c r="AV99" s="23">
        <f>EXP(-LN(2)/25)*AV98+(1-EXP(-LN(2)/25))/(LN(2)/25)*Calculateur!AQ99*Calculateur!AS99*VLOOKUP('Données projet'!$B$10,Paramètres!$A$1:$I$89,3,0)*0.475*44/12</f>
        <v>24.486826924523548</v>
      </c>
      <c r="AW99" s="23">
        <f>EXP(-LN(2)/2)*AW98+(1-EXP(-LN(2)/2))/(LN(2)/2)*AQ99*AT99*VLOOKUP('Données projet'!$B$10,Paramètres!$A$1:$I$89,3,0)*0.475*44/12</f>
        <v>4.9054362601202294E-5</v>
      </c>
      <c r="AX99" s="23">
        <f t="shared" si="60"/>
        <v>66.650767322554088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4.7849999999999993</v>
      </c>
      <c r="BD99" s="13">
        <f>IF('Données projet'!$A$88&gt;35,BD98+BC99-BL98,IF(A99&lt;'Données projet'!$A$88,$BA$205^A99,IF(A99='Données projet'!$A$88,'Données projet'!$B$88,BD98+BC99-BL98)))</f>
        <v>184.52000000000004</v>
      </c>
      <c r="BE99" s="14">
        <f>BD99*VLOOKUP('Données projet'!$B$11,Paramètres!$A$1:$I$89,3,0)*VLOOKUP('Données projet'!$B$11,Paramètres!$A$1:$I$89,5,0)</f>
        <v>166.95369600000004</v>
      </c>
      <c r="BF99" s="14">
        <f t="shared" si="91"/>
        <v>42.407036488420694</v>
      </c>
      <c r="BG99" s="22">
        <f t="shared" si="61"/>
        <v>364.63660908399942</v>
      </c>
      <c r="BH99" s="62">
        <f t="shared" si="62"/>
        <v>640.88566128038678</v>
      </c>
      <c r="BI99" s="62">
        <f ca="1">AVERAGE(OFFSET($BH$3,0,0,'Données projet'!$E$11+1,1))-AVERAGE(OFFSET($H$3,0,0,'Données projet'!$E$11+1,1))</f>
        <v>316.71836722354374</v>
      </c>
      <c r="BJ99" s="62">
        <f t="shared" si="92"/>
        <v>164.34067012996618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14.287185312797671</v>
      </c>
      <c r="BQ99" s="23">
        <f>EXP(-LN(2)/25)*BQ98+(1-EXP(-LN(2)/25))/(LN(2)/25)*Calculateur!BL99*Calculateur!BN99*VLOOKUP('Données projet'!$B$11,Paramètres!$A$1:$I$89,3,0)*0.475*44/12</f>
        <v>5.4515693141318664</v>
      </c>
      <c r="BR99" s="23">
        <f>EXP(-LN(2)/2)*BR98+(1-EXP(-LN(2)/2))/(LN(2)/2)*BL99*BO99*VLOOKUP('Données projet'!$B$11,Paramètres!$A$1:$I$89,3,0)*0.475*44/12</f>
        <v>3.1691739952905648E-6</v>
      </c>
      <c r="BS99" s="24">
        <f t="shared" si="63"/>
        <v>19.738757796103535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3.7879999999999994</v>
      </c>
      <c r="BY99" s="13">
        <f>IF('Données projet'!$A$114&gt;35,BY98+BX99-CG98,IF(A99&lt;'Données projet'!$A$114,$BV$205^A99,IF(A99='Données projet'!$A$114,'Données projet'!$B$114,BY98+BX99-CG98)))</f>
        <v>215.83800000000002</v>
      </c>
      <c r="BZ99" s="14">
        <f>BY99*VLOOKUP('Données projet'!$B$12,Paramètres!$A$1:$I$89,3,0)*VLOOKUP('Données projet'!$B$12,Paramètres!$A$1:$I$89,5,0)</f>
        <v>245.79631440000003</v>
      </c>
      <c r="CA99" s="14">
        <f t="shared" si="93"/>
        <v>59.68489837874354</v>
      </c>
      <c r="CB99" s="22">
        <f t="shared" si="64"/>
        <v>532.04644558964492</v>
      </c>
      <c r="CC99" s="62">
        <f t="shared" si="65"/>
        <v>808.29549778603234</v>
      </c>
      <c r="CD99" s="62">
        <f ca="1">AVERAGE(OFFSET($CC$3,0,0,'Données projet'!$E$12+1,1))-AVERAGE(OFFSET($H$3,0,0,'Données projet'!$E$12+1,1))</f>
        <v>454.9779384236806</v>
      </c>
      <c r="CE99" s="62">
        <f t="shared" si="94"/>
        <v>379.32753348721906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14.035495523053571</v>
      </c>
      <c r="CM99" s="23">
        <f>EXP(-LN(2)/2)*CM98+(1-EXP(-LN(2)/2))/(LN(2)/2)*CG99*CJ99*VLOOKUP('Données projet'!$B$12,Paramètres!$A$1:$I$89,3,0)*0.475*44/12</f>
        <v>0.49664989536108295</v>
      </c>
      <c r="CN99" s="24">
        <f t="shared" si="66"/>
        <v>14.532145418414654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252.10592533338991</v>
      </c>
      <c r="CZ99" s="62">
        <f t="shared" si="96"/>
        <v>272.71831345325313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54.717379107857383</v>
      </c>
      <c r="DH99" s="23">
        <f>EXP(-LN(2)/2)*DH98+(1-EXP(-LN(2)/2))/(LN(2)/2)*DB99*DE99*VLOOKUP('Données projet'!$B$13,Paramètres!$A$1:$I$89,3,0)*0.475*44/12</f>
        <v>6.4507857080435904E-5</v>
      </c>
      <c r="DI99" s="24">
        <f t="shared" si="69"/>
        <v>54.717443615714465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projet'!$B$14,Paramètres!$A$1:$I$89,3,0)*VLOOKUP('Données projet'!$B$14,Paramètres!$A$1:$I$89,5,0)</f>
        <v>0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423.0896575168394</v>
      </c>
      <c r="DU99" s="62">
        <f t="shared" si="98"/>
        <v>305.98537395014284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111.02580965524498</v>
      </c>
      <c r="EB99" s="23">
        <f>EXP(-LN(2)/25)*EB98+(1-EXP(-LN(2)/25))/(LN(2)/25)*Calculateur!DW99*Calculateur!DY99*VLOOKUP('Données projet'!$B$14,Paramètres!$A$1:$I$89,3,0)*0.475*44/12</f>
        <v>114.78939075006632</v>
      </c>
      <c r="EC99" s="23">
        <f>EXP(-LN(2)/2)*EC98+(1-EXP(-LN(2)/2))/(LN(2)/2)*DW99*DZ99*VLOOKUP('Données projet'!$B$14,Paramètres!$A$1:$I$89,3,0)*0.475*44/12</f>
        <v>1.2646961984164559E-5</v>
      </c>
      <c r="ED99" s="24">
        <f t="shared" si="72"/>
        <v>225.81521305227329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2.2737367544323206E-13</v>
      </c>
      <c r="EK99" s="18">
        <f>EJ99*VLOOKUP('Données projet'!$B$15,Paramètres!$A$1:$I$89,3,0)*VLOOKUP('Données projet'!$B$15,Paramètres!$A$1:$I$89,5,0)</f>
        <v>1.3596945791505279E-13</v>
      </c>
      <c r="EL99" s="14">
        <f t="shared" si="99"/>
        <v>1.9708830566360721E-12</v>
      </c>
      <c r="EM99" s="22">
        <f t="shared" si="73"/>
        <v>3.669434796176543E-12</v>
      </c>
      <c r="EN99" s="62">
        <f t="shared" si="74"/>
        <v>276.24905219639112</v>
      </c>
      <c r="EO99" s="62">
        <f ca="1">AVERAGE(OFFSET($EN$3,0,0,'Données projet'!$E$15+1,1))-AVERAGE(OFFSET($H$3,0,0,'Données projet'!$E$15+1,1))</f>
        <v>281.21543175875604</v>
      </c>
      <c r="EP99" s="62">
        <f t="shared" si="100"/>
        <v>366.68536296857428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46.808028335041044</v>
      </c>
      <c r="EW99" s="23">
        <f>EXP(-LN(2)/25)*EW98+(1-EXP(-LN(2)/25))/(LN(2)/25)*Calculateur!ER99*Calculateur!ET99*VLOOKUP('Données projet'!$B$15,Paramètres!$A$1:$I$89,3,0)*0.475*44/12</f>
        <v>11.915178703648809</v>
      </c>
      <c r="EX99" s="23">
        <f>EXP(-LN(2)/2)*EX98+(1-EXP(-LN(2)/2))/(LN(2)/2)*ER99*EU99*VLOOKUP('Données projet'!$B$15,Paramètres!$A$1:$I$89,3,0)*0.475*44/12</f>
        <v>1.9901453320208545E-5</v>
      </c>
      <c r="EY99" s="24">
        <f t="shared" si="75"/>
        <v>58.723226940143171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2.2737367544323206E-13</v>
      </c>
      <c r="FF99" s="18">
        <f>FE99*VLOOKUP('Données projet'!$B$16,Paramètres!$A$1:$I$89,3,0)*VLOOKUP('Données projet'!$B$16,Paramètres!$A$1:$I$89,5,0)</f>
        <v>1.2710188457276673E-13</v>
      </c>
      <c r="FG99" s="14">
        <f t="shared" si="101"/>
        <v>1.856866851063998E-12</v>
      </c>
      <c r="FH99" s="22">
        <f t="shared" si="76"/>
        <v>3.4554122145673649E-12</v>
      </c>
      <c r="FI99" s="62">
        <f t="shared" si="77"/>
        <v>276.24905219639089</v>
      </c>
      <c r="FJ99" s="62">
        <f ca="1">AVERAGE(OFFSET($FI$3,0,0,'Données projet'!$E$16+1,1))-AVERAGE(OFFSET($H$3,0,0,'Données projet'!$E$16+1,1))</f>
        <v>280.9225643428145</v>
      </c>
      <c r="FK99" s="62">
        <f t="shared" si="102"/>
        <v>236.89414218053955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146.42548038988699</v>
      </c>
      <c r="FR99" s="23">
        <f>EXP(-LN(2)/25)*FR98+(1-EXP(-LN(2)/25))/(LN(2)/25)*Calculateur!FM99*Calculateur!FO99*VLOOKUP('Données projet'!$B$16,Paramètres!$A$1:$I$89,3,0)*0.475*44/12</f>
        <v>38.135078792220142</v>
      </c>
      <c r="FS99" s="23">
        <f>EXP(-LN(2)/2)*FS98+(1-EXP(-LN(2)/2))/(LN(2)/2)*FM99*FP99*VLOOKUP('Données projet'!$B$16,Paramètres!$A$1:$I$89,3,0)*0.475*44/12</f>
        <v>5.238778562974603E-7</v>
      </c>
      <c r="FT99" s="24">
        <f t="shared" si="78"/>
        <v>184.56055970598496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-5.6843418860808015E-13</v>
      </c>
      <c r="GA99" s="18">
        <f>FZ99*VLOOKUP('Données projet'!$B$17,Paramètres!$A$1:$I$89,3,0)*VLOOKUP('Données projet'!$B$17,Paramètres!$A$1:$I$89,5,0)</f>
        <v>-2.5124791136477147E-13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325.67421864225201</v>
      </c>
      <c r="GF99" s="62">
        <f t="shared" si="104"/>
        <v>542.01920418736745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94.765115636089291</v>
      </c>
      <c r="GM99" s="23">
        <f>EXP(-LN(2)/25)*GM98+(1-EXP(-LN(2)/25))/(LN(2)/25)*Calculateur!GH99*Calculateur!GJ99*VLOOKUP('Données projet'!$B$17,Paramètres!$A$1:$I$89,3,0)*0.475*44/12</f>
        <v>44.693922712372505</v>
      </c>
      <c r="GN99" s="23">
        <f>EXP(-LN(2)/2)*GN98+(1-EXP(-LN(2)/2))/(LN(2)/2)*GH99*GK99*VLOOKUP('Données projet'!$B$17,Paramètres!$A$1:$I$89,3,0)*0.475*44/12</f>
        <v>5.3358533606273277E-7</v>
      </c>
      <c r="GO99" s="23">
        <f t="shared" si="81"/>
        <v>139.45903888204714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2.9209999999999994</v>
      </c>
      <c r="GU99" s="13">
        <f>IF('Données projet'!$A$270&gt;35,GU98+GT99-HC98,IF(A99&lt;'Données projet'!$A$270,$GR$205^A99,IF(A99='Données projet'!$A$270,'Données projet'!$B$270,GU98+GT99-HC98)))</f>
        <v>116.38599999999991</v>
      </c>
      <c r="GV99" s="18">
        <f>GU99*VLOOKUP('Données projet'!$B$18,Paramètres!$A$1:$I$89,3,0)*VLOOKUP('Données projet'!$B$18,Paramètres!$A$1:$I$89,5,0)</f>
        <v>118.01540399999993</v>
      </c>
      <c r="GW99" s="14">
        <f t="shared" si="105"/>
        <v>31.211676571565224</v>
      </c>
      <c r="GX99" s="22">
        <f t="shared" si="82"/>
        <v>259.90383199547597</v>
      </c>
      <c r="GY99" s="62">
        <f t="shared" si="83"/>
        <v>536.15288419186345</v>
      </c>
      <c r="GZ99" s="62">
        <f ca="1">AVERAGE(OFFSET($GY$3,0,0,'Données projet'!$E$18+1,1))-AVERAGE(OFFSET($H$3,0,0,'Données projet'!$E$18+1,1))</f>
        <v>220.89224520315713</v>
      </c>
      <c r="HA99" s="62">
        <f t="shared" si="106"/>
        <v>141.82763623159096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-2.8421709430404007E-14</v>
      </c>
      <c r="O100" s="14">
        <f>N100*VLOOKUP('Données projet'!$B$9,Paramètres!$A$1:$I$89,3,0)*VLOOKUP('Données projet'!$B$9,Paramètres!$A$1:$I$89,5,0)</f>
        <v>-2.7489477361086758E-14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84.959354125980269</v>
      </c>
      <c r="T100" s="62">
        <f t="shared" si="88"/>
        <v>89.658970210276806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7.3641485275553222</v>
      </c>
      <c r="AB100" s="23">
        <f>EXP(-LN(2)/2)*AB99+(1-EXP(-LN(2)/2))/(LN(2)/2)*V100*Y100*VLOOKUP('Données projet'!$B$9,Paramètres!$A$1:$I$89,3,0)*0.475*44/12</f>
        <v>2.8235680950604059E-4</v>
      </c>
      <c r="AC100" s="24">
        <f t="shared" si="57"/>
        <v>7.3644308843648281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12.027399999999998</v>
      </c>
      <c r="AI100" s="14">
        <f>IF('Données projet'!$A$62&gt;35,AI99+AH100-AQ99,IF(A100&lt;'Données projet'!$A$62,$AF$205^A100,IF(A100='Données projet'!$A$62,'Données projet'!$B$62,AI99+AH100-AQ99)))</f>
        <v>358.39579999999995</v>
      </c>
      <c r="AJ100" s="14">
        <f>AI100*VLOOKUP('Données projet'!$B$10,Paramètres!$A$1:$I$89,3,0)*VLOOKUP('Données projet'!$B$10,Paramètres!$A$1:$I$89,5,0)</f>
        <v>341.04944327999993</v>
      </c>
      <c r="AK100" s="14">
        <f t="shared" si="89"/>
        <v>79.716729142663638</v>
      </c>
      <c r="AL100" s="22">
        <f t="shared" si="58"/>
        <v>732.83441696947239</v>
      </c>
      <c r="AM100" s="62">
        <f t="shared" si="59"/>
        <v>1009.3798432488552</v>
      </c>
      <c r="AN100" s="62">
        <f ca="1">AVERAGE(OFFSET($AM$3,0,0,'Données projet'!$E$10+1,1))-AVERAGE(OFFSET($H$3,0,0,'Données projet'!$E$10+1,1))</f>
        <v>592.76231355549089</v>
      </c>
      <c r="AO100" s="62">
        <f t="shared" si="90"/>
        <v>200.66895551079014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41.337083151852937</v>
      </c>
      <c r="AV100" s="23">
        <f>EXP(-LN(2)/25)*AV99+(1-EXP(-LN(2)/25))/(LN(2)/25)*Calculateur!AQ100*Calculateur!AS100*VLOOKUP('Données projet'!$B$10,Paramètres!$A$1:$I$89,3,0)*0.475*44/12</f>
        <v>23.817233354566188</v>
      </c>
      <c r="AW100" s="23">
        <f>EXP(-LN(2)/2)*AW99+(1-EXP(-LN(2)/2))/(LN(2)/2)*AQ100*AT100*VLOOKUP('Données projet'!$B$10,Paramètres!$A$1:$I$89,3,0)*0.475*44/12</f>
        <v>3.468667244209391E-5</v>
      </c>
      <c r="AX100" s="23">
        <f t="shared" si="60"/>
        <v>65.154351193091557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4.7849999999999993</v>
      </c>
      <c r="BD100" s="13">
        <f>IF('Données projet'!$A$88&gt;35,BD99+BC100-BL99,IF(A100&lt;'Données projet'!$A$88,$BA$205^A100,IF(A100='Données projet'!$A$88,'Données projet'!$B$88,BD99+BC100-BL99)))</f>
        <v>189.30500000000004</v>
      </c>
      <c r="BE100" s="14">
        <f>BD100*VLOOKUP('Données projet'!$B$11,Paramètres!$A$1:$I$89,3,0)*VLOOKUP('Données projet'!$B$11,Paramètres!$A$1:$I$89,5,0)</f>
        <v>171.28316400000003</v>
      </c>
      <c r="BF100" s="14">
        <f t="shared" si="91"/>
        <v>43.377283741987583</v>
      </c>
      <c r="BG100" s="22">
        <f t="shared" si="61"/>
        <v>373.86694648396173</v>
      </c>
      <c r="BH100" s="62">
        <f t="shared" si="62"/>
        <v>650.41237276334459</v>
      </c>
      <c r="BI100" s="62">
        <f ca="1">AVERAGE(OFFSET($BH$3,0,0,'Données projet'!$E$11+1,1))-AVERAGE(OFFSET($H$3,0,0,'Données projet'!$E$11+1,1))</f>
        <v>316.71836722354374</v>
      </c>
      <c r="BJ100" s="62">
        <f t="shared" si="92"/>
        <v>164.34067012996618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14.007022323136281</v>
      </c>
      <c r="BQ100" s="23">
        <f>EXP(-LN(2)/25)*BQ99+(1-EXP(-LN(2)/25))/(LN(2)/25)*Calculateur!BL100*Calculateur!BN100*VLOOKUP('Données projet'!$B$11,Paramètres!$A$1:$I$89,3,0)*0.475*44/12</f>
        <v>5.3024958645513598</v>
      </c>
      <c r="BR100" s="23">
        <f>EXP(-LN(2)/2)*BR99+(1-EXP(-LN(2)/2))/(LN(2)/2)*BL100*BO100*VLOOKUP('Données projet'!$B$11,Paramètres!$A$1:$I$89,3,0)*0.475*44/12</f>
        <v>2.240944422830022E-6</v>
      </c>
      <c r="BS100" s="24">
        <f t="shared" si="63"/>
        <v>19.309520428632062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3.7879999999999994</v>
      </c>
      <c r="BY100" s="13">
        <f>IF('Données projet'!$A$114&gt;35,BY99+BX100-CG99,IF(A100&lt;'Données projet'!$A$114,$BV$205^A100,IF(A100='Données projet'!$A$114,'Données projet'!$B$114,BY99+BX100-CG99)))</f>
        <v>219.62600000000003</v>
      </c>
      <c r="BZ100" s="14">
        <f>BY100*VLOOKUP('Données projet'!$B$12,Paramètres!$A$1:$I$89,3,0)*VLOOKUP('Données projet'!$B$12,Paramètres!$A$1:$I$89,5,0)</f>
        <v>250.11008880000003</v>
      </c>
      <c r="CA100" s="14">
        <f t="shared" si="93"/>
        <v>60.609514107888842</v>
      </c>
      <c r="CB100" s="22">
        <f t="shared" si="64"/>
        <v>541.16997506457312</v>
      </c>
      <c r="CC100" s="62">
        <f t="shared" si="65"/>
        <v>817.71540134395593</v>
      </c>
      <c r="CD100" s="62">
        <f ca="1">AVERAGE(OFFSET($CC$3,0,0,'Données projet'!$E$12+1,1))-AVERAGE(OFFSET($H$3,0,0,'Données projet'!$E$12+1,1))</f>
        <v>454.9779384236806</v>
      </c>
      <c r="CE100" s="62">
        <f t="shared" si="94"/>
        <v>379.32753348721906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13.651694159881041</v>
      </c>
      <c r="CM100" s="23">
        <f>EXP(-LN(2)/2)*CM99+(1-EXP(-LN(2)/2))/(LN(2)/2)*CG100*CJ100*VLOOKUP('Données projet'!$B$12,Paramètres!$A$1:$I$89,3,0)*0.475*44/12</f>
        <v>0.35118450888541103</v>
      </c>
      <c r="CN100" s="24">
        <f t="shared" si="66"/>
        <v>14.002878668766451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252.10592533338991</v>
      </c>
      <c r="CZ100" s="62">
        <f t="shared" si="96"/>
        <v>272.71831345325313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53.221129498691113</v>
      </c>
      <c r="DH100" s="23">
        <f>EXP(-LN(2)/2)*DH99+(1-EXP(-LN(2)/2))/(LN(2)/2)*DB100*DE100*VLOOKUP('Données projet'!$B$13,Paramètres!$A$1:$I$89,3,0)*0.475*44/12</f>
        <v>4.5613943181388871E-5</v>
      </c>
      <c r="DI100" s="24">
        <f t="shared" si="69"/>
        <v>53.221175112634292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projet'!$B$14,Paramètres!$A$1:$I$89,3,0)*VLOOKUP('Données projet'!$B$14,Paramètres!$A$1:$I$89,5,0)</f>
        <v>0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423.0896575168394</v>
      </c>
      <c r="DU100" s="62">
        <f t="shared" si="98"/>
        <v>305.98537395014284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108.84866124696282</v>
      </c>
      <c r="EB100" s="23">
        <f>EXP(-LN(2)/25)*EB99+(1-EXP(-LN(2)/25))/(LN(2)/25)*Calculateur!DW100*Calculateur!DY100*VLOOKUP('Données projet'!$B$14,Paramètres!$A$1:$I$89,3,0)*0.475*44/12</f>
        <v>111.65046882349405</v>
      </c>
      <c r="EC100" s="23">
        <f>EXP(-LN(2)/2)*EC99+(1-EXP(-LN(2)/2))/(LN(2)/2)*DW100*DZ100*VLOOKUP('Données projet'!$B$14,Paramètres!$A$1:$I$89,3,0)*0.475*44/12</f>
        <v>8.9427525804112333E-6</v>
      </c>
      <c r="ED100" s="24">
        <f t="shared" si="72"/>
        <v>220.49913901320946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2.2737367544323206E-13</v>
      </c>
      <c r="EK100" s="18">
        <f>EJ100*VLOOKUP('Données projet'!$B$15,Paramètres!$A$1:$I$89,3,0)*VLOOKUP('Données projet'!$B$15,Paramètres!$A$1:$I$89,5,0)</f>
        <v>1.3596945791505279E-13</v>
      </c>
      <c r="EL100" s="14">
        <f t="shared" si="99"/>
        <v>1.9708830566360721E-12</v>
      </c>
      <c r="EM100" s="22">
        <f t="shared" si="73"/>
        <v>3.669434796176543E-12</v>
      </c>
      <c r="EN100" s="62">
        <f t="shared" si="74"/>
        <v>276.5454262793865</v>
      </c>
      <c r="EO100" s="62">
        <f ca="1">AVERAGE(OFFSET($EN$3,0,0,'Données projet'!$E$15+1,1))-AVERAGE(OFFSET($H$3,0,0,'Données projet'!$E$15+1,1))</f>
        <v>281.21543175875604</v>
      </c>
      <c r="EP100" s="62">
        <f t="shared" si="100"/>
        <v>366.68536296857428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45.890151449469087</v>
      </c>
      <c r="EW100" s="23">
        <f>EXP(-LN(2)/25)*EW99+(1-EXP(-LN(2)/25))/(LN(2)/25)*Calculateur!ER100*Calculateur!ET100*VLOOKUP('Données projet'!$B$15,Paramètres!$A$1:$I$89,3,0)*0.475*44/12</f>
        <v>11.589357515405517</v>
      </c>
      <c r="EX100" s="23">
        <f>EXP(-LN(2)/2)*EX99+(1-EXP(-LN(2)/2))/(LN(2)/2)*ER100*EU100*VLOOKUP('Données projet'!$B$15,Paramètres!$A$1:$I$89,3,0)*0.475*44/12</f>
        <v>1.4072452598186993E-5</v>
      </c>
      <c r="EY100" s="24">
        <f t="shared" si="75"/>
        <v>57.479523037327205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2.2737367544323206E-13</v>
      </c>
      <c r="FF100" s="18">
        <f>FE100*VLOOKUP('Données projet'!$B$16,Paramètres!$A$1:$I$89,3,0)*VLOOKUP('Données projet'!$B$16,Paramètres!$A$1:$I$89,5,0)</f>
        <v>1.2710188457276673E-13</v>
      </c>
      <c r="FG100" s="14">
        <f t="shared" si="101"/>
        <v>1.856866851063998E-12</v>
      </c>
      <c r="FH100" s="22">
        <f t="shared" si="76"/>
        <v>3.4554122145673649E-12</v>
      </c>
      <c r="FI100" s="62">
        <f t="shared" si="77"/>
        <v>276.54542627938628</v>
      </c>
      <c r="FJ100" s="62">
        <f ca="1">AVERAGE(OFFSET($FI$3,0,0,'Données projet'!$E$16+1,1))-AVERAGE(OFFSET($H$3,0,0,'Données projet'!$E$16+1,1))</f>
        <v>280.9225643428145</v>
      </c>
      <c r="FK100" s="62">
        <f t="shared" si="102"/>
        <v>236.89414218053955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143.55416603016565</v>
      </c>
      <c r="FR100" s="23">
        <f>EXP(-LN(2)/25)*FR99+(1-EXP(-LN(2)/25))/(LN(2)/25)*Calculateur!FM100*Calculateur!FO100*VLOOKUP('Données projet'!$B$16,Paramètres!$A$1:$I$89,3,0)*0.475*44/12</f>
        <v>37.092273057210249</v>
      </c>
      <c r="FS100" s="23">
        <f>EXP(-LN(2)/2)*FS99+(1-EXP(-LN(2)/2))/(LN(2)/2)*FM100*FP100*VLOOKUP('Données projet'!$B$16,Paramètres!$A$1:$I$89,3,0)*0.475*44/12</f>
        <v>3.7043758470140585E-7</v>
      </c>
      <c r="FT100" s="24">
        <f t="shared" si="78"/>
        <v>180.64643945781347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-5.6843418860808015E-13</v>
      </c>
      <c r="GA100" s="18">
        <f>FZ100*VLOOKUP('Données projet'!$B$17,Paramètres!$A$1:$I$89,3,0)*VLOOKUP('Données projet'!$B$17,Paramètres!$A$1:$I$89,5,0)</f>
        <v>-2.5124791136477147E-13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325.67421864225201</v>
      </c>
      <c r="GF100" s="62">
        <f t="shared" si="104"/>
        <v>542.01920418736745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92.906829519478748</v>
      </c>
      <c r="GM100" s="23">
        <f>EXP(-LN(2)/25)*GM99+(1-EXP(-LN(2)/25))/(LN(2)/25)*Calculateur!GH100*Calculateur!GJ100*VLOOKUP('Données projet'!$B$17,Paramètres!$A$1:$I$89,3,0)*0.475*44/12</f>
        <v>43.471765045451434</v>
      </c>
      <c r="GN100" s="23">
        <f>EXP(-LN(2)/2)*GN99+(1-EXP(-LN(2)/2))/(LN(2)/2)*GH100*GK100*VLOOKUP('Données projet'!$B$17,Paramètres!$A$1:$I$89,3,0)*0.475*44/12</f>
        <v>3.7730180947166121E-7</v>
      </c>
      <c r="GO100" s="23">
        <f t="shared" si="81"/>
        <v>136.37859494223198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2.9209999999999994</v>
      </c>
      <c r="GU100" s="13">
        <f>IF('Données projet'!$A$270&gt;35,GU99+GT100-HC99,IF(A100&lt;'Données projet'!$A$270,$GR$205^A100,IF(A100='Données projet'!$A$270,'Données projet'!$B$270,GU99+GT100-HC99)))</f>
        <v>119.3069999999999</v>
      </c>
      <c r="GV100" s="18">
        <f>GU100*VLOOKUP('Données projet'!$B$18,Paramètres!$A$1:$I$89,3,0)*VLOOKUP('Données projet'!$B$18,Paramètres!$A$1:$I$89,5,0)</f>
        <v>120.97729799999991</v>
      </c>
      <c r="GW100" s="14">
        <f t="shared" si="105"/>
        <v>31.902830289041901</v>
      </c>
      <c r="GX100" s="22">
        <f t="shared" si="82"/>
        <v>266.26622343674779</v>
      </c>
      <c r="GY100" s="62">
        <f t="shared" si="83"/>
        <v>542.81164971613066</v>
      </c>
      <c r="GZ100" s="62">
        <f ca="1">AVERAGE(OFFSET($GY$3,0,0,'Données projet'!$E$18+1,1))-AVERAGE(OFFSET($H$3,0,0,'Données projet'!$E$18+1,1))</f>
        <v>220.89224520315713</v>
      </c>
      <c r="HA100" s="62">
        <f t="shared" si="106"/>
        <v>141.82763623159096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-2.8421709430404007E-14</v>
      </c>
      <c r="O101" s="14">
        <f>N101*VLOOKUP('Données projet'!$B$9,Paramètres!$A$1:$I$89,3,0)*VLOOKUP('Données projet'!$B$9,Paramètres!$A$1:$I$89,5,0)</f>
        <v>-2.7489477361086758E-14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84.959354125980269</v>
      </c>
      <c r="T101" s="62">
        <f t="shared" si="88"/>
        <v>89.658970210276806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7.1627754988055816</v>
      </c>
      <c r="AB101" s="23">
        <f>EXP(-LN(2)/2)*AB100+(1-EXP(-LN(2)/2))/(LN(2)/2)*V101*Y101*VLOOKUP('Données projet'!$B$9,Paramètres!$A$1:$I$89,3,0)*0.475*44/12</f>
        <v>1.9965641471591952E-4</v>
      </c>
      <c r="AC101" s="24">
        <f t="shared" si="57"/>
        <v>7.1629751552202974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12.027399999999998</v>
      </c>
      <c r="AI101" s="14">
        <f>IF('Données projet'!$A$62&gt;35,AI100+AH101-AQ100,IF(A101&lt;'Données projet'!$A$62,$AF$205^A101,IF(A101='Données projet'!$A$62,'Données projet'!$B$62,AI100+AH101-AQ100)))</f>
        <v>370.42319999999995</v>
      </c>
      <c r="AJ101" s="14">
        <f>AI101*VLOOKUP('Données projet'!$B$10,Paramètres!$A$1:$I$89,3,0)*VLOOKUP('Données projet'!$B$10,Paramètres!$A$1:$I$89,5,0)</f>
        <v>352.49471711999996</v>
      </c>
      <c r="AK101" s="14">
        <f t="shared" si="89"/>
        <v>82.07598686884397</v>
      </c>
      <c r="AL101" s="22">
        <f t="shared" si="58"/>
        <v>756.8773094472366</v>
      </c>
      <c r="AM101" s="62">
        <f t="shared" si="59"/>
        <v>1033.713968381868</v>
      </c>
      <c r="AN101" s="62">
        <f ca="1">AVERAGE(OFFSET($AM$3,0,0,'Données projet'!$E$10+1,1))-AVERAGE(OFFSET($H$3,0,0,'Données projet'!$E$10+1,1))</f>
        <v>592.76231355549089</v>
      </c>
      <c r="AO101" s="62">
        <f t="shared" si="90"/>
        <v>200.66895551079014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40.526488164376232</v>
      </c>
      <c r="AV101" s="23">
        <f>EXP(-LN(2)/25)*AV100+(1-EXP(-LN(2)/25))/(LN(2)/25)*Calculateur!AQ101*Calculateur!AS101*VLOOKUP('Données projet'!$B$10,Paramètres!$A$1:$I$89,3,0)*0.475*44/12</f>
        <v>23.165949855991709</v>
      </c>
      <c r="AW101" s="23">
        <f>EXP(-LN(2)/2)*AW100+(1-EXP(-LN(2)/2))/(LN(2)/2)*AQ101*AT101*VLOOKUP('Données projet'!$B$10,Paramètres!$A$1:$I$89,3,0)*0.475*44/12</f>
        <v>2.4527181300601147E-5</v>
      </c>
      <c r="AX101" s="23">
        <f t="shared" si="60"/>
        <v>63.692462547549248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4.7849999999999993</v>
      </c>
      <c r="BD101" s="13">
        <f>IF('Données projet'!$A$88&gt;35,BD100+BC101-BL100,IF(A101&lt;'Données projet'!$A$88,$BA$205^A101,IF(A101='Données projet'!$A$88,'Données projet'!$B$88,BD100+BC101-BL100)))</f>
        <v>194.09000000000003</v>
      </c>
      <c r="BE101" s="14">
        <f>BD101*VLOOKUP('Données projet'!$B$11,Paramètres!$A$1:$I$89,3,0)*VLOOKUP('Données projet'!$B$11,Paramètres!$A$1:$I$89,5,0)</f>
        <v>175.61263200000002</v>
      </c>
      <c r="BF101" s="14">
        <f t="shared" si="91"/>
        <v>44.344680204414097</v>
      </c>
      <c r="BG101" s="22">
        <f t="shared" si="61"/>
        <v>383.09231875602126</v>
      </c>
      <c r="BH101" s="62">
        <f t="shared" si="62"/>
        <v>659.92897769065257</v>
      </c>
      <c r="BI101" s="62">
        <f ca="1">AVERAGE(OFFSET($BH$3,0,0,'Données projet'!$E$11+1,1))-AVERAGE(OFFSET($H$3,0,0,'Données projet'!$E$11+1,1))</f>
        <v>316.71836722354374</v>
      </c>
      <c r="BJ101" s="62">
        <f t="shared" si="92"/>
        <v>164.34067012996618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13.732353158819601</v>
      </c>
      <c r="BQ101" s="23">
        <f>EXP(-LN(2)/25)*BQ100+(1-EXP(-LN(2)/25))/(LN(2)/25)*Calculateur!BL101*Calculateur!BN101*VLOOKUP('Données projet'!$B$11,Paramètres!$A$1:$I$89,3,0)*0.475*44/12</f>
        <v>5.1574988362890641</v>
      </c>
      <c r="BR101" s="23">
        <f>EXP(-LN(2)/2)*BR100+(1-EXP(-LN(2)/2))/(LN(2)/2)*BL101*BO101*VLOOKUP('Données projet'!$B$11,Paramètres!$A$1:$I$89,3,0)*0.475*44/12</f>
        <v>1.5845869976452824E-6</v>
      </c>
      <c r="BS101" s="24">
        <f t="shared" si="63"/>
        <v>18.889853579695661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3.7879999999999994</v>
      </c>
      <c r="BY101" s="13">
        <f>IF('Données projet'!$A$114&gt;35,BY100+BX101-CG100,IF(A101&lt;'Données projet'!$A$114,$BV$205^A101,IF(A101='Données projet'!$A$114,'Données projet'!$B$114,BY100+BX101-CG100)))</f>
        <v>223.41400000000004</v>
      </c>
      <c r="BZ101" s="14">
        <f>BY101*VLOOKUP('Données projet'!$B$12,Paramètres!$A$1:$I$89,3,0)*VLOOKUP('Données projet'!$B$12,Paramètres!$A$1:$I$89,5,0)</f>
        <v>254.42386320000006</v>
      </c>
      <c r="CA101" s="14">
        <f t="shared" si="93"/>
        <v>61.532275334775456</v>
      </c>
      <c r="CB101" s="22">
        <f t="shared" si="64"/>
        <v>550.2902746147339</v>
      </c>
      <c r="CC101" s="62">
        <f t="shared" si="65"/>
        <v>827.12693354936528</v>
      </c>
      <c r="CD101" s="62">
        <f ca="1">AVERAGE(OFFSET($CC$3,0,0,'Données projet'!$E$12+1,1))-AVERAGE(OFFSET($H$3,0,0,'Données projet'!$E$12+1,1))</f>
        <v>454.9779384236806</v>
      </c>
      <c r="CE101" s="62">
        <f t="shared" si="94"/>
        <v>379.32753348721906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13.2783878651677</v>
      </c>
      <c r="CM101" s="23">
        <f>EXP(-LN(2)/2)*CM100+(1-EXP(-LN(2)/2))/(LN(2)/2)*CG101*CJ101*VLOOKUP('Données projet'!$B$12,Paramètres!$A$1:$I$89,3,0)*0.475*44/12</f>
        <v>0.2483249476805415</v>
      </c>
      <c r="CN101" s="24">
        <f t="shared" si="66"/>
        <v>13.526712812848242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252.10592533338991</v>
      </c>
      <c r="CZ101" s="62">
        <f t="shared" si="96"/>
        <v>272.71831345325313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51.765794913771842</v>
      </c>
      <c r="DH101" s="23">
        <f>EXP(-LN(2)/2)*DH100+(1-EXP(-LN(2)/2))/(LN(2)/2)*DB101*DE101*VLOOKUP('Données projet'!$B$13,Paramètres!$A$1:$I$89,3,0)*0.475*44/12</f>
        <v>3.2253928540217952E-5</v>
      </c>
      <c r="DI101" s="24">
        <f t="shared" si="69"/>
        <v>51.76582716770038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projet'!$B$14,Paramètres!$A$1:$I$89,3,0)*VLOOKUP('Données projet'!$B$14,Paramètres!$A$1:$I$89,5,0)</f>
        <v>0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423.0896575168394</v>
      </c>
      <c r="DU101" s="62">
        <f t="shared" si="98"/>
        <v>305.98537395014284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106.71420539103767</v>
      </c>
      <c r="EB101" s="23">
        <f>EXP(-LN(2)/25)*EB100+(1-EXP(-LN(2)/25))/(LN(2)/25)*Calculateur!DW101*Calculateur!DY101*VLOOKUP('Données projet'!$B$14,Paramètres!$A$1:$I$89,3,0)*0.475*44/12</f>
        <v>108.59738088207263</v>
      </c>
      <c r="EC101" s="23">
        <f>EXP(-LN(2)/2)*EC100+(1-EXP(-LN(2)/2))/(LN(2)/2)*DW101*DZ101*VLOOKUP('Données projet'!$B$14,Paramètres!$A$1:$I$89,3,0)*0.475*44/12</f>
        <v>6.3234809920822793E-6</v>
      </c>
      <c r="ED101" s="24">
        <f t="shared" si="72"/>
        <v>215.31159259659128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2.2737367544323206E-13</v>
      </c>
      <c r="EK101" s="18">
        <f>EJ101*VLOOKUP('Données projet'!$B$15,Paramètres!$A$1:$I$89,3,0)*VLOOKUP('Données projet'!$B$15,Paramètres!$A$1:$I$89,5,0)</f>
        <v>1.3596945791505279E-13</v>
      </c>
      <c r="EL101" s="14">
        <f t="shared" si="99"/>
        <v>1.9708830566360721E-12</v>
      </c>
      <c r="EM101" s="22">
        <f t="shared" si="73"/>
        <v>3.669434796176543E-12</v>
      </c>
      <c r="EN101" s="62">
        <f t="shared" si="74"/>
        <v>276.83665893463507</v>
      </c>
      <c r="EO101" s="62">
        <f ca="1">AVERAGE(OFFSET($EN$3,0,0,'Données projet'!$E$15+1,1))-AVERAGE(OFFSET($H$3,0,0,'Données projet'!$E$15+1,1))</f>
        <v>281.21543175875604</v>
      </c>
      <c r="EP101" s="62">
        <f t="shared" si="100"/>
        <v>366.68536296857428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44.990273569773578</v>
      </c>
      <c r="EW101" s="23">
        <f>EXP(-LN(2)/25)*EW100+(1-EXP(-LN(2)/25))/(LN(2)/25)*Calculateur!ER101*Calculateur!ET101*VLOOKUP('Données projet'!$B$15,Paramètres!$A$1:$I$89,3,0)*0.475*44/12</f>
        <v>11.272445924688929</v>
      </c>
      <c r="EX101" s="23">
        <f>EXP(-LN(2)/2)*EX100+(1-EXP(-LN(2)/2))/(LN(2)/2)*ER101*EU101*VLOOKUP('Données projet'!$B$15,Paramètres!$A$1:$I$89,3,0)*0.475*44/12</f>
        <v>9.9507266601042723E-6</v>
      </c>
      <c r="EY101" s="24">
        <f t="shared" si="75"/>
        <v>56.262729445189166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2.2737367544323206E-13</v>
      </c>
      <c r="FF101" s="18">
        <f>FE101*VLOOKUP('Données projet'!$B$16,Paramètres!$A$1:$I$89,3,0)*VLOOKUP('Données projet'!$B$16,Paramètres!$A$1:$I$89,5,0)</f>
        <v>1.2710188457276673E-13</v>
      </c>
      <c r="FG101" s="14">
        <f t="shared" si="101"/>
        <v>1.856866851063998E-12</v>
      </c>
      <c r="FH101" s="22">
        <f t="shared" si="76"/>
        <v>3.4554122145673649E-12</v>
      </c>
      <c r="FI101" s="62">
        <f t="shared" si="77"/>
        <v>276.83665893463484</v>
      </c>
      <c r="FJ101" s="62">
        <f ca="1">AVERAGE(OFFSET($FI$3,0,0,'Données projet'!$E$16+1,1))-AVERAGE(OFFSET($H$3,0,0,'Données projet'!$E$16+1,1))</f>
        <v>280.9225643428145</v>
      </c>
      <c r="FK101" s="62">
        <f t="shared" si="102"/>
        <v>236.89414218053955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140.73915639370961</v>
      </c>
      <c r="FR101" s="23">
        <f>EXP(-LN(2)/25)*FR100+(1-EXP(-LN(2)/25))/(LN(2)/25)*Calculateur!FM101*Calculateur!FO101*VLOOKUP('Données projet'!$B$16,Paramètres!$A$1:$I$89,3,0)*0.475*44/12</f>
        <v>36.077982899862974</v>
      </c>
      <c r="FS101" s="23">
        <f>EXP(-LN(2)/2)*FS100+(1-EXP(-LN(2)/2))/(LN(2)/2)*FM101*FP101*VLOOKUP('Données projet'!$B$16,Paramètres!$A$1:$I$89,3,0)*0.475*44/12</f>
        <v>2.6193892814873015E-7</v>
      </c>
      <c r="FT101" s="24">
        <f t="shared" si="78"/>
        <v>176.81713955551152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-5.6843418860808015E-13</v>
      </c>
      <c r="GA101" s="18">
        <f>FZ101*VLOOKUP('Données projet'!$B$17,Paramètres!$A$1:$I$89,3,0)*VLOOKUP('Données projet'!$B$17,Paramètres!$A$1:$I$89,5,0)</f>
        <v>-2.5124791136477147E-13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325.67421864225201</v>
      </c>
      <c r="GF101" s="62">
        <f t="shared" si="104"/>
        <v>542.01920418736745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91.084983260172322</v>
      </c>
      <c r="GM101" s="23">
        <f>EXP(-LN(2)/25)*GM100+(1-EXP(-LN(2)/25))/(LN(2)/25)*Calculateur!GH101*Calculateur!GJ101*VLOOKUP('Données projet'!$B$17,Paramètres!$A$1:$I$89,3,0)*0.475*44/12</f>
        <v>42.2830273442028</v>
      </c>
      <c r="GN101" s="23">
        <f>EXP(-LN(2)/2)*GN100+(1-EXP(-LN(2)/2))/(LN(2)/2)*GH101*GK101*VLOOKUP('Données projet'!$B$17,Paramètres!$A$1:$I$89,3,0)*0.475*44/12</f>
        <v>2.6679266803136638E-7</v>
      </c>
      <c r="GO101" s="23">
        <f t="shared" si="81"/>
        <v>133.3680108711678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2.9209999999999994</v>
      </c>
      <c r="GU101" s="13">
        <f>IF('Données projet'!$A$270&gt;35,GU100+GT101-HC100,IF(A101&lt;'Données projet'!$A$270,$GR$205^A101,IF(A101='Données projet'!$A$270,'Données projet'!$B$270,GU100+GT101-HC100)))</f>
        <v>122.22799999999989</v>
      </c>
      <c r="GV101" s="18">
        <f>GU101*VLOOKUP('Données projet'!$B$18,Paramètres!$A$1:$I$89,3,0)*VLOOKUP('Données projet'!$B$18,Paramètres!$A$1:$I$89,5,0)</f>
        <v>123.93919199999989</v>
      </c>
      <c r="GW101" s="14">
        <f t="shared" si="105"/>
        <v>32.592016933727443</v>
      </c>
      <c r="GX101" s="22">
        <f t="shared" si="82"/>
        <v>272.6251888929084</v>
      </c>
      <c r="GY101" s="62">
        <f t="shared" si="83"/>
        <v>549.46184782753971</v>
      </c>
      <c r="GZ101" s="62">
        <f ca="1">AVERAGE(OFFSET($GY$3,0,0,'Données projet'!$E$18+1,1))-AVERAGE(OFFSET($H$3,0,0,'Données projet'!$E$18+1,1))</f>
        <v>220.89224520315713</v>
      </c>
      <c r="HA101" s="62">
        <f t="shared" si="106"/>
        <v>141.82763623159096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-2.8421709430404007E-14</v>
      </c>
      <c r="O102" s="14">
        <f>N102*VLOOKUP('Données projet'!$B$9,Paramètres!$A$1:$I$89,3,0)*VLOOKUP('Données projet'!$B$9,Paramètres!$A$1:$I$89,5,0)</f>
        <v>-2.7489477361086758E-14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84.959354125980269</v>
      </c>
      <c r="T102" s="62">
        <f t="shared" si="88"/>
        <v>89.658970210276806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6.9669090261167499</v>
      </c>
      <c r="AB102" s="23">
        <f>EXP(-LN(2)/2)*AB101+(1-EXP(-LN(2)/2))/(LN(2)/2)*V102*Y102*VLOOKUP('Données projet'!$B$9,Paramètres!$A$1:$I$89,3,0)*0.475*44/12</f>
        <v>1.4117840475302029E-4</v>
      </c>
      <c r="AC102" s="24">
        <f t="shared" si="57"/>
        <v>6.9670502045215033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12.027399999999998</v>
      </c>
      <c r="AI102" s="14">
        <f>IF('Données projet'!$A$62&gt;35,AI101+AH102-AQ101,IF(A102&lt;'Données projet'!$A$62,$AF$205^A102,IF(A102='Données projet'!$A$62,'Données projet'!$B$62,AI101+AH102-AQ101)))</f>
        <v>382.45059999999995</v>
      </c>
      <c r="AJ102" s="14">
        <f>AI102*VLOOKUP('Données projet'!$B$10,Paramètres!$A$1:$I$89,3,0)*VLOOKUP('Données projet'!$B$10,Paramètres!$A$1:$I$89,5,0)</f>
        <v>363.93999095999993</v>
      </c>
      <c r="AK102" s="14">
        <f t="shared" si="89"/>
        <v>84.426343116802983</v>
      </c>
      <c r="AL102" s="22">
        <f t="shared" si="58"/>
        <v>780.90469851709838</v>
      </c>
      <c r="AM102" s="62">
        <f t="shared" si="59"/>
        <v>1058.0275378715085</v>
      </c>
      <c r="AN102" s="62">
        <f ca="1">AVERAGE(OFFSET($AM$3,0,0,'Données projet'!$E$10+1,1))-AVERAGE(OFFSET($H$3,0,0,'Données projet'!$E$10+1,1))</f>
        <v>592.76231355549089</v>
      </c>
      <c r="AO102" s="62">
        <f t="shared" si="90"/>
        <v>200.66895551079014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39.731788450189825</v>
      </c>
      <c r="AV102" s="23">
        <f>EXP(-LN(2)/25)*AV101+(1-EXP(-LN(2)/25))/(LN(2)/25)*Calculateur!AQ102*Calculateur!AS102*VLOOKUP('Données projet'!$B$10,Paramètres!$A$1:$I$89,3,0)*0.475*44/12</f>
        <v>22.532475738935258</v>
      </c>
      <c r="AW102" s="23">
        <f>EXP(-LN(2)/2)*AW101+(1-EXP(-LN(2)/2))/(LN(2)/2)*AQ102*AT102*VLOOKUP('Données projet'!$B$10,Paramètres!$A$1:$I$89,3,0)*0.475*44/12</f>
        <v>1.7343336221046955E-5</v>
      </c>
      <c r="AX102" s="23">
        <f t="shared" si="60"/>
        <v>62.264281532461304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4.7849999999999993</v>
      </c>
      <c r="BD102" s="13">
        <f>IF('Données projet'!$A$88&gt;35,BD101+BC102-BL101,IF(A102&lt;'Données projet'!$A$88,$BA$205^A102,IF(A102='Données projet'!$A$88,'Données projet'!$B$88,BD101+BC102-BL101)))</f>
        <v>198.87500000000003</v>
      </c>
      <c r="BE102" s="14">
        <f>BD102*VLOOKUP('Données projet'!$B$11,Paramètres!$A$1:$I$89,3,0)*VLOOKUP('Données projet'!$B$11,Paramètres!$A$1:$I$89,5,0)</f>
        <v>179.94210000000001</v>
      </c>
      <c r="BF102" s="14">
        <f t="shared" si="91"/>
        <v>45.309304242121357</v>
      </c>
      <c r="BG102" s="22">
        <f t="shared" si="61"/>
        <v>392.31286238836134</v>
      </c>
      <c r="BH102" s="62">
        <f t="shared" si="62"/>
        <v>669.43570174277147</v>
      </c>
      <c r="BI102" s="62">
        <f ca="1">AVERAGE(OFFSET($BH$3,0,0,'Données projet'!$E$11+1,1))-AVERAGE(OFFSET($H$3,0,0,'Données projet'!$E$11+1,1))</f>
        <v>316.71836722354374</v>
      </c>
      <c r="BJ102" s="62">
        <f t="shared" si="92"/>
        <v>164.34067012996618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13.463070089283523</v>
      </c>
      <c r="BQ102" s="23">
        <f>EXP(-LN(2)/25)*BQ101+(1-EXP(-LN(2)/25))/(LN(2)/25)*Calculateur!BL102*Calculateur!BN102*VLOOKUP('Données projet'!$B$11,Paramètres!$A$1:$I$89,3,0)*0.475*44/12</f>
        <v>5.0164667593896635</v>
      </c>
      <c r="BR102" s="23">
        <f>EXP(-LN(2)/2)*BR101+(1-EXP(-LN(2)/2))/(LN(2)/2)*BL102*BO102*VLOOKUP('Données projet'!$B$11,Paramètres!$A$1:$I$89,3,0)*0.475*44/12</f>
        <v>1.120472211415011E-6</v>
      </c>
      <c r="BS102" s="24">
        <f t="shared" si="63"/>
        <v>18.479537969145397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3.7879999999999994</v>
      </c>
      <c r="BY102" s="13">
        <f>IF('Données projet'!$A$114&gt;35,BY101+BX102-CG101,IF(A102&lt;'Données projet'!$A$114,$BV$205^A102,IF(A102='Données projet'!$A$114,'Données projet'!$B$114,BY101+BX102-CG101)))</f>
        <v>227.20200000000006</v>
      </c>
      <c r="BZ102" s="14">
        <f>BY102*VLOOKUP('Données projet'!$B$12,Paramètres!$A$1:$I$89,3,0)*VLOOKUP('Données projet'!$B$12,Paramètres!$A$1:$I$89,5,0)</f>
        <v>258.73763760000008</v>
      </c>
      <c r="CA102" s="14">
        <f t="shared" si="93"/>
        <v>62.453217131379368</v>
      </c>
      <c r="CB102" s="22">
        <f t="shared" si="64"/>
        <v>559.40740532381915</v>
      </c>
      <c r="CC102" s="62">
        <f t="shared" si="65"/>
        <v>836.53024467822934</v>
      </c>
      <c r="CD102" s="62">
        <f ca="1">AVERAGE(OFFSET($CC$3,0,0,'Données projet'!$E$12+1,1))-AVERAGE(OFFSET($H$3,0,0,'Données projet'!$E$12+1,1))</f>
        <v>454.9779384236806</v>
      </c>
      <c r="CE102" s="62">
        <f t="shared" si="94"/>
        <v>379.32753348721906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12.91528965071462</v>
      </c>
      <c r="CM102" s="23">
        <f>EXP(-LN(2)/2)*CM101+(1-EXP(-LN(2)/2))/(LN(2)/2)*CG102*CJ102*VLOOKUP('Données projet'!$B$12,Paramètres!$A$1:$I$89,3,0)*0.475*44/12</f>
        <v>0.17559225444270554</v>
      </c>
      <c r="CN102" s="24">
        <f t="shared" si="66"/>
        <v>13.090881905157325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252.10592533338991</v>
      </c>
      <c r="CZ102" s="62">
        <f t="shared" si="96"/>
        <v>272.71831345325313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50.350256529609908</v>
      </c>
      <c r="DH102" s="23">
        <f>EXP(-LN(2)/2)*DH101+(1-EXP(-LN(2)/2))/(LN(2)/2)*DB102*DE102*VLOOKUP('Données projet'!$B$13,Paramètres!$A$1:$I$89,3,0)*0.475*44/12</f>
        <v>2.2806971590694436E-5</v>
      </c>
      <c r="DI102" s="24">
        <f t="shared" si="69"/>
        <v>50.350279336581501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projet'!$B$14,Paramètres!$A$1:$I$89,3,0)*VLOOKUP('Données projet'!$B$14,Paramètres!$A$1:$I$89,5,0)</f>
        <v>0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423.0896575168394</v>
      </c>
      <c r="DU102" s="62">
        <f t="shared" si="98"/>
        <v>305.98537395014284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104.62160491255767</v>
      </c>
      <c r="EB102" s="23">
        <f>EXP(-LN(2)/25)*EB101+(1-EXP(-LN(2)/25))/(LN(2)/25)*Calculateur!DW102*Calculateur!DY102*VLOOKUP('Données projet'!$B$14,Paramètres!$A$1:$I$89,3,0)*0.475*44/12</f>
        <v>105.6277797909643</v>
      </c>
      <c r="EC102" s="23">
        <f>EXP(-LN(2)/2)*EC101+(1-EXP(-LN(2)/2))/(LN(2)/2)*DW102*DZ102*VLOOKUP('Données projet'!$B$14,Paramètres!$A$1:$I$89,3,0)*0.475*44/12</f>
        <v>4.4713762902056167E-6</v>
      </c>
      <c r="ED102" s="24">
        <f t="shared" si="72"/>
        <v>210.24938917489825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2.2737367544323206E-13</v>
      </c>
      <c r="EK102" s="18">
        <f>EJ102*VLOOKUP('Données projet'!$B$15,Paramètres!$A$1:$I$89,3,0)*VLOOKUP('Données projet'!$B$15,Paramètres!$A$1:$I$89,5,0)</f>
        <v>1.3596945791505279E-13</v>
      </c>
      <c r="EL102" s="14">
        <f t="shared" si="99"/>
        <v>1.9708830566360721E-12</v>
      </c>
      <c r="EM102" s="22">
        <f t="shared" si="73"/>
        <v>3.669434796176543E-12</v>
      </c>
      <c r="EN102" s="62">
        <f t="shared" si="74"/>
        <v>277.12283935441383</v>
      </c>
      <c r="EO102" s="62">
        <f ca="1">AVERAGE(OFFSET($EN$3,0,0,'Données projet'!$E$15+1,1))-AVERAGE(OFFSET($H$3,0,0,'Données projet'!$E$15+1,1))</f>
        <v>281.21543175875604</v>
      </c>
      <c r="EP102" s="62">
        <f t="shared" si="100"/>
        <v>366.68536296857428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44.108041746427588</v>
      </c>
      <c r="EW102" s="23">
        <f>EXP(-LN(2)/25)*EW101+(1-EXP(-LN(2)/25))/(LN(2)/25)*Calculateur!ER102*Calculateur!ET102*VLOOKUP('Données projet'!$B$15,Paramètres!$A$1:$I$89,3,0)*0.475*44/12</f>
        <v>10.964200298086142</v>
      </c>
      <c r="EX102" s="23">
        <f>EXP(-LN(2)/2)*EX101+(1-EXP(-LN(2)/2))/(LN(2)/2)*ER102*EU102*VLOOKUP('Données projet'!$B$15,Paramètres!$A$1:$I$89,3,0)*0.475*44/12</f>
        <v>7.0362262990934966E-6</v>
      </c>
      <c r="EY102" s="24">
        <f t="shared" si="75"/>
        <v>55.072249080740029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2.2737367544323206E-13</v>
      </c>
      <c r="FF102" s="18">
        <f>FE102*VLOOKUP('Données projet'!$B$16,Paramètres!$A$1:$I$89,3,0)*VLOOKUP('Données projet'!$B$16,Paramètres!$A$1:$I$89,5,0)</f>
        <v>1.2710188457276673E-13</v>
      </c>
      <c r="FG102" s="14">
        <f t="shared" si="101"/>
        <v>1.856866851063998E-12</v>
      </c>
      <c r="FH102" s="22">
        <f t="shared" si="76"/>
        <v>3.4554122145673649E-12</v>
      </c>
      <c r="FI102" s="62">
        <f t="shared" si="77"/>
        <v>277.1228393544136</v>
      </c>
      <c r="FJ102" s="62">
        <f ca="1">AVERAGE(OFFSET($FI$3,0,0,'Données projet'!$E$16+1,1))-AVERAGE(OFFSET($H$3,0,0,'Données projet'!$E$16+1,1))</f>
        <v>280.9225643428145</v>
      </c>
      <c r="FK102" s="62">
        <f t="shared" si="102"/>
        <v>236.89414218053955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137.97934737923813</v>
      </c>
      <c r="FR102" s="23">
        <f>EXP(-LN(2)/25)*FR101+(1-EXP(-LN(2)/25))/(LN(2)/25)*Calculateur!FM102*Calculateur!FO102*VLOOKUP('Données projet'!$B$16,Paramètres!$A$1:$I$89,3,0)*0.475*44/12</f>
        <v>35.091428560207561</v>
      </c>
      <c r="FS102" s="23">
        <f>EXP(-LN(2)/2)*FS101+(1-EXP(-LN(2)/2))/(LN(2)/2)*FM102*FP102*VLOOKUP('Données projet'!$B$16,Paramètres!$A$1:$I$89,3,0)*0.475*44/12</f>
        <v>1.8521879235070293E-7</v>
      </c>
      <c r="FT102" s="24">
        <f t="shared" si="78"/>
        <v>173.07077612466449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-5.6843418860808015E-13</v>
      </c>
      <c r="GA102" s="18">
        <f>FZ102*VLOOKUP('Données projet'!$B$17,Paramètres!$A$1:$I$89,3,0)*VLOOKUP('Données projet'!$B$17,Paramètres!$A$1:$I$89,5,0)</f>
        <v>-2.5124791136477147E-13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325.67421864225201</v>
      </c>
      <c r="GF102" s="62">
        <f t="shared" si="104"/>
        <v>542.01920418736745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89.298862294794404</v>
      </c>
      <c r="GM102" s="23">
        <f>EXP(-LN(2)/25)*GM101+(1-EXP(-LN(2)/25))/(LN(2)/25)*Calculateur!GH102*Calculateur!GJ102*VLOOKUP('Données projet'!$B$17,Paramètres!$A$1:$I$89,3,0)*0.475*44/12</f>
        <v>41.126795737907806</v>
      </c>
      <c r="GN102" s="23">
        <f>EXP(-LN(2)/2)*GN101+(1-EXP(-LN(2)/2))/(LN(2)/2)*GH102*GK102*VLOOKUP('Données projet'!$B$17,Paramètres!$A$1:$I$89,3,0)*0.475*44/12</f>
        <v>1.8865090473583061E-7</v>
      </c>
      <c r="GO102" s="23">
        <f t="shared" si="81"/>
        <v>130.42565822135313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2.9209999999999994</v>
      </c>
      <c r="GU102" s="13">
        <f>IF('Données projet'!$A$270&gt;35,GU101+GT102-HC101,IF(A102&lt;'Données projet'!$A$270,$GR$205^A102,IF(A102='Données projet'!$A$270,'Données projet'!$B$270,GU101+GT102-HC101)))</f>
        <v>125.14899999999989</v>
      </c>
      <c r="GV102" s="18">
        <f>GU102*VLOOKUP('Données projet'!$B$18,Paramètres!$A$1:$I$89,3,0)*VLOOKUP('Données projet'!$B$18,Paramètres!$A$1:$I$89,5,0)</f>
        <v>126.90108599999989</v>
      </c>
      <c r="GW102" s="14">
        <f t="shared" si="105"/>
        <v>33.279288923664531</v>
      </c>
      <c r="GX102" s="22">
        <f t="shared" si="82"/>
        <v>278.98081965871557</v>
      </c>
      <c r="GY102" s="62">
        <f t="shared" si="83"/>
        <v>556.10365901312571</v>
      </c>
      <c r="GZ102" s="62">
        <f ca="1">AVERAGE(OFFSET($GY$3,0,0,'Données projet'!$E$18+1,1))-AVERAGE(OFFSET($H$3,0,0,'Données projet'!$E$18+1,1))</f>
        <v>220.89224520315713</v>
      </c>
      <c r="HA102" s="62">
        <f t="shared" si="106"/>
        <v>141.82763623159096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-2.8421709430404007E-14</v>
      </c>
      <c r="O103" s="14">
        <f>N103*VLOOKUP('Données projet'!$B$9,Paramètres!$A$1:$I$89,3,0)*VLOOKUP('Données projet'!$B$9,Paramètres!$A$1:$I$89,5,0)</f>
        <v>-2.7489477361086758E-14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84.959354125980269</v>
      </c>
      <c r="T103" s="62">
        <f t="shared" si="88"/>
        <v>89.658970210276806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6.776398532423765</v>
      </c>
      <c r="AB103" s="23">
        <f>EXP(-LN(2)/2)*AB102+(1-EXP(-LN(2)/2))/(LN(2)/2)*V103*Y103*VLOOKUP('Données projet'!$B$9,Paramètres!$A$1:$I$89,3,0)*0.475*44/12</f>
        <v>9.9828207357959762E-5</v>
      </c>
      <c r="AC103" s="24">
        <f t="shared" si="57"/>
        <v>6.7764983606311233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12.027399999999998</v>
      </c>
      <c r="AI103" s="14">
        <f>IF('Données projet'!$A$62&gt;35,AI102+AH103-AQ102,IF(A103&lt;'Données projet'!$A$62,$AF$205^A103,IF(A103='Données projet'!$A$62,'Données projet'!$B$62,AI102+AH103-AQ102)))</f>
        <v>394.47799999999995</v>
      </c>
      <c r="AJ103" s="14">
        <f>AI103*VLOOKUP('Données projet'!$B$10,Paramètres!$A$1:$I$89,3,0)*VLOOKUP('Données projet'!$B$10,Paramètres!$A$1:$I$89,5,0)</f>
        <v>375.38526479999996</v>
      </c>
      <c r="AK103" s="14">
        <f t="shared" si="89"/>
        <v>86.768109940014028</v>
      </c>
      <c r="AL103" s="22">
        <f t="shared" si="58"/>
        <v>804.91712767219099</v>
      </c>
      <c r="AM103" s="62">
        <f t="shared" si="59"/>
        <v>1082.3211828559001</v>
      </c>
      <c r="AN103" s="62">
        <f ca="1">AVERAGE(OFFSET($AM$3,0,0,'Données projet'!$E$10+1,1))-AVERAGE(OFFSET($H$3,0,0,'Données projet'!$E$10+1,1))</f>
        <v>592.76231355549089</v>
      </c>
      <c r="AO103" s="62">
        <f t="shared" si="90"/>
        <v>200.66895551079014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38.952672312679645</v>
      </c>
      <c r="AV103" s="23">
        <f>EXP(-LN(2)/25)*AV102+(1-EXP(-LN(2)/25))/(LN(2)/25)*Calculateur!AQ103*Calculateur!AS103*VLOOKUP('Données projet'!$B$10,Paramètres!$A$1:$I$89,3,0)*0.475*44/12</f>
        <v>21.916324004922672</v>
      </c>
      <c r="AW103" s="23">
        <f>EXP(-LN(2)/2)*AW102+(1-EXP(-LN(2)/2))/(LN(2)/2)*AQ103*AT103*VLOOKUP('Données projet'!$B$10,Paramètres!$A$1:$I$89,3,0)*0.475*44/12</f>
        <v>1.2263590650300573E-5</v>
      </c>
      <c r="AX103" s="23">
        <f t="shared" si="60"/>
        <v>60.869008581192965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203.66</v>
      </c>
      <c r="BB103" s="13">
        <f>VLOOKUP(A103,'Données projet'!$A$87:$I$107,9,0)</f>
        <v>4.7849999999999993</v>
      </c>
      <c r="BC103" s="13">
        <f t="array" ref="BC103">INDEX(BB:BB,MIN(IF(ISNUMBER(BB103:BB299),ROW(BB103:BB299),"")))</f>
        <v>4.7849999999999993</v>
      </c>
      <c r="BD103" s="13">
        <f>IF('Données projet'!$A$88&gt;35,BD102+BC103-BL102,IF(A103&lt;'Données projet'!$A$88,$BA$205^A103,IF(A103='Données projet'!$A$88,'Données projet'!$B$88,BD102+BC103-BL102)))</f>
        <v>203.66000000000003</v>
      </c>
      <c r="BE103" s="14">
        <f>BD103*VLOOKUP('Données projet'!$B$11,Paramètres!$A$1:$I$89,3,0)*VLOOKUP('Données projet'!$B$11,Paramètres!$A$1:$I$89,5,0)</f>
        <v>184.27156800000003</v>
      </c>
      <c r="BF103" s="14">
        <f t="shared" si="91"/>
        <v>46.271230235434594</v>
      </c>
      <c r="BG103" s="22">
        <f t="shared" si="61"/>
        <v>401.5287069267153</v>
      </c>
      <c r="BH103" s="62">
        <f t="shared" si="62"/>
        <v>678.93276211042451</v>
      </c>
      <c r="BI103" s="62">
        <f ca="1">AVERAGE(OFFSET($BH$3,0,0,'Données projet'!$E$11+1,1))-AVERAGE(OFFSET($H$3,0,0,'Données projet'!$E$11+1,1))</f>
        <v>316.71836722354374</v>
      </c>
      <c r="BJ103" s="62">
        <f t="shared" si="92"/>
        <v>164.34067012996618</v>
      </c>
      <c r="BK103" s="16">
        <f>IF(ISNA(VLOOKUP(A103,'Données projet'!$A$87:$I$107,3,0)),0,VLOOKUP(A103,'Données projet'!$A$87:$I$107,3,0))</f>
        <v>12</v>
      </c>
      <c r="BL103" s="16">
        <f>IF(ISNA(VLOOKUP(A103,'Données projet'!$A$87:$I$107,4,0)),0,VLOOKUP(A103,'Données projet'!$A$87:$I$107,4,0))</f>
        <v>24.03</v>
      </c>
      <c r="BM103" s="17">
        <f>IF(ISNA(VLOOKUP(A103,'Données projet'!$A$87:$I$107,5,0)),0%,VLOOKUP(A103,'Données projet'!$A$87:$I$107,5,0)*VLOOKUP('Données projet'!$B$11,Paramètres!$A$1:$I$89,7,0))</f>
        <v>0.25800000000000001</v>
      </c>
      <c r="BN103" s="17">
        <f>IF(ISNA(VLOOKUP(A103,'Données projet'!$A$87:$I$107,6,0)),0%,VLOOKUP(A103,'Données projet'!$A$87:$I$107,6,0)*VLOOKUP('Données projet'!$B$11,Paramètres!$A$1:$I$89,7,0))</f>
        <v>8.6000000000000007E-2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19.400230953087512</v>
      </c>
      <c r="BQ103" s="23">
        <f>EXP(-LN(2)/25)*BQ102+(1-EXP(-LN(2)/25))/(LN(2)/25)*Calculateur!BL103*Calculateur!BN103*VLOOKUP('Données projet'!$B$11,Paramètres!$A$1:$I$89,3,0)*0.475*44/12</f>
        <v>6.9382069164615618</v>
      </c>
      <c r="BR103" s="23">
        <f>EXP(-LN(2)/2)*BR102+(1-EXP(-LN(2)/2))/(LN(2)/2)*BL103*BO103*VLOOKUP('Données projet'!$B$11,Paramètres!$A$1:$I$89,3,0)*0.475*44/12</f>
        <v>7.922934988226412E-7</v>
      </c>
      <c r="BS103" s="24">
        <f t="shared" si="63"/>
        <v>26.338438661842574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3.7879999999999994</v>
      </c>
      <c r="BY103" s="13">
        <f>IF('Données projet'!$A$114&gt;35,BY102+BX103-CG102,IF(A103&lt;'Données projet'!$A$114,$BV$205^A103,IF(A103='Données projet'!$A$114,'Données projet'!$B$114,BY102+BX103-CG102)))</f>
        <v>230.99000000000007</v>
      </c>
      <c r="BZ103" s="14">
        <f>BY103*VLOOKUP('Données projet'!$B$12,Paramètres!$A$1:$I$89,3,0)*VLOOKUP('Données projet'!$B$12,Paramètres!$A$1:$I$89,5,0)</f>
        <v>263.05141200000008</v>
      </c>
      <c r="CA103" s="14">
        <f t="shared" si="93"/>
        <v>63.372373333174963</v>
      </c>
      <c r="CB103" s="22">
        <f t="shared" si="64"/>
        <v>568.52142612194643</v>
      </c>
      <c r="CC103" s="62">
        <f t="shared" si="65"/>
        <v>845.92548130565569</v>
      </c>
      <c r="CD103" s="62">
        <f ca="1">AVERAGE(OFFSET($CC$3,0,0,'Données projet'!$E$12+1,1))-AVERAGE(OFFSET($H$3,0,0,'Données projet'!$E$12+1,1))</f>
        <v>454.9779384236806</v>
      </c>
      <c r="CE103" s="62">
        <f t="shared" si="94"/>
        <v>379.32753348721906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12.562120376030263</v>
      </c>
      <c r="CM103" s="23">
        <f>EXP(-LN(2)/2)*CM102+(1-EXP(-LN(2)/2))/(LN(2)/2)*CG103*CJ103*VLOOKUP('Données projet'!$B$12,Paramètres!$A$1:$I$89,3,0)*0.475*44/12</f>
        <v>0.12416247384027078</v>
      </c>
      <c r="CN103" s="24">
        <f t="shared" si="66"/>
        <v>12.686282849870533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252.10592533338991</v>
      </c>
      <c r="CZ103" s="62">
        <f t="shared" si="96"/>
        <v>272.71831345325313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48.973426117002809</v>
      </c>
      <c r="DH103" s="23">
        <f>EXP(-LN(2)/2)*DH102+(1-EXP(-LN(2)/2))/(LN(2)/2)*DB103*DE103*VLOOKUP('Données projet'!$B$13,Paramètres!$A$1:$I$89,3,0)*0.475*44/12</f>
        <v>1.6126964270108976E-5</v>
      </c>
      <c r="DI103" s="24">
        <f t="shared" si="69"/>
        <v>48.973442243967078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projet'!$B$14,Paramètres!$A$1:$I$89,3,0)*VLOOKUP('Données projet'!$B$14,Paramètres!$A$1:$I$89,5,0)</f>
        <v>0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423.0896575168394</v>
      </c>
      <c r="DU103" s="62">
        <f t="shared" si="98"/>
        <v>305.98537395014284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102.57003905310042</v>
      </c>
      <c r="EB103" s="23">
        <f>EXP(-LN(2)/25)*EB102+(1-EXP(-LN(2)/25))/(LN(2)/25)*Calculateur!DW103*Calculateur!DY103*VLOOKUP('Données projet'!$B$14,Paramètres!$A$1:$I$89,3,0)*0.475*44/12</f>
        <v>102.73938259785686</v>
      </c>
      <c r="EC103" s="23">
        <f>EXP(-LN(2)/2)*EC102+(1-EXP(-LN(2)/2))/(LN(2)/2)*DW103*DZ103*VLOOKUP('Données projet'!$B$14,Paramètres!$A$1:$I$89,3,0)*0.475*44/12</f>
        <v>3.1617404960411396E-6</v>
      </c>
      <c r="ED103" s="24">
        <f t="shared" si="72"/>
        <v>205.30942481269778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2.2737367544323206E-13</v>
      </c>
      <c r="EK103" s="18">
        <f>EJ103*VLOOKUP('Données projet'!$B$15,Paramètres!$A$1:$I$89,3,0)*VLOOKUP('Données projet'!$B$15,Paramètres!$A$1:$I$89,5,0)</f>
        <v>1.3596945791505279E-13</v>
      </c>
      <c r="EL103" s="14">
        <f t="shared" si="99"/>
        <v>1.9708830566360721E-12</v>
      </c>
      <c r="EM103" s="22">
        <f t="shared" si="73"/>
        <v>3.669434796176543E-12</v>
      </c>
      <c r="EN103" s="62">
        <f t="shared" si="74"/>
        <v>277.4040551837129</v>
      </c>
      <c r="EO103" s="62">
        <f ca="1">AVERAGE(OFFSET($EN$3,0,0,'Données projet'!$E$15+1,1))-AVERAGE(OFFSET($H$3,0,0,'Données projet'!$E$15+1,1))</f>
        <v>281.21543175875604</v>
      </c>
      <c r="EP103" s="62">
        <f t="shared" si="100"/>
        <v>366.68536296857428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43.243109951029133</v>
      </c>
      <c r="EW103" s="23">
        <f>EXP(-LN(2)/25)*EW102+(1-EXP(-LN(2)/25))/(LN(2)/25)*Calculateur!ER103*Calculateur!ET103*VLOOKUP('Données projet'!$B$15,Paramètres!$A$1:$I$89,3,0)*0.475*44/12</f>
        <v>10.664383664352743</v>
      </c>
      <c r="EX103" s="23">
        <f>EXP(-LN(2)/2)*EX102+(1-EXP(-LN(2)/2))/(LN(2)/2)*ER103*EU103*VLOOKUP('Données projet'!$B$15,Paramètres!$A$1:$I$89,3,0)*0.475*44/12</f>
        <v>4.9753633300521362E-6</v>
      </c>
      <c r="EY103" s="24">
        <f t="shared" si="75"/>
        <v>53.907498590745206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2.2737367544323206E-13</v>
      </c>
      <c r="FF103" s="18">
        <f>FE103*VLOOKUP('Données projet'!$B$16,Paramètres!$A$1:$I$89,3,0)*VLOOKUP('Données projet'!$B$16,Paramètres!$A$1:$I$89,5,0)</f>
        <v>1.2710188457276673E-13</v>
      </c>
      <c r="FG103" s="14">
        <f t="shared" si="101"/>
        <v>1.856866851063998E-12</v>
      </c>
      <c r="FH103" s="22">
        <f t="shared" si="76"/>
        <v>3.4554122145673649E-12</v>
      </c>
      <c r="FI103" s="62">
        <f t="shared" si="77"/>
        <v>277.40405518371267</v>
      </c>
      <c r="FJ103" s="62">
        <f ca="1">AVERAGE(OFFSET($FI$3,0,0,'Données projet'!$E$16+1,1))-AVERAGE(OFFSET($H$3,0,0,'Données projet'!$E$16+1,1))</f>
        <v>280.9225643428145</v>
      </c>
      <c r="FK103" s="62">
        <f t="shared" si="102"/>
        <v>236.89414218053955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135.27365653622314</v>
      </c>
      <c r="FR103" s="23">
        <f>EXP(-LN(2)/25)*FR102+(1-EXP(-LN(2)/25))/(LN(2)/25)*Calculateur!FM103*Calculateur!FO103*VLOOKUP('Données projet'!$B$16,Paramètres!$A$1:$I$89,3,0)*0.475*44/12</f>
        <v>34.131851600850659</v>
      </c>
      <c r="FS103" s="23">
        <f>EXP(-LN(2)/2)*FS102+(1-EXP(-LN(2)/2))/(LN(2)/2)*FM103*FP103*VLOOKUP('Données projet'!$B$16,Paramètres!$A$1:$I$89,3,0)*0.475*44/12</f>
        <v>1.3096946407436507E-7</v>
      </c>
      <c r="FT103" s="24">
        <f t="shared" si="78"/>
        <v>169.40550826804326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-5.6843418860808015E-13</v>
      </c>
      <c r="GA103" s="18">
        <f>FZ103*VLOOKUP('Données projet'!$B$17,Paramètres!$A$1:$I$89,3,0)*VLOOKUP('Données projet'!$B$17,Paramètres!$A$1:$I$89,5,0)</f>
        <v>-2.5124791136477147E-13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325.67421864225201</v>
      </c>
      <c r="GF103" s="62">
        <f t="shared" si="104"/>
        <v>542.01920418736745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87.54776607212132</v>
      </c>
      <c r="GM103" s="23">
        <f>EXP(-LN(2)/25)*GM102+(1-EXP(-LN(2)/25))/(LN(2)/25)*Calculateur!GH103*Calculateur!GJ103*VLOOKUP('Données projet'!$B$17,Paramètres!$A$1:$I$89,3,0)*0.475*44/12</f>
        <v>40.002181345690524</v>
      </c>
      <c r="GN103" s="23">
        <f>EXP(-LN(2)/2)*GN102+(1-EXP(-LN(2)/2))/(LN(2)/2)*GH103*GK103*VLOOKUP('Données projet'!$B$17,Paramètres!$A$1:$I$89,3,0)*0.475*44/12</f>
        <v>1.3339633401568319E-7</v>
      </c>
      <c r="GO103" s="23">
        <f t="shared" si="81"/>
        <v>127.54994755120818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128.07</v>
      </c>
      <c r="GS103" s="13">
        <f>VLOOKUP(A103,'Données projet'!$A$269:$I$289,9,0)</f>
        <v>2.9209999999999994</v>
      </c>
      <c r="GT103" s="13">
        <f t="array" ref="GT103">INDEX(GS:GS,MIN(IF(ISNUMBER(GS103:GS299),ROW(GS103:GS299),"")))</f>
        <v>2.9209999999999994</v>
      </c>
      <c r="GU103" s="13">
        <f>IF('Données projet'!$A$270&gt;35,GU102+GT103-HC102,IF(A103&lt;'Données projet'!$A$270,$GR$205^A103,IF(A103='Données projet'!$A$270,'Données projet'!$B$270,GU102+GT103-HC102)))</f>
        <v>128.06999999999988</v>
      </c>
      <c r="GV103" s="18">
        <f>GU103*VLOOKUP('Données projet'!$B$18,Paramètres!$A$1:$I$89,3,0)*VLOOKUP('Données projet'!$B$18,Paramètres!$A$1:$I$89,5,0)</f>
        <v>129.86297999999988</v>
      </c>
      <c r="GW103" s="14">
        <f t="shared" si="105"/>
        <v>33.964696090401013</v>
      </c>
      <c r="GX103" s="22">
        <f t="shared" si="82"/>
        <v>285.33320252411488</v>
      </c>
      <c r="GY103" s="62">
        <f t="shared" si="83"/>
        <v>562.73725770782403</v>
      </c>
      <c r="GZ103" s="62">
        <f ca="1">AVERAGE(OFFSET($GY$3,0,0,'Données projet'!$E$18+1,1))-AVERAGE(OFFSET($H$3,0,0,'Données projet'!$E$18+1,1))</f>
        <v>220.89224520315713</v>
      </c>
      <c r="HA103" s="62">
        <f t="shared" si="106"/>
        <v>141.82763623159096</v>
      </c>
      <c r="HB103" s="16">
        <f>IF(ISNA(VLOOKUP(A103,'Données projet'!$A$269:$I$289,3,0)),0,VLOOKUP(A103,'Données projet'!$A$269:$I$289,3,0))</f>
        <v>12</v>
      </c>
      <c r="HC103" s="16">
        <f>IF(ISNA(VLOOKUP(A103,'Données projet'!$A$269:$I$289,4,0)),0,VLOOKUP(A103,'Données projet'!$A$269:$I$289,4,0))</f>
        <v>15.11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-2.8421709430404007E-14</v>
      </c>
      <c r="O104" s="14">
        <f>N104*VLOOKUP('Données projet'!$B$9,Paramètres!$A$1:$I$89,3,0)*VLOOKUP('Données projet'!$B$9,Paramètres!$A$1:$I$89,5,0)</f>
        <v>-2.7489477361086758E-14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84.959354125980269</v>
      </c>
      <c r="T104" s="62">
        <f t="shared" si="88"/>
        <v>89.658970210276806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6.5910975581993263</v>
      </c>
      <c r="AB104" s="23">
        <f>EXP(-LN(2)/2)*AB103+(1-EXP(-LN(2)/2))/(LN(2)/2)*V104*Y104*VLOOKUP('Données projet'!$B$9,Paramètres!$A$1:$I$89,3,0)*0.475*44/12</f>
        <v>7.0589202376510147E-5</v>
      </c>
      <c r="AC104" s="24">
        <f t="shared" si="57"/>
        <v>6.591168147401703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12.027399999999998</v>
      </c>
      <c r="AI104" s="14">
        <f>IF('Données projet'!$A$62&gt;35,AI103+AH104-AQ103,IF(A104&lt;'Données projet'!$A$62,$AF$205^A104,IF(A104='Données projet'!$A$62,'Données projet'!$B$62,AI103+AH104-AQ103)))</f>
        <v>406.50539999999995</v>
      </c>
      <c r="AJ104" s="14">
        <f>AI104*VLOOKUP('Données projet'!$B$10,Paramètres!$A$1:$I$89,3,0)*VLOOKUP('Données projet'!$B$10,Paramètres!$A$1:$I$89,5,0)</f>
        <v>386.83053863999993</v>
      </c>
      <c r="AK104" s="14">
        <f t="shared" si="89"/>
        <v>89.101579282075562</v>
      </c>
      <c r="AL104" s="22">
        <f t="shared" si="58"/>
        <v>828.91510538094792</v>
      </c>
      <c r="AM104" s="62">
        <f t="shared" si="59"/>
        <v>1106.5954979280223</v>
      </c>
      <c r="AN104" s="62">
        <f ca="1">AVERAGE(OFFSET($AM$3,0,0,'Données projet'!$E$10+1,1))-AVERAGE(OFFSET($H$3,0,0,'Données projet'!$E$10+1,1))</f>
        <v>592.76231355549089</v>
      </c>
      <c r="AO104" s="62">
        <f t="shared" si="90"/>
        <v>200.66895551079014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38.188834167412125</v>
      </c>
      <c r="AV104" s="23">
        <f>EXP(-LN(2)/25)*AV103+(1-EXP(-LN(2)/25))/(LN(2)/25)*Calculateur!AQ104*Calculateur!AS104*VLOOKUP('Données projet'!$B$10,Paramètres!$A$1:$I$89,3,0)*0.475*44/12</f>
        <v>21.317020972478673</v>
      </c>
      <c r="AW104" s="23">
        <f>EXP(-LN(2)/2)*AW103+(1-EXP(-LN(2)/2))/(LN(2)/2)*AQ104*AT104*VLOOKUP('Données projet'!$B$10,Paramètres!$A$1:$I$89,3,0)*0.475*44/12</f>
        <v>8.6716681105234774E-6</v>
      </c>
      <c r="AX104" s="23">
        <f t="shared" si="60"/>
        <v>59.50586381155891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4.7240000000000011</v>
      </c>
      <c r="BD104" s="13">
        <f>IF('Données projet'!$A$88&gt;35,BD103+BC104-BL103,IF(A104&lt;'Données projet'!$A$88,$BA$205^A104,IF(A104='Données projet'!$A$88,'Données projet'!$B$88,BD103+BC104-BL103)))</f>
        <v>184.35400000000001</v>
      </c>
      <c r="BE104" s="14">
        <f>BD104*VLOOKUP('Données projet'!$B$11,Paramètres!$A$1:$I$89,3,0)*VLOOKUP('Données projet'!$B$11,Paramètres!$A$1:$I$89,5,0)</f>
        <v>166.8034992</v>
      </c>
      <c r="BF104" s="14">
        <f t="shared" si="91"/>
        <v>42.373324760028034</v>
      </c>
      <c r="BG104" s="22">
        <f t="shared" si="61"/>
        <v>364.31630173038212</v>
      </c>
      <c r="BH104" s="62">
        <f t="shared" si="62"/>
        <v>641.99669427745653</v>
      </c>
      <c r="BI104" s="62">
        <f ca="1">AVERAGE(OFFSET($BH$3,0,0,'Données projet'!$E$11+1,1))-AVERAGE(OFFSET($H$3,0,0,'Données projet'!$E$11+1,1))</f>
        <v>316.71836722354374</v>
      </c>
      <c r="BJ104" s="62">
        <f t="shared" si="92"/>
        <v>164.34067012996618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19.019804257069939</v>
      </c>
      <c r="BQ104" s="23">
        <f>EXP(-LN(2)/25)*BQ103+(1-EXP(-LN(2)/25))/(LN(2)/25)*Calculateur!BL104*Calculateur!BN104*VLOOKUP('Données projet'!$B$11,Paramètres!$A$1:$I$89,3,0)*0.475*44/12</f>
        <v>6.748481283466476</v>
      </c>
      <c r="BR104" s="23">
        <f>EXP(-LN(2)/2)*BR103+(1-EXP(-LN(2)/2))/(LN(2)/2)*BL104*BO104*VLOOKUP('Données projet'!$B$11,Paramètres!$A$1:$I$89,3,0)*0.475*44/12</f>
        <v>5.602361057075055E-7</v>
      </c>
      <c r="BS104" s="24">
        <f t="shared" si="63"/>
        <v>25.768286100772521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3.7879999999999994</v>
      </c>
      <c r="BY104" s="13">
        <f>IF('Données projet'!$A$114&gt;35,BY103+BX104-CG103,IF(A104&lt;'Données projet'!$A$114,$BV$205^A104,IF(A104='Données projet'!$A$114,'Données projet'!$B$114,BY103+BX104-CG103)))</f>
        <v>234.77800000000008</v>
      </c>
      <c r="BZ104" s="14">
        <f>BY104*VLOOKUP('Données projet'!$B$12,Paramètres!$A$1:$I$89,3,0)*VLOOKUP('Données projet'!$B$12,Paramètres!$A$1:$I$89,5,0)</f>
        <v>267.36518640000008</v>
      </c>
      <c r="CA104" s="14">
        <f t="shared" si="93"/>
        <v>64.289776602278693</v>
      </c>
      <c r="CB104" s="22">
        <f t="shared" si="64"/>
        <v>577.63239389563557</v>
      </c>
      <c r="CC104" s="62">
        <f t="shared" si="65"/>
        <v>855.31278644270992</v>
      </c>
      <c r="CD104" s="62">
        <f ca="1">AVERAGE(OFFSET($CC$3,0,0,'Données projet'!$E$12+1,1))-AVERAGE(OFFSET($H$3,0,0,'Données projet'!$E$12+1,1))</f>
        <v>454.9779384236806</v>
      </c>
      <c r="CE104" s="62">
        <f t="shared" si="94"/>
        <v>379.32753348721906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12.218608533734516</v>
      </c>
      <c r="CM104" s="23">
        <f>EXP(-LN(2)/2)*CM103+(1-EXP(-LN(2)/2))/(LN(2)/2)*CG104*CJ104*VLOOKUP('Données projet'!$B$12,Paramètres!$A$1:$I$89,3,0)*0.475*44/12</f>
        <v>8.7796127221352785E-2</v>
      </c>
      <c r="CN104" s="24">
        <f t="shared" si="66"/>
        <v>12.306404660955868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252.10592533338991</v>
      </c>
      <c r="CZ104" s="62">
        <f t="shared" si="96"/>
        <v>272.71831345325313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47.634245204432816</v>
      </c>
      <c r="DH104" s="23">
        <f>EXP(-LN(2)/2)*DH103+(1-EXP(-LN(2)/2))/(LN(2)/2)*DB104*DE104*VLOOKUP('Données projet'!$B$13,Paramètres!$A$1:$I$89,3,0)*0.475*44/12</f>
        <v>1.1403485795347218E-5</v>
      </c>
      <c r="DI104" s="24">
        <f t="shared" si="69"/>
        <v>47.634256607918608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projet'!$B$14,Paramètres!$A$1:$I$89,3,0)*VLOOKUP('Données projet'!$B$14,Paramètres!$A$1:$I$89,5,0)</f>
        <v>0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423.0896575168394</v>
      </c>
      <c r="DU104" s="62">
        <f t="shared" si="98"/>
        <v>305.98537395014284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100.5587031488155</v>
      </c>
      <c r="EB104" s="23">
        <f>EXP(-LN(2)/25)*EB103+(1-EXP(-LN(2)/25))/(LN(2)/25)*Calculateur!DW104*Calculateur!DY104*VLOOKUP('Données projet'!$B$14,Paramètres!$A$1:$I$89,3,0)*0.475*44/12</f>
        <v>99.929968777889144</v>
      </c>
      <c r="EC104" s="23">
        <f>EXP(-LN(2)/2)*EC103+(1-EXP(-LN(2)/2))/(LN(2)/2)*DW104*DZ104*VLOOKUP('Données projet'!$B$14,Paramètres!$A$1:$I$89,3,0)*0.475*44/12</f>
        <v>2.2356881451028083E-6</v>
      </c>
      <c r="ED104" s="24">
        <f t="shared" si="72"/>
        <v>200.48867416239278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2.2737367544323206E-13</v>
      </c>
      <c r="EK104" s="18">
        <f>EJ104*VLOOKUP('Données projet'!$B$15,Paramètres!$A$1:$I$89,3,0)*VLOOKUP('Données projet'!$B$15,Paramètres!$A$1:$I$89,5,0)</f>
        <v>1.3596945791505279E-13</v>
      </c>
      <c r="EL104" s="14">
        <f t="shared" si="99"/>
        <v>1.9708830566360721E-12</v>
      </c>
      <c r="EM104" s="22">
        <f t="shared" si="73"/>
        <v>3.669434796176543E-12</v>
      </c>
      <c r="EN104" s="62">
        <f t="shared" si="74"/>
        <v>277.6803925470781</v>
      </c>
      <c r="EO104" s="62">
        <f ca="1">AVERAGE(OFFSET($EN$3,0,0,'Données projet'!$E$15+1,1))-AVERAGE(OFFSET($H$3,0,0,'Données projet'!$E$15+1,1))</f>
        <v>281.21543175875604</v>
      </c>
      <c r="EP104" s="62">
        <f t="shared" si="100"/>
        <v>366.68536296857428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42.395138940582136</v>
      </c>
      <c r="EW104" s="23">
        <f>EXP(-LN(2)/25)*EW103+(1-EXP(-LN(2)/25))/(LN(2)/25)*Calculateur!ER104*Calculateur!ET104*VLOOKUP('Données projet'!$B$15,Paramètres!$A$1:$I$89,3,0)*0.475*44/12</f>
        <v>10.372765532235453</v>
      </c>
      <c r="EX104" s="23">
        <f>EXP(-LN(2)/2)*EX103+(1-EXP(-LN(2)/2))/(LN(2)/2)*ER104*EU104*VLOOKUP('Données projet'!$B$15,Paramètres!$A$1:$I$89,3,0)*0.475*44/12</f>
        <v>3.5181131495467483E-6</v>
      </c>
      <c r="EY104" s="24">
        <f t="shared" si="75"/>
        <v>52.767907990930738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2.2737367544323206E-13</v>
      </c>
      <c r="FF104" s="18">
        <f>FE104*VLOOKUP('Données projet'!$B$16,Paramètres!$A$1:$I$89,3,0)*VLOOKUP('Données projet'!$B$16,Paramètres!$A$1:$I$89,5,0)</f>
        <v>1.2710188457276673E-13</v>
      </c>
      <c r="FG104" s="14">
        <f t="shared" si="101"/>
        <v>1.856866851063998E-12</v>
      </c>
      <c r="FH104" s="22">
        <f t="shared" si="76"/>
        <v>3.4554122145673649E-12</v>
      </c>
      <c r="FI104" s="62">
        <f t="shared" si="77"/>
        <v>277.68039254707787</v>
      </c>
      <c r="FJ104" s="62">
        <f ca="1">AVERAGE(OFFSET($FI$3,0,0,'Données projet'!$E$16+1,1))-AVERAGE(OFFSET($H$3,0,0,'Données projet'!$E$16+1,1))</f>
        <v>280.9225643428145</v>
      </c>
      <c r="FK104" s="62">
        <f t="shared" si="102"/>
        <v>236.89414218053955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132.62102264033123</v>
      </c>
      <c r="FR104" s="23">
        <f>EXP(-LN(2)/25)*FR103+(1-EXP(-LN(2)/25))/(LN(2)/25)*Calculateur!FM104*Calculateur!FO104*VLOOKUP('Données projet'!$B$16,Paramètres!$A$1:$I$89,3,0)*0.475*44/12</f>
        <v>33.198514323909329</v>
      </c>
      <c r="FS104" s="23">
        <f>EXP(-LN(2)/2)*FS103+(1-EXP(-LN(2)/2))/(LN(2)/2)*FM104*FP104*VLOOKUP('Données projet'!$B$16,Paramètres!$A$1:$I$89,3,0)*0.475*44/12</f>
        <v>9.2609396175351463E-8</v>
      </c>
      <c r="FT104" s="24">
        <f t="shared" si="78"/>
        <v>165.81953705684995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-5.6843418860808015E-13</v>
      </c>
      <c r="GA104" s="18">
        <f>FZ104*VLOOKUP('Données projet'!$B$17,Paramètres!$A$1:$I$89,3,0)*VLOOKUP('Données projet'!$B$17,Paramètres!$A$1:$I$89,5,0)</f>
        <v>-2.5124791136477147E-13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325.67421864225201</v>
      </c>
      <c r="GF104" s="62">
        <f t="shared" si="104"/>
        <v>542.01920418736745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85.83100777831163</v>
      </c>
      <c r="GM104" s="23">
        <f>EXP(-LN(2)/25)*GM103+(1-EXP(-LN(2)/25))/(LN(2)/25)*Calculateur!GH104*Calculateur!GJ104*VLOOKUP('Données projet'!$B$17,Paramètres!$A$1:$I$89,3,0)*0.475*44/12</f>
        <v>38.908319593169324</v>
      </c>
      <c r="GN104" s="23">
        <f>EXP(-LN(2)/2)*GN103+(1-EXP(-LN(2)/2))/(LN(2)/2)*GH104*GK104*VLOOKUP('Données projet'!$B$17,Paramètres!$A$1:$I$89,3,0)*0.475*44/12</f>
        <v>9.4325452367915303E-8</v>
      </c>
      <c r="GO104" s="23">
        <f t="shared" si="81"/>
        <v>124.73932746580641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2.8560000000000003</v>
      </c>
      <c r="GU104" s="13">
        <f>IF('Données projet'!$A$270&gt;35,GU103+GT104-HC103,IF(A104&lt;'Données projet'!$A$270,$GR$205^A104,IF(A104='Données projet'!$A$270,'Données projet'!$B$270,GU103+GT104-HC103)))</f>
        <v>115.81599999999987</v>
      </c>
      <c r="GV104" s="18">
        <f>GU104*VLOOKUP('Données projet'!$B$18,Paramètres!$A$1:$I$89,3,0)*VLOOKUP('Données projet'!$B$18,Paramètres!$A$1:$I$89,5,0)</f>
        <v>117.43742399999987</v>
      </c>
      <c r="GW104" s="14">
        <f t="shared" si="105"/>
        <v>31.076571729019172</v>
      </c>
      <c r="GX104" s="22">
        <f t="shared" si="82"/>
        <v>258.66187589470809</v>
      </c>
      <c r="GY104" s="62">
        <f t="shared" si="83"/>
        <v>536.34226844178249</v>
      </c>
      <c r="GZ104" s="62">
        <f ca="1">AVERAGE(OFFSET($GY$3,0,0,'Données projet'!$E$18+1,1))-AVERAGE(OFFSET($H$3,0,0,'Données projet'!$E$18+1,1))</f>
        <v>220.89224520315713</v>
      </c>
      <c r="HA104" s="62">
        <f t="shared" si="106"/>
        <v>141.82763623159096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-2.8421709430404007E-14</v>
      </c>
      <c r="O105" s="14">
        <f>N105*VLOOKUP('Données projet'!$B$9,Paramètres!$A$1:$I$89,3,0)*VLOOKUP('Données projet'!$B$9,Paramètres!$A$1:$I$89,5,0)</f>
        <v>-2.7489477361086758E-14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84.959354125980269</v>
      </c>
      <c r="T105" s="62">
        <f t="shared" si="88"/>
        <v>89.658970210276806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6.4108636488596096</v>
      </c>
      <c r="AB105" s="23">
        <f>EXP(-LN(2)/2)*AB104+(1-EXP(-LN(2)/2))/(LN(2)/2)*V105*Y105*VLOOKUP('Données projet'!$B$9,Paramètres!$A$1:$I$89,3,0)*0.475*44/12</f>
        <v>4.9914103678979881E-5</v>
      </c>
      <c r="AC105" s="24">
        <f t="shared" si="57"/>
        <v>6.4109135629632883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12.027399999999998</v>
      </c>
      <c r="AI105" s="14">
        <f>IF('Données projet'!$A$62&gt;35,AI104+AH105-AQ104,IF(A105&lt;'Données projet'!$A$62,$AF$205^A105,IF(A105='Données projet'!$A$62,'Données projet'!$B$62,AI104+AH105-AQ104)))</f>
        <v>418.53279999999995</v>
      </c>
      <c r="AJ105" s="14">
        <f>AI105*VLOOKUP('Données projet'!$B$10,Paramètres!$A$1:$I$89,3,0)*VLOOKUP('Données projet'!$B$10,Paramètres!$A$1:$I$89,5,0)</f>
        <v>398.27581247999996</v>
      </c>
      <c r="AK105" s="14">
        <f t="shared" si="89"/>
        <v>91.427024828868582</v>
      </c>
      <c r="AL105" s="22">
        <f t="shared" si="58"/>
        <v>852.89910831294594</v>
      </c>
      <c r="AM105" s="62">
        <f t="shared" si="59"/>
        <v>1130.8510443879288</v>
      </c>
      <c r="AN105" s="62">
        <f ca="1">AVERAGE(OFFSET($AM$3,0,0,'Données projet'!$E$10+1,1))-AVERAGE(OFFSET($H$3,0,0,'Données projet'!$E$10+1,1))</f>
        <v>592.76231355549089</v>
      </c>
      <c r="AO105" s="62">
        <f t="shared" si="90"/>
        <v>200.66895551079014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37.439974422278034</v>
      </c>
      <c r="AV105" s="23">
        <f>EXP(-LN(2)/25)*AV104+(1-EXP(-LN(2)/25))/(LN(2)/25)*Calculateur!AQ105*Calculateur!AS105*VLOOKUP('Données projet'!$B$10,Paramètres!$A$1:$I$89,3,0)*0.475*44/12</f>
        <v>20.734105912972833</v>
      </c>
      <c r="AW105" s="23">
        <f>EXP(-LN(2)/2)*AW104+(1-EXP(-LN(2)/2))/(LN(2)/2)*AQ105*AT105*VLOOKUP('Données projet'!$B$10,Paramètres!$A$1:$I$89,3,0)*0.475*44/12</f>
        <v>6.1317953251502867E-6</v>
      </c>
      <c r="AX105" s="23">
        <f t="shared" si="60"/>
        <v>58.174086467046187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4.7240000000000011</v>
      </c>
      <c r="BD105" s="13">
        <f>IF('Données projet'!$A$88&gt;35,BD104+BC105-BL104,IF(A105&lt;'Données projet'!$A$88,$BA$205^A105,IF(A105='Données projet'!$A$88,'Données projet'!$B$88,BD104+BC105-BL104)))</f>
        <v>189.078</v>
      </c>
      <c r="BE105" s="14">
        <f>BD105*VLOOKUP('Données projet'!$B$11,Paramètres!$A$1:$I$89,3,0)*VLOOKUP('Données projet'!$B$11,Paramètres!$A$1:$I$89,5,0)</f>
        <v>171.07777440000001</v>
      </c>
      <c r="BF105" s="14">
        <f t="shared" si="91"/>
        <v>43.331320341199572</v>
      </c>
      <c r="BG105" s="22">
        <f t="shared" si="61"/>
        <v>373.42917334092255</v>
      </c>
      <c r="BH105" s="62">
        <f t="shared" si="62"/>
        <v>651.38110941590548</v>
      </c>
      <c r="BI105" s="62">
        <f ca="1">AVERAGE(OFFSET($BH$3,0,0,'Données projet'!$E$11+1,1))-AVERAGE(OFFSET($H$3,0,0,'Données projet'!$E$11+1,1))</f>
        <v>316.71836722354374</v>
      </c>
      <c r="BJ105" s="62">
        <f t="shared" si="92"/>
        <v>164.34067012996618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18.646837496523897</v>
      </c>
      <c r="BQ105" s="23">
        <f>EXP(-LN(2)/25)*BQ104+(1-EXP(-LN(2)/25))/(LN(2)/25)*Calculateur!BL105*Calculateur!BN105*VLOOKUP('Données projet'!$B$11,Paramètres!$A$1:$I$89,3,0)*0.475*44/12</f>
        <v>6.5639437078828786</v>
      </c>
      <c r="BR105" s="23">
        <f>EXP(-LN(2)/2)*BR104+(1-EXP(-LN(2)/2))/(LN(2)/2)*BL105*BO105*VLOOKUP('Données projet'!$B$11,Paramètres!$A$1:$I$89,3,0)*0.475*44/12</f>
        <v>3.961467494113206E-7</v>
      </c>
      <c r="BS105" s="24">
        <f t="shared" si="63"/>
        <v>25.210781600553524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3.7879999999999994</v>
      </c>
      <c r="BY105" s="13">
        <f>IF('Données projet'!$A$114&gt;35,BY104+BX105-CG104,IF(A105&lt;'Données projet'!$A$114,$BV$205^A105,IF(A105='Données projet'!$A$114,'Données projet'!$B$114,BY104+BX105-CG104)))</f>
        <v>238.56600000000009</v>
      </c>
      <c r="BZ105" s="14">
        <f>BY105*VLOOKUP('Données projet'!$B$12,Paramètres!$A$1:$I$89,3,0)*VLOOKUP('Données projet'!$B$12,Paramètres!$A$1:$I$89,5,0)</f>
        <v>271.67896080000008</v>
      </c>
      <c r="CA105" s="14">
        <f t="shared" si="93"/>
        <v>65.205458486401596</v>
      </c>
      <c r="CB105" s="22">
        <f t="shared" si="64"/>
        <v>586.74036359048296</v>
      </c>
      <c r="CC105" s="62">
        <f t="shared" si="65"/>
        <v>864.69229966546595</v>
      </c>
      <c r="CD105" s="62">
        <f ca="1">AVERAGE(OFFSET($CC$3,0,0,'Données projet'!$E$12+1,1))-AVERAGE(OFFSET($H$3,0,0,'Données projet'!$E$12+1,1))</f>
        <v>454.9779384236806</v>
      </c>
      <c r="CE105" s="62">
        <f t="shared" si="94"/>
        <v>379.32753348721906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11.884490040830849</v>
      </c>
      <c r="CM105" s="23">
        <f>EXP(-LN(2)/2)*CM104+(1-EXP(-LN(2)/2))/(LN(2)/2)*CG105*CJ105*VLOOKUP('Données projet'!$B$12,Paramètres!$A$1:$I$89,3,0)*0.475*44/12</f>
        <v>6.2081236920135396E-2</v>
      </c>
      <c r="CN105" s="24">
        <f t="shared" si="66"/>
        <v>11.946571277750985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252.10592533338991</v>
      </c>
      <c r="CZ105" s="62">
        <f t="shared" si="96"/>
        <v>272.71831345325313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46.331684264341511</v>
      </c>
      <c r="DH105" s="23">
        <f>EXP(-LN(2)/2)*DH104+(1-EXP(-LN(2)/2))/(LN(2)/2)*DB105*DE105*VLOOKUP('Données projet'!$B$13,Paramètres!$A$1:$I$89,3,0)*0.475*44/12</f>
        <v>8.063482135054488E-6</v>
      </c>
      <c r="DI105" s="24">
        <f t="shared" si="69"/>
        <v>46.331692327823646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projet'!$B$14,Paramètres!$A$1:$I$89,3,0)*VLOOKUP('Données projet'!$B$14,Paramètres!$A$1:$I$89,5,0)</f>
        <v>0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423.0896575168394</v>
      </c>
      <c r="DU105" s="62">
        <f t="shared" si="98"/>
        <v>305.98537395014284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98.586808314819848</v>
      </c>
      <c r="EB105" s="23">
        <f>EXP(-LN(2)/25)*EB104+(1-EXP(-LN(2)/25))/(LN(2)/25)*Calculateur!DW105*Calculateur!DY105*VLOOKUP('Données projet'!$B$14,Paramètres!$A$1:$I$89,3,0)*0.475*44/12</f>
        <v>97.197378526569096</v>
      </c>
      <c r="EC105" s="23">
        <f>EXP(-LN(2)/2)*EC104+(1-EXP(-LN(2)/2))/(LN(2)/2)*DW105*DZ105*VLOOKUP('Données projet'!$B$14,Paramètres!$A$1:$I$89,3,0)*0.475*44/12</f>
        <v>1.5808702480205698E-6</v>
      </c>
      <c r="ED105" s="24">
        <f t="shared" si="72"/>
        <v>195.78418842225918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2.2737367544323206E-13</v>
      </c>
      <c r="EK105" s="18">
        <f>EJ105*VLOOKUP('Données projet'!$B$15,Paramètres!$A$1:$I$89,3,0)*VLOOKUP('Données projet'!$B$15,Paramètres!$A$1:$I$89,5,0)</f>
        <v>1.3596945791505279E-13</v>
      </c>
      <c r="EL105" s="14">
        <f t="shared" si="99"/>
        <v>1.9708830566360721E-12</v>
      </c>
      <c r="EM105" s="22">
        <f t="shared" si="73"/>
        <v>3.669434796176543E-12</v>
      </c>
      <c r="EN105" s="62">
        <f t="shared" si="74"/>
        <v>277.95193607498663</v>
      </c>
      <c r="EO105" s="62">
        <f ca="1">AVERAGE(OFFSET($EN$3,0,0,'Données projet'!$E$15+1,1))-AVERAGE(OFFSET($H$3,0,0,'Données projet'!$E$15+1,1))</f>
        <v>281.21543175875604</v>
      </c>
      <c r="EP105" s="62">
        <f t="shared" si="100"/>
        <v>366.68536296857428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41.56379612443876</v>
      </c>
      <c r="EW105" s="23">
        <f>EXP(-LN(2)/25)*EW104+(1-EXP(-LN(2)/25))/(LN(2)/25)*Calculateur!ER105*Calculateur!ET105*VLOOKUP('Données projet'!$B$15,Paramètres!$A$1:$I$89,3,0)*0.475*44/12</f>
        <v>10.089121713276443</v>
      </c>
      <c r="EX105" s="23">
        <f>EXP(-LN(2)/2)*EX104+(1-EXP(-LN(2)/2))/(LN(2)/2)*ER105*EU105*VLOOKUP('Données projet'!$B$15,Paramètres!$A$1:$I$89,3,0)*0.475*44/12</f>
        <v>2.4876816650260681E-6</v>
      </c>
      <c r="EY105" s="24">
        <f t="shared" si="75"/>
        <v>51.652920325396863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2.2737367544323206E-13</v>
      </c>
      <c r="FF105" s="18">
        <f>FE105*VLOOKUP('Données projet'!$B$16,Paramètres!$A$1:$I$89,3,0)*VLOOKUP('Données projet'!$B$16,Paramètres!$A$1:$I$89,5,0)</f>
        <v>1.2710188457276673E-13</v>
      </c>
      <c r="FG105" s="14">
        <f t="shared" si="101"/>
        <v>1.856866851063998E-12</v>
      </c>
      <c r="FH105" s="22">
        <f t="shared" si="76"/>
        <v>3.4554122145673649E-12</v>
      </c>
      <c r="FI105" s="62">
        <f t="shared" si="77"/>
        <v>277.95193607498641</v>
      </c>
      <c r="FJ105" s="62">
        <f ca="1">AVERAGE(OFFSET($FI$3,0,0,'Données projet'!$E$16+1,1))-AVERAGE(OFFSET($H$3,0,0,'Données projet'!$E$16+1,1))</f>
        <v>280.9225643428145</v>
      </c>
      <c r="FK105" s="62">
        <f t="shared" si="102"/>
        <v>236.89414218053955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130.02040527719083</v>
      </c>
      <c r="FR105" s="23">
        <f>EXP(-LN(2)/25)*FR104+(1-EXP(-LN(2)/25))/(LN(2)/25)*Calculateur!FM105*Calculateur!FO105*VLOOKUP('Données projet'!$B$16,Paramètres!$A$1:$I$89,3,0)*0.475*44/12</f>
        <v>32.290699203888039</v>
      </c>
      <c r="FS105" s="23">
        <f>EXP(-LN(2)/2)*FS104+(1-EXP(-LN(2)/2))/(LN(2)/2)*FM105*FP105*VLOOKUP('Données projet'!$B$16,Paramètres!$A$1:$I$89,3,0)*0.475*44/12</f>
        <v>6.5484732037182537E-8</v>
      </c>
      <c r="FT105" s="24">
        <f t="shared" si="78"/>
        <v>162.3111045465636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-5.6843418860808015E-13</v>
      </c>
      <c r="GA105" s="18">
        <f>FZ105*VLOOKUP('Données projet'!$B$17,Paramètres!$A$1:$I$89,3,0)*VLOOKUP('Données projet'!$B$17,Paramètres!$A$1:$I$89,5,0)</f>
        <v>-2.5124791136477147E-13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325.67421864225201</v>
      </c>
      <c r="GF105" s="62">
        <f t="shared" si="104"/>
        <v>542.01920418736745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84.147914067524383</v>
      </c>
      <c r="GM105" s="23">
        <f>EXP(-LN(2)/25)*GM104+(1-EXP(-LN(2)/25))/(LN(2)/25)*Calculateur!GH105*Calculateur!GJ105*VLOOKUP('Données projet'!$B$17,Paramètres!$A$1:$I$89,3,0)*0.475*44/12</f>
        <v>37.844369547794507</v>
      </c>
      <c r="GN105" s="23">
        <f>EXP(-LN(2)/2)*GN104+(1-EXP(-LN(2)/2))/(LN(2)/2)*GH105*GK105*VLOOKUP('Données projet'!$B$17,Paramètres!$A$1:$I$89,3,0)*0.475*44/12</f>
        <v>6.6698167007841596E-8</v>
      </c>
      <c r="GO105" s="23">
        <f t="shared" si="81"/>
        <v>121.99228368201705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2.8560000000000003</v>
      </c>
      <c r="GU105" s="13">
        <f>IF('Données projet'!$A$270&gt;35,GU104+GT105-HC104,IF(A105&lt;'Données projet'!$A$270,$GR$205^A105,IF(A105='Données projet'!$A$270,'Données projet'!$B$270,GU104+GT105-HC104)))</f>
        <v>118.67199999999987</v>
      </c>
      <c r="GV105" s="18">
        <f>GU105*VLOOKUP('Données projet'!$B$18,Paramètres!$A$1:$I$89,3,0)*VLOOKUP('Données projet'!$B$18,Paramètres!$A$1:$I$89,5,0)</f>
        <v>120.33340799999988</v>
      </c>
      <c r="GW105" s="14">
        <f t="shared" si="105"/>
        <v>31.752748673594279</v>
      </c>
      <c r="GX105" s="22">
        <f t="shared" si="82"/>
        <v>264.88338953984317</v>
      </c>
      <c r="GY105" s="62">
        <f t="shared" si="83"/>
        <v>542.83532561482616</v>
      </c>
      <c r="GZ105" s="62">
        <f ca="1">AVERAGE(OFFSET($GY$3,0,0,'Données projet'!$E$18+1,1))-AVERAGE(OFFSET($H$3,0,0,'Données projet'!$E$18+1,1))</f>
        <v>220.89224520315713</v>
      </c>
      <c r="HA105" s="62">
        <f t="shared" si="106"/>
        <v>141.82763623159096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-2.8421709430404007E-14</v>
      </c>
      <c r="O106" s="14">
        <f>N106*VLOOKUP('Données projet'!$B$9,Paramètres!$A$1:$I$89,3,0)*VLOOKUP('Données projet'!$B$9,Paramètres!$A$1:$I$89,5,0)</f>
        <v>-2.7489477361086758E-14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84.959354125980269</v>
      </c>
      <c r="T106" s="62">
        <f t="shared" si="88"/>
        <v>89.658970210276806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6.2355582452488765</v>
      </c>
      <c r="AB106" s="23">
        <f>EXP(-LN(2)/2)*AB105+(1-EXP(-LN(2)/2))/(LN(2)/2)*V106*Y106*VLOOKUP('Données projet'!$B$9,Paramètres!$A$1:$I$89,3,0)*0.475*44/12</f>
        <v>3.5294601188255073E-5</v>
      </c>
      <c r="AC106" s="24">
        <f t="shared" si="57"/>
        <v>6.2355935398500648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12.027399999999998</v>
      </c>
      <c r="AI106" s="14">
        <f>IF('Données projet'!$A$62&gt;35,AI105+AH106-AQ105,IF(A106&lt;'Données projet'!$A$62,$AF$205^A106,IF(A106='Données projet'!$A$62,'Données projet'!$B$62,AI105+AH106-AQ105)))</f>
        <v>430.56019999999995</v>
      </c>
      <c r="AJ106" s="14">
        <f>AI106*VLOOKUP('Données projet'!$B$10,Paramètres!$A$1:$I$89,3,0)*VLOOKUP('Données projet'!$B$10,Paramètres!$A$1:$I$89,5,0)</f>
        <v>409.72108631999993</v>
      </c>
      <c r="AK106" s="14">
        <f t="shared" si="89"/>
        <v>93.744703641828181</v>
      </c>
      <c r="AL106" s="22">
        <f t="shared" si="58"/>
        <v>876.8695841835173</v>
      </c>
      <c r="AM106" s="62">
        <f t="shared" si="59"/>
        <v>1155.0883531132799</v>
      </c>
      <c r="AN106" s="62">
        <f ca="1">AVERAGE(OFFSET($AM$3,0,0,'Données projet'!$E$10+1,1))-AVERAGE(OFFSET($H$3,0,0,'Données projet'!$E$10+1,1))</f>
        <v>592.76231355549089</v>
      </c>
      <c r="AO106" s="62">
        <f t="shared" si="90"/>
        <v>200.66895551079014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36.705799359986678</v>
      </c>
      <c r="AV106" s="23">
        <f>EXP(-LN(2)/25)*AV105+(1-EXP(-LN(2)/25))/(LN(2)/25)*Calculateur!AQ106*Calculateur!AS106*VLOOKUP('Données projet'!$B$10,Paramètres!$A$1:$I$89,3,0)*0.475*44/12</f>
        <v>20.167130696423349</v>
      </c>
      <c r="AW106" s="23">
        <f>EXP(-LN(2)/2)*AW105+(1-EXP(-LN(2)/2))/(LN(2)/2)*AQ106*AT106*VLOOKUP('Données projet'!$B$10,Paramètres!$A$1:$I$89,3,0)*0.475*44/12</f>
        <v>4.3358340552617387E-6</v>
      </c>
      <c r="AX106" s="23">
        <f t="shared" si="60"/>
        <v>56.872934392244083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4.7240000000000011</v>
      </c>
      <c r="BD106" s="13">
        <f>IF('Données projet'!$A$88&gt;35,BD105+BC106-BL105,IF(A106&lt;'Données projet'!$A$88,$BA$205^A106,IF(A106='Données projet'!$A$88,'Données projet'!$B$88,BD105+BC106-BL105)))</f>
        <v>193.80199999999999</v>
      </c>
      <c r="BE106" s="14">
        <f>BD106*VLOOKUP('Données projet'!$B$11,Paramètres!$A$1:$I$89,3,0)*VLOOKUP('Données projet'!$B$11,Paramètres!$A$1:$I$89,5,0)</f>
        <v>175.35204959999999</v>
      </c>
      <c r="BF106" s="14">
        <f t="shared" si="91"/>
        <v>44.286533636330702</v>
      </c>
      <c r="BG106" s="22">
        <f t="shared" si="61"/>
        <v>382.53719913660933</v>
      </c>
      <c r="BH106" s="62">
        <f t="shared" si="62"/>
        <v>660.75596806637202</v>
      </c>
      <c r="BI106" s="62">
        <f ca="1">AVERAGE(OFFSET($BH$3,0,0,'Données projet'!$E$11+1,1))-AVERAGE(OFFSET($H$3,0,0,'Données projet'!$E$11+1,1))</f>
        <v>316.71836722354374</v>
      </c>
      <c r="BJ106" s="62">
        <f t="shared" si="92"/>
        <v>164.34067012996618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18.281184386664901</v>
      </c>
      <c r="BQ106" s="23">
        <f>EXP(-LN(2)/25)*BQ105+(1-EXP(-LN(2)/25))/(LN(2)/25)*Calculateur!BL106*Calculateur!BN106*VLOOKUP('Données projet'!$B$11,Paramètres!$A$1:$I$89,3,0)*0.475*44/12</f>
        <v>6.3844523220080234</v>
      </c>
      <c r="BR106" s="23">
        <f>EXP(-LN(2)/2)*BR105+(1-EXP(-LN(2)/2))/(LN(2)/2)*BL106*BO106*VLOOKUP('Données projet'!$B$11,Paramètres!$A$1:$I$89,3,0)*0.475*44/12</f>
        <v>2.8011805285375275E-7</v>
      </c>
      <c r="BS106" s="24">
        <f t="shared" si="63"/>
        <v>24.665636988790975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3.7879999999999994</v>
      </c>
      <c r="BY106" s="13">
        <f>IF('Données projet'!$A$114&gt;35,BY105+BX106-CG105,IF(A106&lt;'Données projet'!$A$114,$BV$205^A106,IF(A106='Données projet'!$A$114,'Données projet'!$B$114,BY105+BX106-CG105)))</f>
        <v>242.3540000000001</v>
      </c>
      <c r="BZ106" s="14">
        <f>BY106*VLOOKUP('Données projet'!$B$12,Paramètres!$A$1:$I$89,3,0)*VLOOKUP('Données projet'!$B$12,Paramètres!$A$1:$I$89,5,0)</f>
        <v>275.99273520000008</v>
      </c>
      <c r="CA106" s="14">
        <f t="shared" si="93"/>
        <v>66.11944947395159</v>
      </c>
      <c r="CB106" s="22">
        <f t="shared" si="64"/>
        <v>595.84538830713257</v>
      </c>
      <c r="CC106" s="62">
        <f t="shared" si="65"/>
        <v>874.0641572368952</v>
      </c>
      <c r="CD106" s="62">
        <f ca="1">AVERAGE(OFFSET($CC$3,0,0,'Données projet'!$E$12+1,1))-AVERAGE(OFFSET($H$3,0,0,'Données projet'!$E$12+1,1))</f>
        <v>454.9779384236806</v>
      </c>
      <c r="CE106" s="62">
        <f t="shared" si="94"/>
        <v>379.32753348721906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11.559508035686161</v>
      </c>
      <c r="CM106" s="23">
        <f>EXP(-LN(2)/2)*CM105+(1-EXP(-LN(2)/2))/(LN(2)/2)*CG106*CJ106*VLOOKUP('Données projet'!$B$12,Paramètres!$A$1:$I$89,3,0)*0.475*44/12</f>
        <v>4.3898063610676399E-2</v>
      </c>
      <c r="CN106" s="24">
        <f t="shared" si="66"/>
        <v>11.603406099296837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252.10592533338991</v>
      </c>
      <c r="CZ106" s="62">
        <f t="shared" si="96"/>
        <v>272.71831345325313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45.06474192165571</v>
      </c>
      <c r="DH106" s="23">
        <f>EXP(-LN(2)/2)*DH105+(1-EXP(-LN(2)/2))/(LN(2)/2)*DB106*DE106*VLOOKUP('Données projet'!$B$13,Paramètres!$A$1:$I$89,3,0)*0.475*44/12</f>
        <v>5.7017428976736089E-6</v>
      </c>
      <c r="DI106" s="24">
        <f t="shared" si="69"/>
        <v>45.06474762339861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projet'!$B$14,Paramètres!$A$1:$I$89,3,0)*VLOOKUP('Données projet'!$B$14,Paramètres!$A$1:$I$89,5,0)</f>
        <v>0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423.0896575168394</v>
      </c>
      <c r="DU106" s="62">
        <f t="shared" si="98"/>
        <v>305.98537395014284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96.653581135781764</v>
      </c>
      <c r="EB106" s="23">
        <f>EXP(-LN(2)/25)*EB105+(1-EXP(-LN(2)/25))/(LN(2)/25)*Calculateur!DW106*Calculateur!DY106*VLOOKUP('Données projet'!$B$14,Paramètres!$A$1:$I$89,3,0)*0.475*44/12</f>
        <v>94.539511099372078</v>
      </c>
      <c r="EC106" s="23">
        <f>EXP(-LN(2)/2)*EC105+(1-EXP(-LN(2)/2))/(LN(2)/2)*DW106*DZ106*VLOOKUP('Données projet'!$B$14,Paramètres!$A$1:$I$89,3,0)*0.475*44/12</f>
        <v>1.1178440725514042E-6</v>
      </c>
      <c r="ED106" s="24">
        <f t="shared" si="72"/>
        <v>191.19309335299792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2.2737367544323206E-13</v>
      </c>
      <c r="EK106" s="18">
        <f>EJ106*VLOOKUP('Données projet'!$B$15,Paramètres!$A$1:$I$89,3,0)*VLOOKUP('Données projet'!$B$15,Paramètres!$A$1:$I$89,5,0)</f>
        <v>1.3596945791505279E-13</v>
      </c>
      <c r="EL106" s="14">
        <f t="shared" si="99"/>
        <v>1.9708830566360721E-12</v>
      </c>
      <c r="EM106" s="22">
        <f t="shared" si="73"/>
        <v>3.669434796176543E-12</v>
      </c>
      <c r="EN106" s="62">
        <f t="shared" si="74"/>
        <v>278.21876892976638</v>
      </c>
      <c r="EO106" s="62">
        <f ca="1">AVERAGE(OFFSET($EN$3,0,0,'Données projet'!$E$15+1,1))-AVERAGE(OFFSET($H$3,0,0,'Données projet'!$E$15+1,1))</f>
        <v>281.21543175875604</v>
      </c>
      <c r="EP106" s="62">
        <f t="shared" si="100"/>
        <v>366.68536296857428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40.74875543385091</v>
      </c>
      <c r="EW106" s="23">
        <f>EXP(-LN(2)/25)*EW105+(1-EXP(-LN(2)/25))/(LN(2)/25)*Calculateur!ER106*Calculateur!ET106*VLOOKUP('Données projet'!$B$15,Paramètres!$A$1:$I$89,3,0)*0.475*44/12</f>
        <v>9.813234149463046</v>
      </c>
      <c r="EX106" s="23">
        <f>EXP(-LN(2)/2)*EX105+(1-EXP(-LN(2)/2))/(LN(2)/2)*ER106*EU106*VLOOKUP('Données projet'!$B$15,Paramètres!$A$1:$I$89,3,0)*0.475*44/12</f>
        <v>1.7590565747733742E-6</v>
      </c>
      <c r="EY106" s="24">
        <f t="shared" si="75"/>
        <v>50.561991342370533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2.2737367544323206E-13</v>
      </c>
      <c r="FF106" s="18">
        <f>FE106*VLOOKUP('Données projet'!$B$16,Paramètres!$A$1:$I$89,3,0)*VLOOKUP('Données projet'!$B$16,Paramètres!$A$1:$I$89,5,0)</f>
        <v>1.2710188457276673E-13</v>
      </c>
      <c r="FG106" s="14">
        <f t="shared" si="101"/>
        <v>1.856866851063998E-12</v>
      </c>
      <c r="FH106" s="22">
        <f t="shared" si="76"/>
        <v>3.4554122145673649E-12</v>
      </c>
      <c r="FI106" s="62">
        <f t="shared" si="77"/>
        <v>278.21876892976616</v>
      </c>
      <c r="FJ106" s="62">
        <f ca="1">AVERAGE(OFFSET($FI$3,0,0,'Données projet'!$E$16+1,1))-AVERAGE(OFFSET($H$3,0,0,'Données projet'!$E$16+1,1))</f>
        <v>280.9225643428145</v>
      </c>
      <c r="FK106" s="62">
        <f t="shared" si="102"/>
        <v>236.89414218053955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127.47078443432166</v>
      </c>
      <c r="FR106" s="23">
        <f>EXP(-LN(2)/25)*FR105+(1-EXP(-LN(2)/25))/(LN(2)/25)*Calculateur!FM106*Calculateur!FO106*VLOOKUP('Données projet'!$B$16,Paramètres!$A$1:$I$89,3,0)*0.475*44/12</f>
        <v>31.407708336063649</v>
      </c>
      <c r="FS106" s="23">
        <f>EXP(-LN(2)/2)*FS105+(1-EXP(-LN(2)/2))/(LN(2)/2)*FM106*FP106*VLOOKUP('Données projet'!$B$16,Paramètres!$A$1:$I$89,3,0)*0.475*44/12</f>
        <v>4.6304698087675732E-8</v>
      </c>
      <c r="FT106" s="24">
        <f t="shared" si="78"/>
        <v>158.87849281669003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-5.6843418860808015E-13</v>
      </c>
      <c r="GA106" s="18">
        <f>FZ106*VLOOKUP('Données projet'!$B$17,Paramètres!$A$1:$I$89,3,0)*VLOOKUP('Données projet'!$B$17,Paramètres!$A$1:$I$89,5,0)</f>
        <v>-2.5124791136477147E-13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325.67421864225201</v>
      </c>
      <c r="GF106" s="62">
        <f t="shared" si="104"/>
        <v>542.01920418736745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82.497824797819874</v>
      </c>
      <c r="GM106" s="23">
        <f>EXP(-LN(2)/25)*GM105+(1-EXP(-LN(2)/25))/(LN(2)/25)*Calculateur!GH106*Calculateur!GJ106*VLOOKUP('Données projet'!$B$17,Paramètres!$A$1:$I$89,3,0)*0.475*44/12</f>
        <v>36.809513272361166</v>
      </c>
      <c r="GN106" s="23">
        <f>EXP(-LN(2)/2)*GN105+(1-EXP(-LN(2)/2))/(LN(2)/2)*GH106*GK106*VLOOKUP('Données projet'!$B$17,Paramètres!$A$1:$I$89,3,0)*0.475*44/12</f>
        <v>4.7162726183957652E-8</v>
      </c>
      <c r="GO106" s="23">
        <f t="shared" si="81"/>
        <v>119.30733811734376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2.8560000000000003</v>
      </c>
      <c r="GU106" s="13">
        <f>IF('Données projet'!$A$270&gt;35,GU105+GT106-HC105,IF(A106&lt;'Données projet'!$A$270,$GR$205^A106,IF(A106='Données projet'!$A$270,'Données projet'!$B$270,GU105+GT106-HC105)))</f>
        <v>121.52799999999986</v>
      </c>
      <c r="GV106" s="18">
        <f>GU106*VLOOKUP('Données projet'!$B$18,Paramètres!$A$1:$I$89,3,0)*VLOOKUP('Données projet'!$B$18,Paramètres!$A$1:$I$89,5,0)</f>
        <v>123.22939199999988</v>
      </c>
      <c r="GW106" s="14">
        <f t="shared" si="105"/>
        <v>32.427033886943562</v>
      </c>
      <c r="GX106" s="22">
        <f t="shared" si="82"/>
        <v>271.10160841975988</v>
      </c>
      <c r="GY106" s="62">
        <f t="shared" si="83"/>
        <v>549.32037734952257</v>
      </c>
      <c r="GZ106" s="62">
        <f ca="1">AVERAGE(OFFSET($GY$3,0,0,'Données projet'!$E$18+1,1))-AVERAGE(OFFSET($H$3,0,0,'Données projet'!$E$18+1,1))</f>
        <v>220.89224520315713</v>
      </c>
      <c r="HA106" s="62">
        <f t="shared" si="106"/>
        <v>141.82763623159096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-2.8421709430404007E-14</v>
      </c>
      <c r="O107" s="14">
        <f>N107*VLOOKUP('Données projet'!$B$9,Paramètres!$A$1:$I$89,3,0)*VLOOKUP('Données projet'!$B$9,Paramètres!$A$1:$I$89,5,0)</f>
        <v>-2.7489477361086758E-14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84.959354125980269</v>
      </c>
      <c r="T107" s="62">
        <f t="shared" si="88"/>
        <v>89.658970210276806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6.0650465771187898</v>
      </c>
      <c r="AB107" s="23">
        <f>EXP(-LN(2)/2)*AB106+(1-EXP(-LN(2)/2))/(LN(2)/2)*V107*Y107*VLOOKUP('Données projet'!$B$9,Paramètres!$A$1:$I$89,3,0)*0.475*44/12</f>
        <v>2.4957051839489941E-5</v>
      </c>
      <c r="AC107" s="24">
        <f t="shared" si="57"/>
        <v>6.0650715341706292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12.027399999999998</v>
      </c>
      <c r="AI107" s="14">
        <f>IF('Données projet'!$A$62&gt;35,AI106+AH107-AQ106,IF(A107&lt;'Données projet'!$A$62,$AF$205^A107,IF(A107='Données projet'!$A$62,'Données projet'!$B$62,AI106+AH107-AQ106)))</f>
        <v>442.58759999999995</v>
      </c>
      <c r="AJ107" s="14">
        <f>AI107*VLOOKUP('Données projet'!$B$10,Paramètres!$A$1:$I$89,3,0)*VLOOKUP('Données projet'!$B$10,Paramètres!$A$1:$I$89,5,0)</f>
        <v>421.16636016000001</v>
      </c>
      <c r="AK107" s="14">
        <f t="shared" si="89"/>
        <v>96.054857603587124</v>
      </c>
      <c r="AL107" s="22">
        <f t="shared" si="58"/>
        <v>900.8269542715808</v>
      </c>
      <c r="AM107" s="62">
        <f t="shared" si="59"/>
        <v>1179.3079271026418</v>
      </c>
      <c r="AN107" s="62">
        <f ca="1">AVERAGE(OFFSET($AM$3,0,0,'Données projet'!$E$10+1,1))-AVERAGE(OFFSET($H$3,0,0,'Données projet'!$E$10+1,1))</f>
        <v>592.76231355549089</v>
      </c>
      <c r="AO107" s="62">
        <f t="shared" si="90"/>
        <v>200.66895551079014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35.986021022864286</v>
      </c>
      <c r="AV107" s="23">
        <f>EXP(-LN(2)/25)*AV106+(1-EXP(-LN(2)/25))/(LN(2)/25)*Calculateur!AQ107*Calculateur!AS107*VLOOKUP('Données projet'!$B$10,Paramètres!$A$1:$I$89,3,0)*0.475*44/12</f>
        <v>19.615659446986342</v>
      </c>
      <c r="AW107" s="23">
        <f>EXP(-LN(2)/2)*AW106+(1-EXP(-LN(2)/2))/(LN(2)/2)*AQ107*AT107*VLOOKUP('Données projet'!$B$10,Paramètres!$A$1:$I$89,3,0)*0.475*44/12</f>
        <v>3.0658976625751434E-6</v>
      </c>
      <c r="AX107" s="23">
        <f t="shared" si="60"/>
        <v>55.601683535748293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4.7240000000000011</v>
      </c>
      <c r="BD107" s="13">
        <f>IF('Données projet'!$A$88&gt;35,BD106+BC107-BL106,IF(A107&lt;'Données projet'!$A$88,$BA$205^A107,IF(A107='Données projet'!$A$88,'Données projet'!$B$88,BD106+BC107-BL106)))</f>
        <v>198.52599999999998</v>
      </c>
      <c r="BE107" s="14">
        <f>BD107*VLOOKUP('Données projet'!$B$11,Paramètres!$A$1:$I$89,3,0)*VLOOKUP('Données projet'!$B$11,Paramètres!$A$1:$I$89,5,0)</f>
        <v>179.62632479999996</v>
      </c>
      <c r="BF107" s="14">
        <f t="shared" si="91"/>
        <v>45.239040266742563</v>
      </c>
      <c r="BG107" s="22">
        <f t="shared" si="61"/>
        <v>391.64051082457655</v>
      </c>
      <c r="BH107" s="62">
        <f t="shared" si="62"/>
        <v>670.12148365563746</v>
      </c>
      <c r="BI107" s="62">
        <f ca="1">AVERAGE(OFFSET($BH$3,0,0,'Données projet'!$E$11+1,1))-AVERAGE(OFFSET($H$3,0,0,'Données projet'!$E$11+1,1))</f>
        <v>316.71836722354374</v>
      </c>
      <c r="BJ107" s="62">
        <f t="shared" si="92"/>
        <v>164.34067012996618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17.922701511263867</v>
      </c>
      <c r="BQ107" s="23">
        <f>EXP(-LN(2)/25)*BQ106+(1-EXP(-LN(2)/25))/(LN(2)/25)*Calculateur!BL107*Calculateur!BN107*VLOOKUP('Données projet'!$B$11,Paramètres!$A$1:$I$89,3,0)*0.475*44/12</f>
        <v>6.2098691375189583</v>
      </c>
      <c r="BR107" s="23">
        <f>EXP(-LN(2)/2)*BR106+(1-EXP(-LN(2)/2))/(LN(2)/2)*BL107*BO107*VLOOKUP('Données projet'!$B$11,Paramètres!$A$1:$I$89,3,0)*0.475*44/12</f>
        <v>1.980733747056603E-7</v>
      </c>
      <c r="BS107" s="24">
        <f t="shared" si="63"/>
        <v>24.132570846856201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3.7879999999999994</v>
      </c>
      <c r="BY107" s="13">
        <f>IF('Données projet'!$A$114&gt;35,BY106+BX107-CG106,IF(A107&lt;'Données projet'!$A$114,$BV$205^A107,IF(A107='Données projet'!$A$114,'Données projet'!$B$114,BY106+BX107-CG106)))</f>
        <v>246.14200000000011</v>
      </c>
      <c r="BZ107" s="14">
        <f>BY107*VLOOKUP('Données projet'!$B$12,Paramètres!$A$1:$I$89,3,0)*VLOOKUP('Données projet'!$B$12,Paramètres!$A$1:$I$89,5,0)</f>
        <v>280.30650960000014</v>
      </c>
      <c r="CA107" s="14">
        <f t="shared" si="93"/>
        <v>67.031779045592756</v>
      </c>
      <c r="CB107" s="22">
        <f t="shared" si="64"/>
        <v>604.94751939107425</v>
      </c>
      <c r="CC107" s="62">
        <f t="shared" si="65"/>
        <v>883.42849222213522</v>
      </c>
      <c r="CD107" s="62">
        <f ca="1">AVERAGE(OFFSET($CC$3,0,0,'Données projet'!$E$12+1,1))-AVERAGE(OFFSET($H$3,0,0,'Données projet'!$E$12+1,1))</f>
        <v>454.9779384236806</v>
      </c>
      <c r="CE107" s="62">
        <f t="shared" si="94"/>
        <v>379.32753348721906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11.243412680562214</v>
      </c>
      <c r="CM107" s="23">
        <f>EXP(-LN(2)/2)*CM106+(1-EXP(-LN(2)/2))/(LN(2)/2)*CG107*CJ107*VLOOKUP('Données projet'!$B$12,Paramètres!$A$1:$I$89,3,0)*0.475*44/12</f>
        <v>3.1040618460067702E-2</v>
      </c>
      <c r="CN107" s="24">
        <f t="shared" si="66"/>
        <v>11.274453299022282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252.10592533338991</v>
      </c>
      <c r="CZ107" s="62">
        <f t="shared" si="96"/>
        <v>272.71831345325313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43.832444183956255</v>
      </c>
      <c r="DH107" s="23">
        <f>EXP(-LN(2)/2)*DH106+(1-EXP(-LN(2)/2))/(LN(2)/2)*DB107*DE107*VLOOKUP('Données projet'!$B$13,Paramètres!$A$1:$I$89,3,0)*0.475*44/12</f>
        <v>4.031741067527244E-6</v>
      </c>
      <c r="DI107" s="24">
        <f t="shared" si="69"/>
        <v>43.832448215697326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projet'!$B$14,Paramètres!$A$1:$I$89,3,0)*VLOOKUP('Données projet'!$B$14,Paramètres!$A$1:$I$89,5,0)</f>
        <v>0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423.0896575168394</v>
      </c>
      <c r="DU107" s="62">
        <f t="shared" si="98"/>
        <v>305.98537395014284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94.758263362572464</v>
      </c>
      <c r="EB107" s="23">
        <f>EXP(-LN(2)/25)*EB106+(1-EXP(-LN(2)/25))/(LN(2)/25)*Calculateur!DW107*Calculateur!DY107*VLOOKUP('Données projet'!$B$14,Paramètres!$A$1:$I$89,3,0)*0.475*44/12</f>
        <v>91.954323196742934</v>
      </c>
      <c r="EC107" s="23">
        <f>EXP(-LN(2)/2)*EC106+(1-EXP(-LN(2)/2))/(LN(2)/2)*DW107*DZ107*VLOOKUP('Données projet'!$B$14,Paramètres!$A$1:$I$89,3,0)*0.475*44/12</f>
        <v>7.9043512401028491E-7</v>
      </c>
      <c r="ED107" s="24">
        <f t="shared" si="72"/>
        <v>186.71258734975055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2.2737367544323206E-13</v>
      </c>
      <c r="EK107" s="18">
        <f>EJ107*VLOOKUP('Données projet'!$B$15,Paramètres!$A$1:$I$89,3,0)*VLOOKUP('Données projet'!$B$15,Paramètres!$A$1:$I$89,5,0)</f>
        <v>1.3596945791505279E-13</v>
      </c>
      <c r="EL107" s="14">
        <f t="shared" si="99"/>
        <v>1.9708830566360721E-12</v>
      </c>
      <c r="EM107" s="22">
        <f t="shared" si="73"/>
        <v>3.669434796176543E-12</v>
      </c>
      <c r="EN107" s="62">
        <f t="shared" si="74"/>
        <v>278.48097283106461</v>
      </c>
      <c r="EO107" s="62">
        <f ca="1">AVERAGE(OFFSET($EN$3,0,0,'Données projet'!$E$15+1,1))-AVERAGE(OFFSET($H$3,0,0,'Données projet'!$E$15+1,1))</f>
        <v>281.21543175875604</v>
      </c>
      <c r="EP107" s="62">
        <f t="shared" si="100"/>
        <v>366.68536296857428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39.949697194079754</v>
      </c>
      <c r="EW107" s="23">
        <f>EXP(-LN(2)/25)*EW106+(1-EXP(-LN(2)/25))/(LN(2)/25)*Calculateur!ER107*Calculateur!ET107*VLOOKUP('Données projet'!$B$15,Paramètres!$A$1:$I$89,3,0)*0.475*44/12</f>
        <v>9.5448907455904237</v>
      </c>
      <c r="EX107" s="23">
        <f>EXP(-LN(2)/2)*EX106+(1-EXP(-LN(2)/2))/(LN(2)/2)*ER107*EU107*VLOOKUP('Données projet'!$B$15,Paramètres!$A$1:$I$89,3,0)*0.475*44/12</f>
        <v>1.243840832513034E-6</v>
      </c>
      <c r="EY107" s="24">
        <f t="shared" si="75"/>
        <v>49.49458918351101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2.2737367544323206E-13</v>
      </c>
      <c r="FF107" s="18">
        <f>FE107*VLOOKUP('Données projet'!$B$16,Paramètres!$A$1:$I$89,3,0)*VLOOKUP('Données projet'!$B$16,Paramètres!$A$1:$I$89,5,0)</f>
        <v>1.2710188457276673E-13</v>
      </c>
      <c r="FG107" s="14">
        <f t="shared" si="101"/>
        <v>1.856866851063998E-12</v>
      </c>
      <c r="FH107" s="22">
        <f t="shared" si="76"/>
        <v>3.4554122145673649E-12</v>
      </c>
      <c r="FI107" s="62">
        <f t="shared" si="77"/>
        <v>278.48097283106438</v>
      </c>
      <c r="FJ107" s="62">
        <f ca="1">AVERAGE(OFFSET($FI$3,0,0,'Données projet'!$E$16+1,1))-AVERAGE(OFFSET($H$3,0,0,'Données projet'!$E$16+1,1))</f>
        <v>280.9225643428145</v>
      </c>
      <c r="FK107" s="62">
        <f t="shared" si="102"/>
        <v>236.89414218053955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124.97116010106599</v>
      </c>
      <c r="FR107" s="23">
        <f>EXP(-LN(2)/25)*FR106+(1-EXP(-LN(2)/25))/(LN(2)/25)*Calculateur!FM107*Calculateur!FO107*VLOOKUP('Données projet'!$B$16,Paramètres!$A$1:$I$89,3,0)*0.475*44/12</f>
        <v>30.54886289995439</v>
      </c>
      <c r="FS107" s="23">
        <f>EXP(-LN(2)/2)*FS106+(1-EXP(-LN(2)/2))/(LN(2)/2)*FM107*FP107*VLOOKUP('Données projet'!$B$16,Paramètres!$A$1:$I$89,3,0)*0.475*44/12</f>
        <v>3.2742366018591269E-8</v>
      </c>
      <c r="FT107" s="24">
        <f t="shared" si="78"/>
        <v>155.52002303376275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-5.6843418860808015E-13</v>
      </c>
      <c r="GA107" s="18">
        <f>FZ107*VLOOKUP('Données projet'!$B$17,Paramètres!$A$1:$I$89,3,0)*VLOOKUP('Données projet'!$B$17,Paramètres!$A$1:$I$89,5,0)</f>
        <v>-2.5124791136477147E-13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325.67421864225201</v>
      </c>
      <c r="GF107" s="62">
        <f t="shared" si="104"/>
        <v>542.01920418736745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80.880092772239195</v>
      </c>
      <c r="GM107" s="23">
        <f>EXP(-LN(2)/25)*GM106+(1-EXP(-LN(2)/25))/(LN(2)/25)*Calculateur!GH107*Calculateur!GJ107*VLOOKUP('Données projet'!$B$17,Paramètres!$A$1:$I$89,3,0)*0.475*44/12</f>
        <v>35.802955196200273</v>
      </c>
      <c r="GN107" s="23">
        <f>EXP(-LN(2)/2)*GN106+(1-EXP(-LN(2)/2))/(LN(2)/2)*GH107*GK107*VLOOKUP('Données projet'!$B$17,Paramètres!$A$1:$I$89,3,0)*0.475*44/12</f>
        <v>3.3349083503920798E-8</v>
      </c>
      <c r="GO107" s="23">
        <f t="shared" si="81"/>
        <v>116.68304800178855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2.8560000000000003</v>
      </c>
      <c r="GU107" s="13">
        <f>IF('Données projet'!$A$270&gt;35,GU106+GT107-HC106,IF(A107&lt;'Données projet'!$A$270,$GR$205^A107,IF(A107='Données projet'!$A$270,'Données projet'!$B$270,GU106+GT107-HC106)))</f>
        <v>124.38399999999986</v>
      </c>
      <c r="GV107" s="18">
        <f>GU107*VLOOKUP('Données projet'!$B$18,Paramètres!$A$1:$I$89,3,0)*VLOOKUP('Données projet'!$B$18,Paramètres!$A$1:$I$89,5,0)</f>
        <v>126.12537599999986</v>
      </c>
      <c r="GW107" s="14">
        <f t="shared" si="105"/>
        <v>33.09947694239397</v>
      </c>
      <c r="GX107" s="22">
        <f t="shared" si="82"/>
        <v>277.31661887466925</v>
      </c>
      <c r="GY107" s="62">
        <f t="shared" si="83"/>
        <v>555.79759170573016</v>
      </c>
      <c r="GZ107" s="62">
        <f ca="1">AVERAGE(OFFSET($GY$3,0,0,'Données projet'!$E$18+1,1))-AVERAGE(OFFSET($H$3,0,0,'Données projet'!$E$18+1,1))</f>
        <v>220.89224520315713</v>
      </c>
      <c r="HA107" s="62">
        <f t="shared" si="106"/>
        <v>141.82763623159096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-2.8421709430404007E-14</v>
      </c>
      <c r="O108" s="14">
        <f>N108*VLOOKUP('Données projet'!$B$9,Paramètres!$A$1:$I$89,3,0)*VLOOKUP('Données projet'!$B$9,Paramètres!$A$1:$I$89,5,0)</f>
        <v>-2.7489477361086758E-14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84.959354125980269</v>
      </c>
      <c r="T108" s="62">
        <f t="shared" si="88"/>
        <v>89.658970210276806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5.8991975595205393</v>
      </c>
      <c r="AB108" s="23">
        <f>EXP(-LN(2)/2)*AB107+(1-EXP(-LN(2)/2))/(LN(2)/2)*V108*Y108*VLOOKUP('Données projet'!$B$9,Paramètres!$A$1:$I$89,3,0)*0.475*44/12</f>
        <v>1.7647300594127537E-5</v>
      </c>
      <c r="AC108" s="24">
        <f t="shared" si="57"/>
        <v>5.8992152068211334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12.027399999999998</v>
      </c>
      <c r="AI108" s="14">
        <f>IF('Données projet'!$A$62&gt;35,AI107+AH108-AQ107,IF(A108&lt;'Données projet'!$A$62,$AF$205^A108,IF(A108='Données projet'!$A$62,'Données projet'!$B$62,AI107+AH108-AQ107)))</f>
        <v>454.61499999999995</v>
      </c>
      <c r="AJ108" s="14">
        <f>AI108*VLOOKUP('Données projet'!$B$10,Paramètres!$A$1:$I$89,3,0)*VLOOKUP('Données projet'!$B$10,Paramètres!$A$1:$I$89,5,0)</f>
        <v>432.61163399999992</v>
      </c>
      <c r="AK108" s="14">
        <f t="shared" si="89"/>
        <v>98.35771470205853</v>
      </c>
      <c r="AL108" s="22">
        <f t="shared" si="58"/>
        <v>924.77161565608515</v>
      </c>
      <c r="AM108" s="62">
        <f t="shared" si="59"/>
        <v>1203.5102437369569</v>
      </c>
      <c r="AN108" s="62">
        <f ca="1">AVERAGE(OFFSET($AM$3,0,0,'Données projet'!$E$10+1,1))-AVERAGE(OFFSET($H$3,0,0,'Données projet'!$E$10+1,1))</f>
        <v>592.76231355549089</v>
      </c>
      <c r="AO108" s="62">
        <f t="shared" si="90"/>
        <v>200.66895551079014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35.280357099911427</v>
      </c>
      <c r="AV108" s="23">
        <f>EXP(-LN(2)/25)*AV107+(1-EXP(-LN(2)/25))/(LN(2)/25)*Calculateur!AQ108*Calculateur!AS108*VLOOKUP('Données projet'!$B$10,Paramètres!$A$1:$I$89,3,0)*0.475*44/12</f>
        <v>19.079268207865802</v>
      </c>
      <c r="AW108" s="23">
        <f>EXP(-LN(2)/2)*AW107+(1-EXP(-LN(2)/2))/(LN(2)/2)*AQ108*AT108*VLOOKUP('Données projet'!$B$10,Paramètres!$A$1:$I$89,3,0)*0.475*44/12</f>
        <v>2.1679170276308694E-6</v>
      </c>
      <c r="AX108" s="23">
        <f t="shared" si="60"/>
        <v>54.359627475694253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203.25</v>
      </c>
      <c r="BB108" s="13">
        <f>VLOOKUP(A108,'Données projet'!$A$87:$I$107,9,0)</f>
        <v>4.7240000000000011</v>
      </c>
      <c r="BC108" s="13">
        <f t="array" ref="BC108">INDEX(BB:BB,MIN(IF(ISNUMBER(BB108:BB304),ROW(BB108:BB304),"")))</f>
        <v>4.7240000000000011</v>
      </c>
      <c r="BD108" s="13">
        <f>IF('Données projet'!$A$88&gt;35,BD107+BC108-BL107,IF(A108&lt;'Données projet'!$A$88,$BA$205^A108,IF(A108='Données projet'!$A$88,'Données projet'!$B$88,BD107+BC108-BL107)))</f>
        <v>203.24999999999997</v>
      </c>
      <c r="BE108" s="14">
        <f>BD108*VLOOKUP('Données projet'!$B$11,Paramètres!$A$1:$I$89,3,0)*VLOOKUP('Données projet'!$B$11,Paramètres!$A$1:$I$89,5,0)</f>
        <v>183.90059999999997</v>
      </c>
      <c r="BF108" s="14">
        <f t="shared" si="91"/>
        <v>46.188912049615119</v>
      </c>
      <c r="BG108" s="22">
        <f t="shared" si="61"/>
        <v>400.73923348641296</v>
      </c>
      <c r="BH108" s="62">
        <f t="shared" si="62"/>
        <v>679.47786156728466</v>
      </c>
      <c r="BI108" s="62">
        <f ca="1">AVERAGE(OFFSET($BH$3,0,0,'Données projet'!$E$11+1,1))-AVERAGE(OFFSET($H$3,0,0,'Données projet'!$E$11+1,1))</f>
        <v>316.71836722354374</v>
      </c>
      <c r="BJ108" s="62">
        <f t="shared" si="92"/>
        <v>164.34067012996618</v>
      </c>
      <c r="BK108" s="16">
        <f>IF(ISNA(VLOOKUP(A108,'Données projet'!$A$87:$I$107,3,0)),0,VLOOKUP(A108,'Données projet'!$A$87:$I$107,3,0))</f>
        <v>13</v>
      </c>
      <c r="BL108" s="16">
        <f>IF(ISNA(VLOOKUP(A108,'Données projet'!$A$87:$I$107,4,0)),0,VLOOKUP(A108,'Données projet'!$A$87:$I$107,4,0))</f>
        <v>27.19</v>
      </c>
      <c r="BM108" s="17">
        <f>IF(ISNA(VLOOKUP(A108,'Données projet'!$A$87:$I$107,5,0)),0%,VLOOKUP(A108,'Données projet'!$A$87:$I$107,5,0)*VLOOKUP('Données projet'!$B$11,Paramètres!$A$1:$I$89,7,0))</f>
        <v>0.34400000000000003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26.926755792253687</v>
      </c>
      <c r="BQ108" s="23">
        <f>EXP(-LN(2)/25)*BQ107+(1-EXP(-LN(2)/25))/(LN(2)/25)*Calculateur!BL108*Calculateur!BN108*VLOOKUP('Données projet'!$B$11,Paramètres!$A$1:$I$89,3,0)*0.475*44/12</f>
        <v>6.0400599393906775</v>
      </c>
      <c r="BR108" s="23">
        <f>EXP(-LN(2)/2)*BR107+(1-EXP(-LN(2)/2))/(LN(2)/2)*BL108*BO108*VLOOKUP('Données projet'!$B$11,Paramètres!$A$1:$I$89,3,0)*0.475*44/12</f>
        <v>1.4005902642687637E-7</v>
      </c>
      <c r="BS108" s="24">
        <f t="shared" si="63"/>
        <v>32.966815871703396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249.93</v>
      </c>
      <c r="BW108" s="13">
        <f>VLOOKUP(A108,'Données projet'!$A$113:$I$133,9,0)</f>
        <v>3.7879999999999994</v>
      </c>
      <c r="BX108" s="13">
        <f t="array" ref="BX108">INDEX(BW:BW,MIN(IF(ISNUMBER(BW108:BW304),ROW(BW108:BW304),"")))</f>
        <v>3.7879999999999994</v>
      </c>
      <c r="BY108" s="13">
        <f>IF('Données projet'!$A$114&gt;35,BY107+BX108-CG107,IF(A108&lt;'Données projet'!$A$114,$BV$205^A108,IF(A108='Données projet'!$A$114,'Données projet'!$B$114,BY107+BX108-CG107)))</f>
        <v>249.93000000000012</v>
      </c>
      <c r="BZ108" s="14">
        <f>BY108*VLOOKUP('Données projet'!$B$12,Paramètres!$A$1:$I$89,3,0)*VLOOKUP('Données projet'!$B$12,Paramètres!$A$1:$I$89,5,0)</f>
        <v>284.62028400000014</v>
      </c>
      <c r="CA108" s="14">
        <f t="shared" si="93"/>
        <v>67.942475722541161</v>
      </c>
      <c r="CB108" s="22">
        <f t="shared" si="64"/>
        <v>614.04680651675937</v>
      </c>
      <c r="CC108" s="62">
        <f t="shared" si="65"/>
        <v>892.78543459763114</v>
      </c>
      <c r="CD108" s="62">
        <f ca="1">AVERAGE(OFFSET($CC$3,0,0,'Données projet'!$E$12+1,1))-AVERAGE(OFFSET($H$3,0,0,'Données projet'!$E$12+1,1))</f>
        <v>454.9779384236806</v>
      </c>
      <c r="CE108" s="62">
        <f t="shared" si="94"/>
        <v>379.32753348721906</v>
      </c>
      <c r="CF108" s="16">
        <f>IF(ISNA(VLOOKUP(A108,'Données projet'!$A$113:$I$133,3,0)),0,VLOOKUP(A108,'Données projet'!$A$113:$I$133,3,0))</f>
        <v>6</v>
      </c>
      <c r="CG108" s="16">
        <f>IF(ISNA(VLOOKUP(A108,'Données projet'!$A$113:$I$133,4,0)),0,VLOOKUP(A108,'Données projet'!$A$113:$I$133,4,0))</f>
        <v>99.97</v>
      </c>
      <c r="CH108" s="17">
        <f>IF(ISNA(VLOOKUP(A108,'Données projet'!$A$113:$I$133,5,0)),0%,VLOOKUP(A108,'Données projet'!$A$113:$I$133,5,0)*VLOOKUP('Données projet'!$B$12,Paramètres!$A$1:$I$89,7,0))</f>
        <v>0.25800000000000001</v>
      </c>
      <c r="CI108" s="17">
        <f>IF(ISNA(VLOOKUP(A108,'Données projet'!$A$113:$I$133,6,0)),0%,VLOOKUP(A108,'Données projet'!$A$113:$I$133,6,0)*VLOOKUP('Données projet'!$B$12,Paramètres!$A$1:$I$89,7,0))</f>
        <v>8.6000000000000007E-2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32.470125479040824</v>
      </c>
      <c r="CL108" s="23">
        <f>EXP(-LN(2)/25)*CL107+(1-EXP(-LN(2)/25))/(LN(2)/25)*Calculateur!CG108*Calculateur!CI108*VLOOKUP('Données projet'!$B$12,Paramètres!$A$1:$I$89,3,0)*0.475*44/12</f>
        <v>21.716720377194225</v>
      </c>
      <c r="CM108" s="23">
        <f>EXP(-LN(2)/2)*CM107+(1-EXP(-LN(2)/2))/(LN(2)/2)*CG108*CJ108*VLOOKUP('Données projet'!$B$12,Paramètres!$A$1:$I$89,3,0)*0.475*44/12</f>
        <v>2.1949031805338203E-2</v>
      </c>
      <c r="CN108" s="24">
        <f t="shared" si="66"/>
        <v>54.208794888040394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252.10592533338991</v>
      </c>
      <c r="CZ108" s="62">
        <f t="shared" si="96"/>
        <v>272.71831345325313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42.633843692697916</v>
      </c>
      <c r="DH108" s="23">
        <f>EXP(-LN(2)/2)*DH107+(1-EXP(-LN(2)/2))/(LN(2)/2)*DB108*DE108*VLOOKUP('Données projet'!$B$13,Paramètres!$A$1:$I$89,3,0)*0.475*44/12</f>
        <v>2.8508714488368045E-6</v>
      </c>
      <c r="DI108" s="24">
        <f t="shared" si="69"/>
        <v>42.633846543569362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projet'!$B$14,Paramètres!$A$1:$I$89,3,0)*VLOOKUP('Données projet'!$B$14,Paramètres!$A$1:$I$89,5,0)</f>
        <v>0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423.0896575168394</v>
      </c>
      <c r="DU108" s="62">
        <f t="shared" si="98"/>
        <v>305.98537395014284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92.900111614866105</v>
      </c>
      <c r="EB108" s="23">
        <f>EXP(-LN(2)/25)*EB107+(1-EXP(-LN(2)/25))/(LN(2)/25)*Calculateur!DW108*Calculateur!DY108*VLOOKUP('Données projet'!$B$14,Paramètres!$A$1:$I$89,3,0)*0.475*44/12</f>
        <v>89.439827393260302</v>
      </c>
      <c r="EC108" s="23">
        <f>EXP(-LN(2)/2)*EC107+(1-EXP(-LN(2)/2))/(LN(2)/2)*DW108*DZ108*VLOOKUP('Données projet'!$B$14,Paramètres!$A$1:$I$89,3,0)*0.475*44/12</f>
        <v>5.5892203627570208E-7</v>
      </c>
      <c r="ED108" s="24">
        <f t="shared" si="72"/>
        <v>182.33993956704845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2.2737367544323206E-13</v>
      </c>
      <c r="EK108" s="18">
        <f>EJ108*VLOOKUP('Données projet'!$B$15,Paramètres!$A$1:$I$89,3,0)*VLOOKUP('Données projet'!$B$15,Paramètres!$A$1:$I$89,5,0)</f>
        <v>1.3596945791505279E-13</v>
      </c>
      <c r="EL108" s="14">
        <f t="shared" si="99"/>
        <v>1.9708830566360721E-12</v>
      </c>
      <c r="EM108" s="22">
        <f t="shared" si="73"/>
        <v>3.669434796176543E-12</v>
      </c>
      <c r="EN108" s="62">
        <f t="shared" si="74"/>
        <v>278.73862808087546</v>
      </c>
      <c r="EO108" s="62">
        <f ca="1">AVERAGE(OFFSET($EN$3,0,0,'Données projet'!$E$15+1,1))-AVERAGE(OFFSET($H$3,0,0,'Données projet'!$E$15+1,1))</f>
        <v>281.21543175875604</v>
      </c>
      <c r="EP108" s="62">
        <f t="shared" si="100"/>
        <v>366.68536296857428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39.166307999013107</v>
      </c>
      <c r="EW108" s="23">
        <f>EXP(-LN(2)/25)*EW107+(1-EXP(-LN(2)/25))/(LN(2)/25)*Calculateur!ER108*Calculateur!ET108*VLOOKUP('Données projet'!$B$15,Paramètres!$A$1:$I$89,3,0)*0.475*44/12</f>
        <v>9.2838852062082644</v>
      </c>
      <c r="EX108" s="23">
        <f>EXP(-LN(2)/2)*EX107+(1-EXP(-LN(2)/2))/(LN(2)/2)*ER108*EU108*VLOOKUP('Données projet'!$B$15,Paramètres!$A$1:$I$89,3,0)*0.475*44/12</f>
        <v>8.7952828738668708E-7</v>
      </c>
      <c r="EY108" s="24">
        <f t="shared" si="75"/>
        <v>48.450194084749654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2.2737367544323206E-13</v>
      </c>
      <c r="FF108" s="18">
        <f>FE108*VLOOKUP('Données projet'!$B$16,Paramètres!$A$1:$I$89,3,0)*VLOOKUP('Données projet'!$B$16,Paramètres!$A$1:$I$89,5,0)</f>
        <v>1.2710188457276673E-13</v>
      </c>
      <c r="FG108" s="14">
        <f t="shared" si="101"/>
        <v>1.856866851063998E-12</v>
      </c>
      <c r="FH108" s="22">
        <f t="shared" si="76"/>
        <v>3.4554122145673649E-12</v>
      </c>
      <c r="FI108" s="62">
        <f t="shared" si="77"/>
        <v>278.73862808087523</v>
      </c>
      <c r="FJ108" s="62">
        <f ca="1">AVERAGE(OFFSET($FI$3,0,0,'Données projet'!$E$16+1,1))-AVERAGE(OFFSET($H$3,0,0,'Données projet'!$E$16+1,1))</f>
        <v>280.9225643428145</v>
      </c>
      <c r="FK108" s="62">
        <f t="shared" si="102"/>
        <v>236.89414218053955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122.52055187636516</v>
      </c>
      <c r="FR108" s="23">
        <f>EXP(-LN(2)/25)*FR107+(1-EXP(-LN(2)/25))/(LN(2)/25)*Calculateur!FM108*Calculateur!FO108*VLOOKUP('Données projet'!$B$16,Paramètres!$A$1:$I$89,3,0)*0.475*44/12</f>
        <v>29.713502637460259</v>
      </c>
      <c r="FS108" s="23">
        <f>EXP(-LN(2)/2)*FS107+(1-EXP(-LN(2)/2))/(LN(2)/2)*FM108*FP108*VLOOKUP('Données projet'!$B$16,Paramètres!$A$1:$I$89,3,0)*0.475*44/12</f>
        <v>2.3152349043837866E-8</v>
      </c>
      <c r="FT108" s="24">
        <f t="shared" si="78"/>
        <v>152.23405453697777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-5.6843418860808015E-13</v>
      </c>
      <c r="GA108" s="18">
        <f>FZ108*VLOOKUP('Données projet'!$B$17,Paramètres!$A$1:$I$89,3,0)*VLOOKUP('Données projet'!$B$17,Paramètres!$A$1:$I$89,5,0)</f>
        <v>-2.5124791136477147E-13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325.67421864225201</v>
      </c>
      <c r="GF108" s="62">
        <f t="shared" si="104"/>
        <v>542.01920418736745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79.29408348496105</v>
      </c>
      <c r="GM108" s="23">
        <f>EXP(-LN(2)/25)*GM107+(1-EXP(-LN(2)/25))/(LN(2)/25)*Calculateur!GH108*Calculateur!GJ108*VLOOKUP('Données projet'!$B$17,Paramètres!$A$1:$I$89,3,0)*0.475*44/12</f>
        <v>34.823921503564591</v>
      </c>
      <c r="GN108" s="23">
        <f>EXP(-LN(2)/2)*GN107+(1-EXP(-LN(2)/2))/(LN(2)/2)*GH108*GK108*VLOOKUP('Données projet'!$B$17,Paramètres!$A$1:$I$89,3,0)*0.475*44/12</f>
        <v>2.3581363091978826E-8</v>
      </c>
      <c r="GO108" s="23">
        <f t="shared" si="81"/>
        <v>114.11800501210701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>
        <f>VLOOKUP(A108,'Données projet'!$A$269:$I$289,2,0)</f>
        <v>127.24</v>
      </c>
      <c r="GS108" s="13">
        <f>VLOOKUP(A108,'Données projet'!$A$269:$I$289,9,0)</f>
        <v>2.8560000000000003</v>
      </c>
      <c r="GT108" s="13">
        <f t="array" ref="GT108">INDEX(GS:GS,MIN(IF(ISNUMBER(GS108:GS304),ROW(GS108:GS304),"")))</f>
        <v>2.8560000000000003</v>
      </c>
      <c r="GU108" s="13">
        <f>IF('Données projet'!$A$270&gt;35,GU107+GT108-HC107,IF(A108&lt;'Données projet'!$A$270,$GR$205^A108,IF(A108='Données projet'!$A$270,'Données projet'!$B$270,GU107+GT108-HC107)))</f>
        <v>127.23999999999985</v>
      </c>
      <c r="GV108" s="18">
        <f>GU108*VLOOKUP('Données projet'!$B$18,Paramètres!$A$1:$I$89,3,0)*VLOOKUP('Données projet'!$B$18,Paramètres!$A$1:$I$89,5,0)</f>
        <v>129.02135999999985</v>
      </c>
      <c r="GW108" s="14">
        <f t="shared" si="105"/>
        <v>33.770125006837759</v>
      </c>
      <c r="GX108" s="22">
        <f t="shared" si="82"/>
        <v>283.52850305357543</v>
      </c>
      <c r="GY108" s="62">
        <f t="shared" si="83"/>
        <v>562.26713113444725</v>
      </c>
      <c r="GZ108" s="62">
        <f ca="1">AVERAGE(OFFSET($GY$3,0,0,'Données projet'!$E$18+1,1))-AVERAGE(OFFSET($H$3,0,0,'Données projet'!$E$18+1,1))</f>
        <v>220.89224520315713</v>
      </c>
      <c r="HA108" s="62">
        <f t="shared" si="106"/>
        <v>141.82763623159096</v>
      </c>
      <c r="HB108" s="16">
        <f>IF(ISNA(VLOOKUP(A108,'Données projet'!$A$269:$I$289,3,0)),0,VLOOKUP(A108,'Données projet'!$A$269:$I$289,3,0))</f>
        <v>13</v>
      </c>
      <c r="HC108" s="16">
        <f>IF(ISNA(VLOOKUP(A108,'Données projet'!$A$269:$I$289,4,0)),0,VLOOKUP(A108,'Données projet'!$A$269:$I$289,4,0))</f>
        <v>17.02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-2.8421709430404007E-14</v>
      </c>
      <c r="O109" s="14">
        <f>N109*VLOOKUP('Données projet'!$B$9,Paramètres!$A$1:$I$89,3,0)*VLOOKUP('Données projet'!$B$9,Paramètres!$A$1:$I$89,5,0)</f>
        <v>-2.7489477361086758E-14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84.959354125980269</v>
      </c>
      <c r="T109" s="62">
        <f t="shared" si="88"/>
        <v>89.658970210276806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5.7378836920301328</v>
      </c>
      <c r="AB109" s="23">
        <f>EXP(-LN(2)/2)*AB108+(1-EXP(-LN(2)/2))/(LN(2)/2)*V109*Y109*VLOOKUP('Données projet'!$B$9,Paramètres!$A$1:$I$89,3,0)*0.475*44/12</f>
        <v>1.247852591974497E-5</v>
      </c>
      <c r="AC109" s="24">
        <f t="shared" si="57"/>
        <v>5.7378961705560529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12.027399999999998</v>
      </c>
      <c r="AI109" s="14">
        <f>IF('Données projet'!$A$62&gt;35,AI108+AH109-AQ108,IF(A109&lt;'Données projet'!$A$62,$AF$205^A109,IF(A109='Données projet'!$A$62,'Données projet'!$B$62,AI108+AH109-AQ108)))</f>
        <v>466.64239999999995</v>
      </c>
      <c r="AJ109" s="14">
        <f>AI109*VLOOKUP('Données projet'!$B$10,Paramètres!$A$1:$I$89,3,0)*VLOOKUP('Données projet'!$B$10,Paramètres!$A$1:$I$89,5,0)</f>
        <v>444.05690784000001</v>
      </c>
      <c r="AK109" s="14">
        <f t="shared" si="89"/>
        <v>100.65349017480806</v>
      </c>
      <c r="AL109" s="22">
        <f t="shared" si="58"/>
        <v>948.70394320912408</v>
      </c>
      <c r="AM109" s="62">
        <f t="shared" si="59"/>
        <v>1227.6957567972531</v>
      </c>
      <c r="AN109" s="62">
        <f ca="1">AVERAGE(OFFSET($AM$3,0,0,'Données projet'!$E$10+1,1))-AVERAGE(OFFSET($H$3,0,0,'Données projet'!$E$10+1,1))</f>
        <v>592.76231355549089</v>
      </c>
      <c r="AO109" s="62">
        <f t="shared" si="90"/>
        <v>200.66895551079014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34.588530816075178</v>
      </c>
      <c r="AV109" s="23">
        <f>EXP(-LN(2)/25)*AV108+(1-EXP(-LN(2)/25))/(LN(2)/25)*Calculateur!AQ109*Calculateur!AS109*VLOOKUP('Données projet'!$B$10,Paramètres!$A$1:$I$89,3,0)*0.475*44/12</f>
        <v>18.557544615386604</v>
      </c>
      <c r="AW109" s="23">
        <f>EXP(-LN(2)/2)*AW108+(1-EXP(-LN(2)/2))/(LN(2)/2)*AQ109*AT109*VLOOKUP('Données projet'!$B$10,Paramètres!$A$1:$I$89,3,0)*0.475*44/12</f>
        <v>1.5329488312875717E-6</v>
      </c>
      <c r="AX109" s="23">
        <f t="shared" si="60"/>
        <v>53.146076964410611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4.5509999999999993</v>
      </c>
      <c r="BD109" s="13">
        <f>IF('Données projet'!$A$88&gt;35,BD108+BC109-BL108,IF(A109&lt;'Données projet'!$A$88,$BA$205^A109,IF(A109='Données projet'!$A$88,'Données projet'!$B$88,BD108+BC109-BL108)))</f>
        <v>180.61099999999996</v>
      </c>
      <c r="BE109" s="14">
        <f>BD109*VLOOKUP('Données projet'!$B$11,Paramètres!$A$1:$I$89,3,0)*VLOOKUP('Données projet'!$B$11,Paramètres!$A$1:$I$89,5,0)</f>
        <v>163.41683279999995</v>
      </c>
      <c r="BF109" s="14">
        <f t="shared" si="91"/>
        <v>41.612241256856571</v>
      </c>
      <c r="BG109" s="22">
        <f t="shared" si="61"/>
        <v>357.09230398235849</v>
      </c>
      <c r="BH109" s="62">
        <f t="shared" si="62"/>
        <v>636.08411757048759</v>
      </c>
      <c r="BI109" s="62">
        <f ca="1">AVERAGE(OFFSET($BH$3,0,0,'Données projet'!$E$11+1,1))-AVERAGE(OFFSET($H$3,0,0,'Données projet'!$E$11+1,1))</f>
        <v>316.71836722354374</v>
      </c>
      <c r="BJ109" s="62">
        <f t="shared" si="92"/>
        <v>164.34067012996618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26.398738534866919</v>
      </c>
      <c r="BQ109" s="23">
        <f>EXP(-LN(2)/25)*BQ108+(1-EXP(-LN(2)/25))/(LN(2)/25)*Calculateur!BL109*Calculateur!BN109*VLOOKUP('Données projet'!$B$11,Paramètres!$A$1:$I$89,3,0)*0.475*44/12</f>
        <v>5.8748941827150922</v>
      </c>
      <c r="BR109" s="23">
        <f>EXP(-LN(2)/2)*BR108+(1-EXP(-LN(2)/2))/(LN(2)/2)*BL109*BO109*VLOOKUP('Données projet'!$B$11,Paramètres!$A$1:$I$89,3,0)*0.475*44/12</f>
        <v>9.903668735283015E-8</v>
      </c>
      <c r="BS109" s="24">
        <f t="shared" si="63"/>
        <v>32.273632816618701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2.9799999999999982</v>
      </c>
      <c r="BY109" s="13">
        <f>IF('Données projet'!$A$114&gt;35,BY108+BX109-CG108,IF(A109&lt;'Données projet'!$A$114,$BV$205^A109,IF(A109='Données projet'!$A$114,'Données projet'!$B$114,BY108+BX109-CG108)))</f>
        <v>152.94000000000011</v>
      </c>
      <c r="BZ109" s="14">
        <f>BY109*VLOOKUP('Données projet'!$B$12,Paramètres!$A$1:$I$89,3,0)*VLOOKUP('Données projet'!$B$12,Paramètres!$A$1:$I$89,5,0)</f>
        <v>174.16807200000014</v>
      </c>
      <c r="CA109" s="14">
        <f t="shared" si="93"/>
        <v>44.02221298528643</v>
      </c>
      <c r="CB109" s="22">
        <f t="shared" si="64"/>
        <v>380.01474634937404</v>
      </c>
      <c r="CC109" s="62">
        <f t="shared" si="65"/>
        <v>659.0065599375032</v>
      </c>
      <c r="CD109" s="62">
        <f ca="1">AVERAGE(OFFSET($CC$3,0,0,'Données projet'!$E$12+1,1))-AVERAGE(OFFSET($H$3,0,0,'Données projet'!$E$12+1,1))</f>
        <v>454.9779384236806</v>
      </c>
      <c r="CE109" s="62">
        <f t="shared" si="94"/>
        <v>379.32753348721906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31.833406123217813</v>
      </c>
      <c r="CL109" s="23">
        <f>EXP(-LN(2)/25)*CL108+(1-EXP(-LN(2)/25))/(LN(2)/25)*Calculateur!CG109*Calculateur!CI109*VLOOKUP('Données projet'!$B$12,Paramètres!$A$1:$I$89,3,0)*0.475*44/12</f>
        <v>21.122875516447159</v>
      </c>
      <c r="CM109" s="23">
        <f>EXP(-LN(2)/2)*CM108+(1-EXP(-LN(2)/2))/(LN(2)/2)*CG109*CJ109*VLOOKUP('Données projet'!$B$12,Paramètres!$A$1:$I$89,3,0)*0.475*44/12</f>
        <v>1.5520309230033854E-2</v>
      </c>
      <c r="CN109" s="24">
        <f t="shared" si="66"/>
        <v>52.971801948895006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252.10592533338991</v>
      </c>
      <c r="CZ109" s="62">
        <f t="shared" si="96"/>
        <v>272.71831345325313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41.468018994904689</v>
      </c>
      <c r="DH109" s="23">
        <f>EXP(-LN(2)/2)*DH108+(1-EXP(-LN(2)/2))/(LN(2)/2)*DB109*DE109*VLOOKUP('Données projet'!$B$13,Paramètres!$A$1:$I$89,3,0)*0.475*44/12</f>
        <v>2.015870533763622E-6</v>
      </c>
      <c r="DI109" s="24">
        <f t="shared" si="69"/>
        <v>41.468021010775225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projet'!$B$14,Paramètres!$A$1:$I$89,3,0)*VLOOKUP('Données projet'!$B$14,Paramètres!$A$1:$I$89,5,0)</f>
        <v>0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423.0896575168394</v>
      </c>
      <c r="DU109" s="62">
        <f t="shared" si="98"/>
        <v>305.98537395014284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91.07839708957161</v>
      </c>
      <c r="EB109" s="23">
        <f>EXP(-LN(2)/25)*EB108+(1-EXP(-LN(2)/25))/(LN(2)/25)*Calculateur!DW109*Calculateur!DY109*VLOOKUP('Données projet'!$B$14,Paramètres!$A$1:$I$89,3,0)*0.475*44/12</f>
        <v>86.994090609755489</v>
      </c>
      <c r="EC109" s="23">
        <f>EXP(-LN(2)/2)*EC108+(1-EXP(-LN(2)/2))/(LN(2)/2)*DW109*DZ109*VLOOKUP('Données projet'!$B$14,Paramètres!$A$1:$I$89,3,0)*0.475*44/12</f>
        <v>3.9521756200514245E-7</v>
      </c>
      <c r="ED109" s="24">
        <f t="shared" si="72"/>
        <v>178.07248809454467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2.2737367544323206E-13</v>
      </c>
      <c r="EK109" s="18">
        <f>EJ109*VLOOKUP('Données projet'!$B$15,Paramètres!$A$1:$I$89,3,0)*VLOOKUP('Données projet'!$B$15,Paramètres!$A$1:$I$89,5,0)</f>
        <v>1.3596945791505279E-13</v>
      </c>
      <c r="EL109" s="14">
        <f t="shared" si="99"/>
        <v>1.9708830566360721E-12</v>
      </c>
      <c r="EM109" s="22">
        <f t="shared" si="73"/>
        <v>3.669434796176543E-12</v>
      </c>
      <c r="EN109" s="62">
        <f t="shared" si="74"/>
        <v>278.9918135881328</v>
      </c>
      <c r="EO109" s="62">
        <f ca="1">AVERAGE(OFFSET($EN$3,0,0,'Données projet'!$E$15+1,1))-AVERAGE(OFFSET($H$3,0,0,'Données projet'!$E$15+1,1))</f>
        <v>281.21543175875604</v>
      </c>
      <c r="EP109" s="62">
        <f t="shared" si="100"/>
        <v>366.68536296857428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38.398280588241491</v>
      </c>
      <c r="EW109" s="23">
        <f>EXP(-LN(2)/25)*EW108+(1-EXP(-LN(2)/25))/(LN(2)/25)*Calculateur!ER109*Calculateur!ET109*VLOOKUP('Données projet'!$B$15,Paramètres!$A$1:$I$89,3,0)*0.475*44/12</f>
        <v>9.0300168770261955</v>
      </c>
      <c r="EX109" s="23">
        <f>EXP(-LN(2)/2)*EX108+(1-EXP(-LN(2)/2))/(LN(2)/2)*ER109*EU109*VLOOKUP('Données projet'!$B$15,Paramètres!$A$1:$I$89,3,0)*0.475*44/12</f>
        <v>6.2192041625651702E-7</v>
      </c>
      <c r="EY109" s="24">
        <f t="shared" si="75"/>
        <v>47.428298087188104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2.2737367544323206E-13</v>
      </c>
      <c r="FF109" s="18">
        <f>FE109*VLOOKUP('Données projet'!$B$16,Paramètres!$A$1:$I$89,3,0)*VLOOKUP('Données projet'!$B$16,Paramètres!$A$1:$I$89,5,0)</f>
        <v>1.2710188457276673E-13</v>
      </c>
      <c r="FG109" s="14">
        <f t="shared" si="101"/>
        <v>1.856866851063998E-12</v>
      </c>
      <c r="FH109" s="22">
        <f t="shared" si="76"/>
        <v>3.4554122145673649E-12</v>
      </c>
      <c r="FI109" s="62">
        <f t="shared" si="77"/>
        <v>278.99181358813257</v>
      </c>
      <c r="FJ109" s="62">
        <f ca="1">AVERAGE(OFFSET($FI$3,0,0,'Données projet'!$E$16+1,1))-AVERAGE(OFFSET($H$3,0,0,'Données projet'!$E$16+1,1))</f>
        <v>280.9225643428145</v>
      </c>
      <c r="FK109" s="62">
        <f t="shared" si="102"/>
        <v>236.89414218053955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120.11799858422729</v>
      </c>
      <c r="FR109" s="23">
        <f>EXP(-LN(2)/25)*FR108+(1-EXP(-LN(2)/25))/(LN(2)/25)*Calculateur!FM109*Calculateur!FO109*VLOOKUP('Données projet'!$B$16,Paramètres!$A$1:$I$89,3,0)*0.475*44/12</f>
        <v>28.900985345273714</v>
      </c>
      <c r="FS109" s="23">
        <f>EXP(-LN(2)/2)*FS108+(1-EXP(-LN(2)/2))/(LN(2)/2)*FM109*FP109*VLOOKUP('Données projet'!$B$16,Paramètres!$A$1:$I$89,3,0)*0.475*44/12</f>
        <v>1.6371183009295634E-8</v>
      </c>
      <c r="FT109" s="24">
        <f t="shared" si="78"/>
        <v>149.01898394587221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-5.6843418860808015E-13</v>
      </c>
      <c r="GA109" s="18">
        <f>FZ109*VLOOKUP('Données projet'!$B$17,Paramètres!$A$1:$I$89,3,0)*VLOOKUP('Données projet'!$B$17,Paramètres!$A$1:$I$89,5,0)</f>
        <v>-2.5124791136477147E-13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325.67421864225201</v>
      </c>
      <c r="GF109" s="62">
        <f t="shared" si="104"/>
        <v>542.01920418736745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77.73917487243628</v>
      </c>
      <c r="GM109" s="23">
        <f>EXP(-LN(2)/25)*GM108+(1-EXP(-LN(2)/25))/(LN(2)/25)*Calculateur!GH109*Calculateur!GJ109*VLOOKUP('Données projet'!$B$17,Paramètres!$A$1:$I$89,3,0)*0.475*44/12</f>
        <v>33.871659538739173</v>
      </c>
      <c r="GN109" s="23">
        <f>EXP(-LN(2)/2)*GN108+(1-EXP(-LN(2)/2))/(LN(2)/2)*GH109*GK109*VLOOKUP('Données projet'!$B$17,Paramètres!$A$1:$I$89,3,0)*0.475*44/12</f>
        <v>1.6674541751960399E-8</v>
      </c>
      <c r="GO109" s="23">
        <f t="shared" si="81"/>
        <v>111.61083442785001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2.8086666666666664</v>
      </c>
      <c r="GU109" s="13">
        <f>IF('Données projet'!$A$270&gt;35,GU108+GT109-HC108,IF(A109&lt;'Données projet'!$A$270,$GR$205^A109,IF(A109='Données projet'!$A$270,'Données projet'!$B$270,GU108+GT109-HC108)))</f>
        <v>113.02866666666652</v>
      </c>
      <c r="GV109" s="18">
        <f>GU109*VLOOKUP('Données projet'!$B$18,Paramètres!$A$1:$I$89,3,0)*VLOOKUP('Données projet'!$B$18,Paramètres!$A$1:$I$89,5,0)</f>
        <v>114.61106799999986</v>
      </c>
      <c r="GW109" s="14">
        <f t="shared" si="105"/>
        <v>30.414778139587526</v>
      </c>
      <c r="GX109" s="22">
        <f t="shared" si="82"/>
        <v>252.58668202644802</v>
      </c>
      <c r="GY109" s="62">
        <f t="shared" si="83"/>
        <v>531.57849561457715</v>
      </c>
      <c r="GZ109" s="62">
        <f ca="1">AVERAGE(OFFSET($GY$3,0,0,'Données projet'!$E$18+1,1))-AVERAGE(OFFSET($H$3,0,0,'Données projet'!$E$18+1,1))</f>
        <v>220.89224520315713</v>
      </c>
      <c r="HA109" s="62">
        <f t="shared" si="106"/>
        <v>141.82763623159096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-2.8421709430404007E-14</v>
      </c>
      <c r="O110" s="14">
        <f>N110*VLOOKUP('Données projet'!$B$9,Paramètres!$A$1:$I$89,3,0)*VLOOKUP('Données projet'!$B$9,Paramètres!$A$1:$I$89,5,0)</f>
        <v>-2.7489477361086758E-14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84.959354125980269</v>
      </c>
      <c r="T110" s="62">
        <f t="shared" si="88"/>
        <v>89.658970210276806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5.5809809607293799</v>
      </c>
      <c r="AB110" s="23">
        <f>EXP(-LN(2)/2)*AB109+(1-EXP(-LN(2)/2))/(LN(2)/2)*V110*Y110*VLOOKUP('Données projet'!$B$9,Paramètres!$A$1:$I$89,3,0)*0.475*44/12</f>
        <v>8.8236502970637684E-6</v>
      </c>
      <c r="AC110" s="24">
        <f t="shared" si="57"/>
        <v>5.5809897843796765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12.027399999999998</v>
      </c>
      <c r="AI110" s="14">
        <f>IF('Données projet'!$A$62&gt;35,AI109+AH110-AQ109,IF(A110&lt;'Données projet'!$A$62,$AF$205^A110,IF(A110='Données projet'!$A$62,'Données projet'!$B$62,AI109+AH110-AQ109)))</f>
        <v>478.66979999999995</v>
      </c>
      <c r="AJ110" s="14">
        <f>AI110*VLOOKUP('Données projet'!$B$10,Paramètres!$A$1:$I$89,3,0)*VLOOKUP('Données projet'!$B$10,Paramètres!$A$1:$I$89,5,0)</f>
        <v>455.50218167999998</v>
      </c>
      <c r="AK110" s="14">
        <f t="shared" si="89"/>
        <v>102.94238753212441</v>
      </c>
      <c r="AL110" s="22">
        <f t="shared" si="58"/>
        <v>972.62429137778327</v>
      </c>
      <c r="AM110" s="62">
        <f t="shared" si="59"/>
        <v>1251.8648982706568</v>
      </c>
      <c r="AN110" s="62">
        <f ca="1">AVERAGE(OFFSET($AM$3,0,0,'Données projet'!$E$10+1,1))-AVERAGE(OFFSET($H$3,0,0,'Données projet'!$E$10+1,1))</f>
        <v>592.76231355549089</v>
      </c>
      <c r="AO110" s="62">
        <f t="shared" si="90"/>
        <v>200.66895551079014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33.910270823692592</v>
      </c>
      <c r="AV110" s="23">
        <f>EXP(-LN(2)/25)*AV109+(1-EXP(-LN(2)/25))/(LN(2)/25)*Calculateur!AQ110*Calculateur!AS110*VLOOKUP('Données projet'!$B$10,Paramètres!$A$1:$I$89,3,0)*0.475*44/12</f>
        <v>18.050087581980002</v>
      </c>
      <c r="AW110" s="23">
        <f>EXP(-LN(2)/2)*AW109+(1-EXP(-LN(2)/2))/(LN(2)/2)*AQ110*AT110*VLOOKUP('Données projet'!$B$10,Paramètres!$A$1:$I$89,3,0)*0.475*44/12</f>
        <v>1.0839585138154347E-6</v>
      </c>
      <c r="AX110" s="23">
        <f t="shared" si="60"/>
        <v>51.960359489631109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4.5509999999999993</v>
      </c>
      <c r="BD110" s="13">
        <f>IF('Données projet'!$A$88&gt;35,BD109+BC110-BL109,IF(A110&lt;'Données projet'!$A$88,$BA$205^A110,IF(A110='Données projet'!$A$88,'Données projet'!$B$88,BD109+BC110-BL109)))</f>
        <v>185.16199999999995</v>
      </c>
      <c r="BE110" s="14">
        <f>BD110*VLOOKUP('Données projet'!$B$11,Paramètres!$A$1:$I$89,3,0)*VLOOKUP('Données projet'!$B$11,Paramètres!$A$1:$I$89,5,0)</f>
        <v>167.53457759999995</v>
      </c>
      <c r="BF110" s="14">
        <f t="shared" si="91"/>
        <v>42.537382388547009</v>
      </c>
      <c r="BG110" s="22">
        <f t="shared" si="61"/>
        <v>365.87533031338586</v>
      </c>
      <c r="BH110" s="62">
        <f t="shared" si="62"/>
        <v>645.11593720625956</v>
      </c>
      <c r="BI110" s="62">
        <f ca="1">AVERAGE(OFFSET($BH$3,0,0,'Données projet'!$E$11+1,1))-AVERAGE(OFFSET($H$3,0,0,'Données projet'!$E$11+1,1))</f>
        <v>316.71836722354374</v>
      </c>
      <c r="BJ110" s="62">
        <f t="shared" si="92"/>
        <v>164.34067012996618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25.88107537383878</v>
      </c>
      <c r="BQ110" s="23">
        <f>EXP(-LN(2)/25)*BQ109+(1-EXP(-LN(2)/25))/(LN(2)/25)*Calculateur!BL110*Calculateur!BN110*VLOOKUP('Données projet'!$B$11,Paramètres!$A$1:$I$89,3,0)*0.475*44/12</f>
        <v>5.7142448923414904</v>
      </c>
      <c r="BR110" s="23">
        <f>EXP(-LN(2)/2)*BR109+(1-EXP(-LN(2)/2))/(LN(2)/2)*BL110*BO110*VLOOKUP('Données projet'!$B$11,Paramètres!$A$1:$I$89,3,0)*0.475*44/12</f>
        <v>7.0029513213438187E-8</v>
      </c>
      <c r="BS110" s="24">
        <f t="shared" si="63"/>
        <v>31.595320336209785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2.9799999999999982</v>
      </c>
      <c r="BY110" s="13">
        <f>IF('Données projet'!$A$114&gt;35,BY109+BX110-CG109,IF(A110&lt;'Données projet'!$A$114,$BV$205^A110,IF(A110='Données projet'!$A$114,'Données projet'!$B$114,BY109+BX110-CG109)))</f>
        <v>155.9200000000001</v>
      </c>
      <c r="BZ110" s="14">
        <f>BY110*VLOOKUP('Données projet'!$B$12,Paramètres!$A$1:$I$89,3,0)*VLOOKUP('Données projet'!$B$12,Paramètres!$A$1:$I$89,5,0)</f>
        <v>177.56169600000013</v>
      </c>
      <c r="CA110" s="14">
        <f t="shared" si="93"/>
        <v>44.779278596865232</v>
      </c>
      <c r="CB110" s="22">
        <f t="shared" si="64"/>
        <v>387.24386408954047</v>
      </c>
      <c r="CC110" s="62">
        <f t="shared" si="65"/>
        <v>666.48447098241411</v>
      </c>
      <c r="CD110" s="62">
        <f ca="1">AVERAGE(OFFSET($CC$3,0,0,'Données projet'!$E$12+1,1))-AVERAGE(OFFSET($H$3,0,0,'Données projet'!$E$12+1,1))</f>
        <v>454.9779384236806</v>
      </c>
      <c r="CE110" s="62">
        <f t="shared" si="94"/>
        <v>379.32753348721906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31.209172445602032</v>
      </c>
      <c r="CL110" s="23">
        <f>EXP(-LN(2)/25)*CL109+(1-EXP(-LN(2)/25))/(LN(2)/25)*Calculateur!CG110*Calculateur!CI110*VLOOKUP('Données projet'!$B$12,Paramètres!$A$1:$I$89,3,0)*0.475*44/12</f>
        <v>20.545269374646164</v>
      </c>
      <c r="CM110" s="23">
        <f>EXP(-LN(2)/2)*CM109+(1-EXP(-LN(2)/2))/(LN(2)/2)*CG110*CJ110*VLOOKUP('Données projet'!$B$12,Paramètres!$A$1:$I$89,3,0)*0.475*44/12</f>
        <v>1.0974515902669103E-2</v>
      </c>
      <c r="CN110" s="24">
        <f t="shared" si="66"/>
        <v>51.765416336150864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252.10592533338991</v>
      </c>
      <c r="CZ110" s="62">
        <f t="shared" si="96"/>
        <v>272.71831345325313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40.334073834780675</v>
      </c>
      <c r="DH110" s="23">
        <f>EXP(-LN(2)/2)*DH109+(1-EXP(-LN(2)/2))/(LN(2)/2)*DB110*DE110*VLOOKUP('Données projet'!$B$13,Paramètres!$A$1:$I$89,3,0)*0.475*44/12</f>
        <v>1.4254357244184022E-6</v>
      </c>
      <c r="DI110" s="24">
        <f t="shared" si="69"/>
        <v>40.334075260216402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projet'!$B$14,Paramètres!$A$1:$I$89,3,0)*VLOOKUP('Données projet'!$B$14,Paramètres!$A$1:$I$89,5,0)</f>
        <v>0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423.0896575168394</v>
      </c>
      <c r="DU110" s="62">
        <f t="shared" si="98"/>
        <v>305.98537395014284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89.292405274982002</v>
      </c>
      <c r="EB110" s="23">
        <f>EXP(-LN(2)/25)*EB109+(1-EXP(-LN(2)/25))/(LN(2)/25)*Calculateur!DW110*Calculateur!DY110*VLOOKUP('Données projet'!$B$14,Paramètres!$A$1:$I$89,3,0)*0.475*44/12</f>
        <v>84.615232627211327</v>
      </c>
      <c r="EC110" s="23">
        <f>EXP(-LN(2)/2)*EC109+(1-EXP(-LN(2)/2))/(LN(2)/2)*DW110*DZ110*VLOOKUP('Données projet'!$B$14,Paramètres!$A$1:$I$89,3,0)*0.475*44/12</f>
        <v>2.7946101813785104E-7</v>
      </c>
      <c r="ED110" s="24">
        <f t="shared" si="72"/>
        <v>173.90763818165433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2.2737367544323206E-13</v>
      </c>
      <c r="EK110" s="18">
        <f>EJ110*VLOOKUP('Données projet'!$B$15,Paramètres!$A$1:$I$89,3,0)*VLOOKUP('Données projet'!$B$15,Paramètres!$A$1:$I$89,5,0)</f>
        <v>1.3596945791505279E-13</v>
      </c>
      <c r="EL110" s="14">
        <f t="shared" si="99"/>
        <v>1.9708830566360721E-12</v>
      </c>
      <c r="EM110" s="22">
        <f t="shared" si="73"/>
        <v>3.669434796176543E-12</v>
      </c>
      <c r="EN110" s="62">
        <f t="shared" si="74"/>
        <v>279.24060689287734</v>
      </c>
      <c r="EO110" s="62">
        <f ca="1">AVERAGE(OFFSET($EN$3,0,0,'Données projet'!$E$15+1,1))-AVERAGE(OFFSET($H$3,0,0,'Données projet'!$E$15+1,1))</f>
        <v>281.21543175875604</v>
      </c>
      <c r="EP110" s="62">
        <f t="shared" si="100"/>
        <v>366.68536296857428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37.645313726544636</v>
      </c>
      <c r="EW110" s="23">
        <f>EXP(-LN(2)/25)*EW109+(1-EXP(-LN(2)/25))/(LN(2)/25)*Calculateur!ER110*Calculateur!ET110*VLOOKUP('Données projet'!$B$15,Paramètres!$A$1:$I$89,3,0)*0.475*44/12</f>
        <v>8.7830905906559646</v>
      </c>
      <c r="EX110" s="23">
        <f>EXP(-LN(2)/2)*EX109+(1-EXP(-LN(2)/2))/(LN(2)/2)*ER110*EU110*VLOOKUP('Données projet'!$B$15,Paramètres!$A$1:$I$89,3,0)*0.475*44/12</f>
        <v>4.3976414369334354E-7</v>
      </c>
      <c r="EY110" s="24">
        <f t="shared" si="75"/>
        <v>46.428404756964746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2.2737367544323206E-13</v>
      </c>
      <c r="FF110" s="18">
        <f>FE110*VLOOKUP('Données projet'!$B$16,Paramètres!$A$1:$I$89,3,0)*VLOOKUP('Données projet'!$B$16,Paramètres!$A$1:$I$89,5,0)</f>
        <v>1.2710188457276673E-13</v>
      </c>
      <c r="FG110" s="14">
        <f t="shared" si="101"/>
        <v>1.856866851063998E-12</v>
      </c>
      <c r="FH110" s="22">
        <f t="shared" si="76"/>
        <v>3.4554122145673649E-12</v>
      </c>
      <c r="FI110" s="62">
        <f t="shared" si="77"/>
        <v>279.24060689287711</v>
      </c>
      <c r="FJ110" s="62">
        <f ca="1">AVERAGE(OFFSET($FI$3,0,0,'Données projet'!$E$16+1,1))-AVERAGE(OFFSET($H$3,0,0,'Données projet'!$E$16+1,1))</f>
        <v>280.9225643428145</v>
      </c>
      <c r="FK110" s="62">
        <f t="shared" si="102"/>
        <v>236.89414218053955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117.76255789673544</v>
      </c>
      <c r="FR110" s="23">
        <f>EXP(-LN(2)/25)*FR109+(1-EXP(-LN(2)/25))/(LN(2)/25)*Calculateur!FM110*Calculateur!FO110*VLOOKUP('Données projet'!$B$16,Paramètres!$A$1:$I$89,3,0)*0.475*44/12</f>
        <v>28.110686381170439</v>
      </c>
      <c r="FS110" s="23">
        <f>EXP(-LN(2)/2)*FS109+(1-EXP(-LN(2)/2))/(LN(2)/2)*FM110*FP110*VLOOKUP('Données projet'!$B$16,Paramètres!$A$1:$I$89,3,0)*0.475*44/12</f>
        <v>1.1576174521918933E-8</v>
      </c>
      <c r="FT110" s="24">
        <f t="shared" si="78"/>
        <v>145.87324428948205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-5.6843418860808015E-13</v>
      </c>
      <c r="GA110" s="18">
        <f>FZ110*VLOOKUP('Données projet'!$B$17,Paramètres!$A$1:$I$89,3,0)*VLOOKUP('Données projet'!$B$17,Paramètres!$A$1:$I$89,5,0)</f>
        <v>-2.5124791136477147E-13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325.67421864225201</v>
      </c>
      <c r="GF110" s="62">
        <f t="shared" si="104"/>
        <v>542.01920418736745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76.214757069402509</v>
      </c>
      <c r="GM110" s="23">
        <f>EXP(-LN(2)/25)*GM109+(1-EXP(-LN(2)/25))/(LN(2)/25)*Calculateur!GH110*Calculateur!GJ110*VLOOKUP('Données projet'!$B$17,Paramètres!$A$1:$I$89,3,0)*0.475*44/12</f>
        <v>32.945437227419191</v>
      </c>
      <c r="GN110" s="23">
        <f>EXP(-LN(2)/2)*GN109+(1-EXP(-LN(2)/2))/(LN(2)/2)*GH110*GK110*VLOOKUP('Données projet'!$B$17,Paramètres!$A$1:$I$89,3,0)*0.475*44/12</f>
        <v>1.1790681545989413E-8</v>
      </c>
      <c r="GO110" s="23">
        <f t="shared" si="81"/>
        <v>109.16019430861238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2.8086666666666664</v>
      </c>
      <c r="GU110" s="13">
        <f>IF('Données projet'!$A$270&gt;35,GU109+GT110-HC109,IF(A110&lt;'Données projet'!$A$270,$GR$205^A110,IF(A110='Données projet'!$A$270,'Données projet'!$B$270,GU109+GT110-HC109)))</f>
        <v>115.83733333333319</v>
      </c>
      <c r="GV110" s="18">
        <f>GU110*VLOOKUP('Données projet'!$B$18,Paramètres!$A$1:$I$89,3,0)*VLOOKUP('Données projet'!$B$18,Paramètres!$A$1:$I$89,5,0)</f>
        <v>117.45905599999986</v>
      </c>
      <c r="GW110" s="14">
        <f t="shared" si="105"/>
        <v>31.081629676462107</v>
      </c>
      <c r="GX110" s="22">
        <f t="shared" si="82"/>
        <v>258.70836088650458</v>
      </c>
      <c r="GY110" s="62">
        <f t="shared" si="83"/>
        <v>537.94896777937822</v>
      </c>
      <c r="GZ110" s="62">
        <f ca="1">AVERAGE(OFFSET($GY$3,0,0,'Données projet'!$E$18+1,1))-AVERAGE(OFFSET($H$3,0,0,'Données projet'!$E$18+1,1))</f>
        <v>220.89224520315713</v>
      </c>
      <c r="HA110" s="62">
        <f t="shared" si="106"/>
        <v>141.82763623159096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-2.8421709430404007E-14</v>
      </c>
      <c r="O111" s="14">
        <f>N111*VLOOKUP('Données projet'!$B$9,Paramètres!$A$1:$I$89,3,0)*VLOOKUP('Données projet'!$B$9,Paramètres!$A$1:$I$89,5,0)</f>
        <v>-2.7489477361086758E-14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84.959354125980269</v>
      </c>
      <c r="T111" s="62">
        <f t="shared" si="88"/>
        <v>89.658970210276806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5.4283687428672014</v>
      </c>
      <c r="AB111" s="23">
        <f>EXP(-LN(2)/2)*AB110+(1-EXP(-LN(2)/2))/(LN(2)/2)*V111*Y111*VLOOKUP('Données projet'!$B$9,Paramètres!$A$1:$I$89,3,0)*0.475*44/12</f>
        <v>6.2392629598724851E-6</v>
      </c>
      <c r="AC111" s="24">
        <f t="shared" si="57"/>
        <v>5.428374982130161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12.027399999999998</v>
      </c>
      <c r="AI111" s="14">
        <f>IF('Données projet'!$A$62&gt;35,AI110+AH111-AQ110,IF(A111&lt;'Données projet'!$A$62,$AF$205^A111,IF(A111='Données projet'!$A$62,'Données projet'!$B$62,AI110+AH111-AQ110)))</f>
        <v>490.69719999999995</v>
      </c>
      <c r="AJ111" s="14">
        <f>AI111*VLOOKUP('Données projet'!$B$10,Paramètres!$A$1:$I$89,3,0)*VLOOKUP('Données projet'!$B$10,Paramètres!$A$1:$I$89,5,0)</f>
        <v>466.94745552000001</v>
      </c>
      <c r="AK111" s="14">
        <f t="shared" si="89"/>
        <v>105.22459947437083</v>
      </c>
      <c r="AL111" s="22">
        <f t="shared" si="58"/>
        <v>996.5329957818625</v>
      </c>
      <c r="AM111" s="62">
        <f t="shared" si="59"/>
        <v>1276.0180799718619</v>
      </c>
      <c r="AN111" s="62">
        <f ca="1">AVERAGE(OFFSET($AM$3,0,0,'Données projet'!$E$10+1,1))-AVERAGE(OFFSET($H$3,0,0,'Données projet'!$E$10+1,1))</f>
        <v>592.76231355549089</v>
      </c>
      <c r="AO111" s="62">
        <f t="shared" si="90"/>
        <v>200.66895551079014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33.245311096062885</v>
      </c>
      <c r="AV111" s="23">
        <f>EXP(-LN(2)/25)*AV110+(1-EXP(-LN(2)/25))/(LN(2)/25)*Calculateur!AQ111*Calculateur!AS111*VLOOKUP('Données projet'!$B$10,Paramètres!$A$1:$I$89,3,0)*0.475*44/12</f>
        <v>17.556506987837906</v>
      </c>
      <c r="AW111" s="23">
        <f>EXP(-LN(2)/2)*AW110+(1-EXP(-LN(2)/2))/(LN(2)/2)*AQ111*AT111*VLOOKUP('Données projet'!$B$10,Paramètres!$A$1:$I$89,3,0)*0.475*44/12</f>
        <v>7.6647441564378584E-7</v>
      </c>
      <c r="AX111" s="23">
        <f t="shared" si="60"/>
        <v>50.801818850375206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4.5509999999999993</v>
      </c>
      <c r="BD111" s="13">
        <f>IF('Données projet'!$A$88&gt;35,BD110+BC111-BL110,IF(A111&lt;'Données projet'!$A$88,$BA$205^A111,IF(A111='Données projet'!$A$88,'Données projet'!$B$88,BD110+BC111-BL110)))</f>
        <v>189.71299999999994</v>
      </c>
      <c r="BE111" s="14">
        <f>BD111*VLOOKUP('Données projet'!$B$11,Paramètres!$A$1:$I$89,3,0)*VLOOKUP('Données projet'!$B$11,Paramètres!$A$1:$I$89,5,0)</f>
        <v>171.65232239999995</v>
      </c>
      <c r="BF111" s="14">
        <f t="shared" si="91"/>
        <v>43.459880253072697</v>
      </c>
      <c r="BG111" s="22">
        <f t="shared" si="61"/>
        <v>374.65375295410149</v>
      </c>
      <c r="BH111" s="62">
        <f t="shared" si="62"/>
        <v>654.13883714410076</v>
      </c>
      <c r="BI111" s="62">
        <f ca="1">AVERAGE(OFFSET($BH$3,0,0,'Données projet'!$E$11+1,1))-AVERAGE(OFFSET($H$3,0,0,'Données projet'!$E$11+1,1))</f>
        <v>316.71836722354374</v>
      </c>
      <c r="BJ111" s="62">
        <f t="shared" si="92"/>
        <v>164.34067012996618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25.373563271655051</v>
      </c>
      <c r="BQ111" s="23">
        <f>EXP(-LN(2)/25)*BQ110+(1-EXP(-LN(2)/25))/(LN(2)/25)*Calculateur!BL111*Calculateur!BN111*VLOOKUP('Données projet'!$B$11,Paramètres!$A$1:$I$89,3,0)*0.475*44/12</f>
        <v>5.5579885652613337</v>
      </c>
      <c r="BR111" s="23">
        <f>EXP(-LN(2)/2)*BR110+(1-EXP(-LN(2)/2))/(LN(2)/2)*BL111*BO111*VLOOKUP('Données projet'!$B$11,Paramètres!$A$1:$I$89,3,0)*0.475*44/12</f>
        <v>4.9518343676415075E-8</v>
      </c>
      <c r="BS111" s="24">
        <f t="shared" si="63"/>
        <v>30.931551886434729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2.9799999999999982</v>
      </c>
      <c r="BY111" s="13">
        <f>IF('Données projet'!$A$114&gt;35,BY110+BX111-CG110,IF(A111&lt;'Données projet'!$A$114,$BV$205^A111,IF(A111='Données projet'!$A$114,'Données projet'!$B$114,BY110+BX111-CG110)))</f>
        <v>158.90000000000009</v>
      </c>
      <c r="BZ111" s="14">
        <f>BY111*VLOOKUP('Données projet'!$B$12,Paramètres!$A$1:$I$89,3,0)*VLOOKUP('Données projet'!$B$12,Paramètres!$A$1:$I$89,5,0)</f>
        <v>180.95532000000009</v>
      </c>
      <c r="CA111" s="14">
        <f t="shared" si="93"/>
        <v>45.534661743997795</v>
      </c>
      <c r="CB111" s="22">
        <f t="shared" si="64"/>
        <v>394.47005153746295</v>
      </c>
      <c r="CC111" s="62">
        <f t="shared" si="65"/>
        <v>673.95513572746222</v>
      </c>
      <c r="CD111" s="62">
        <f ca="1">AVERAGE(OFFSET($CC$3,0,0,'Données projet'!$E$12+1,1))-AVERAGE(OFFSET($H$3,0,0,'Données projet'!$E$12+1,1))</f>
        <v>454.9779384236806</v>
      </c>
      <c r="CE111" s="62">
        <f t="shared" si="94"/>
        <v>379.32753348721906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30.597179609659346</v>
      </c>
      <c r="CL111" s="23">
        <f>EXP(-LN(2)/25)*CL110+(1-EXP(-LN(2)/25))/(LN(2)/25)*Calculateur!CG111*Calculateur!CI111*VLOOKUP('Données projet'!$B$12,Paramètres!$A$1:$I$89,3,0)*0.475*44/12</f>
        <v>19.983457903167704</v>
      </c>
      <c r="CM111" s="23">
        <f>EXP(-LN(2)/2)*CM110+(1-EXP(-LN(2)/2))/(LN(2)/2)*CG111*CJ111*VLOOKUP('Données projet'!$B$12,Paramètres!$A$1:$I$89,3,0)*0.475*44/12</f>
        <v>7.760154615016928E-3</v>
      </c>
      <c r="CN111" s="24">
        <f t="shared" si="66"/>
        <v>50.588397667442067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252.10592533338991</v>
      </c>
      <c r="CZ111" s="62">
        <f t="shared" si="96"/>
        <v>272.71831345325313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39.231136464691836</v>
      </c>
      <c r="DH111" s="23">
        <f>EXP(-LN(2)/2)*DH110+(1-EXP(-LN(2)/2))/(LN(2)/2)*DB111*DE111*VLOOKUP('Données projet'!$B$13,Paramètres!$A$1:$I$89,3,0)*0.475*44/12</f>
        <v>1.007935266881811E-6</v>
      </c>
      <c r="DI111" s="24">
        <f t="shared" si="69"/>
        <v>39.231137472627104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projet'!$B$14,Paramètres!$A$1:$I$89,3,0)*VLOOKUP('Données projet'!$B$14,Paramètres!$A$1:$I$89,5,0)</f>
        <v>0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423.0896575168394</v>
      </c>
      <c r="DU111" s="62">
        <f t="shared" si="98"/>
        <v>305.98537395014284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87.541435670529054</v>
      </c>
      <c r="EB111" s="23">
        <f>EXP(-LN(2)/25)*EB110+(1-EXP(-LN(2)/25))/(LN(2)/25)*Calculateur!DW111*Calculateur!DY111*VLOOKUP('Données projet'!$B$14,Paramètres!$A$1:$I$89,3,0)*0.475*44/12</f>
        <v>82.301424641298539</v>
      </c>
      <c r="EC111" s="23">
        <f>EXP(-LN(2)/2)*EC110+(1-EXP(-LN(2)/2))/(LN(2)/2)*DW111*DZ111*VLOOKUP('Données projet'!$B$14,Paramètres!$A$1:$I$89,3,0)*0.475*44/12</f>
        <v>1.9760878100257123E-7</v>
      </c>
      <c r="ED111" s="24">
        <f t="shared" si="72"/>
        <v>169.84286050943638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2.2737367544323206E-13</v>
      </c>
      <c r="EK111" s="18">
        <f>EJ111*VLOOKUP('Données projet'!$B$15,Paramètres!$A$1:$I$89,3,0)*VLOOKUP('Données projet'!$B$15,Paramètres!$A$1:$I$89,5,0)</f>
        <v>1.3596945791505279E-13</v>
      </c>
      <c r="EL111" s="14">
        <f t="shared" si="99"/>
        <v>1.9708830566360721E-12</v>
      </c>
      <c r="EM111" s="22">
        <f t="shared" si="73"/>
        <v>3.669434796176543E-12</v>
      </c>
      <c r="EN111" s="62">
        <f t="shared" si="74"/>
        <v>279.48508419000302</v>
      </c>
      <c r="EO111" s="62">
        <f ca="1">AVERAGE(OFFSET($EN$3,0,0,'Données projet'!$E$15+1,1))-AVERAGE(OFFSET($H$3,0,0,'Données projet'!$E$15+1,1))</f>
        <v>281.21543175875604</v>
      </c>
      <c r="EP111" s="62">
        <f t="shared" si="100"/>
        <v>366.68536296857428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36.907112085741218</v>
      </c>
      <c r="EW111" s="23">
        <f>EXP(-LN(2)/25)*EW110+(1-EXP(-LN(2)/25))/(LN(2)/25)*Calculateur!ER111*Calculateur!ET111*VLOOKUP('Données projet'!$B$15,Paramètres!$A$1:$I$89,3,0)*0.475*44/12</f>
        <v>8.5429165165718164</v>
      </c>
      <c r="EX111" s="23">
        <f>EXP(-LN(2)/2)*EX110+(1-EXP(-LN(2)/2))/(LN(2)/2)*ER111*EU111*VLOOKUP('Données projet'!$B$15,Paramètres!$A$1:$I$89,3,0)*0.475*44/12</f>
        <v>3.1096020812825851E-7</v>
      </c>
      <c r="EY111" s="24">
        <f t="shared" si="75"/>
        <v>45.450028913273243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2.2737367544323206E-13</v>
      </c>
      <c r="FF111" s="18">
        <f>FE111*VLOOKUP('Données projet'!$B$16,Paramètres!$A$1:$I$89,3,0)*VLOOKUP('Données projet'!$B$16,Paramètres!$A$1:$I$89,5,0)</f>
        <v>1.2710188457276673E-13</v>
      </c>
      <c r="FG111" s="14">
        <f t="shared" si="101"/>
        <v>1.856866851063998E-12</v>
      </c>
      <c r="FH111" s="22">
        <f t="shared" si="76"/>
        <v>3.4554122145673649E-12</v>
      </c>
      <c r="FI111" s="62">
        <f t="shared" si="77"/>
        <v>279.48508419000279</v>
      </c>
      <c r="FJ111" s="62">
        <f ca="1">AVERAGE(OFFSET($FI$3,0,0,'Données projet'!$E$16+1,1))-AVERAGE(OFFSET($H$3,0,0,'Données projet'!$E$16+1,1))</f>
        <v>280.9225643428145</v>
      </c>
      <c r="FK111" s="62">
        <f t="shared" si="102"/>
        <v>236.89414218053955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115.45330596444835</v>
      </c>
      <c r="FR111" s="23">
        <f>EXP(-LN(2)/25)*FR110+(1-EXP(-LN(2)/25))/(LN(2)/25)*Calculateur!FM111*Calculateur!FO111*VLOOKUP('Données projet'!$B$16,Paramètres!$A$1:$I$89,3,0)*0.475*44/12</f>
        <v>27.341998183800584</v>
      </c>
      <c r="FS111" s="23">
        <f>EXP(-LN(2)/2)*FS110+(1-EXP(-LN(2)/2))/(LN(2)/2)*FM111*FP111*VLOOKUP('Données projet'!$B$16,Paramètres!$A$1:$I$89,3,0)*0.475*44/12</f>
        <v>8.1855915046478171E-9</v>
      </c>
      <c r="FT111" s="24">
        <f t="shared" si="78"/>
        <v>142.79530415643453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-5.6843418860808015E-13</v>
      </c>
      <c r="GA111" s="18">
        <f>FZ111*VLOOKUP('Données projet'!$B$17,Paramètres!$A$1:$I$89,3,0)*VLOOKUP('Données projet'!$B$17,Paramètres!$A$1:$I$89,5,0)</f>
        <v>-2.5124791136477147E-13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325.67421864225201</v>
      </c>
      <c r="GF111" s="62">
        <f t="shared" si="104"/>
        <v>542.01920418736745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74.720232169683186</v>
      </c>
      <c r="GM111" s="23">
        <f>EXP(-LN(2)/25)*GM110+(1-EXP(-LN(2)/25))/(LN(2)/25)*Calculateur!GH111*Calculateur!GJ111*VLOOKUP('Données projet'!$B$17,Paramètres!$A$1:$I$89,3,0)*0.475*44/12</f>
        <v>32.044542513910166</v>
      </c>
      <c r="GN111" s="23">
        <f>EXP(-LN(2)/2)*GN110+(1-EXP(-LN(2)/2))/(LN(2)/2)*GH111*GK111*VLOOKUP('Données projet'!$B$17,Paramètres!$A$1:$I$89,3,0)*0.475*44/12</f>
        <v>8.3372708759801995E-9</v>
      </c>
      <c r="GO111" s="23">
        <f t="shared" si="81"/>
        <v>106.76477469193061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2.8086666666666664</v>
      </c>
      <c r="GU111" s="13">
        <f>IF('Données projet'!$A$270&gt;35,GU110+GT111-HC110,IF(A111&lt;'Données projet'!$A$270,$GR$205^A111,IF(A111='Données projet'!$A$270,'Données projet'!$B$270,GU110+GT111-HC110)))</f>
        <v>118.64599999999986</v>
      </c>
      <c r="GV111" s="18">
        <f>GU111*VLOOKUP('Données projet'!$B$18,Paramètres!$A$1:$I$89,3,0)*VLOOKUP('Données projet'!$B$18,Paramètres!$A$1:$I$89,5,0)</f>
        <v>120.30704399999988</v>
      </c>
      <c r="GW111" s="14">
        <f t="shared" si="105"/>
        <v>31.746601610687232</v>
      </c>
      <c r="GX111" s="22">
        <f t="shared" si="82"/>
        <v>264.82676610528</v>
      </c>
      <c r="GY111" s="62">
        <f t="shared" si="83"/>
        <v>544.31185029527933</v>
      </c>
      <c r="GZ111" s="62">
        <f ca="1">AVERAGE(OFFSET($GY$3,0,0,'Données projet'!$E$18+1,1))-AVERAGE(OFFSET($H$3,0,0,'Données projet'!$E$18+1,1))</f>
        <v>220.89224520315713</v>
      </c>
      <c r="HA111" s="62">
        <f t="shared" si="106"/>
        <v>141.82763623159096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-2.8421709430404007E-14</v>
      </c>
      <c r="O112" s="14">
        <f>N112*VLOOKUP('Données projet'!$B$9,Paramètres!$A$1:$I$89,3,0)*VLOOKUP('Données projet'!$B$9,Paramètres!$A$1:$I$89,5,0)</f>
        <v>-2.7489477361086758E-14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84.959354125980269</v>
      </c>
      <c r="T112" s="62">
        <f t="shared" si="88"/>
        <v>89.658970210276806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5.2799297141279924</v>
      </c>
      <c r="AB112" s="23">
        <f>EXP(-LN(2)/2)*AB111+(1-EXP(-LN(2)/2))/(LN(2)/2)*V112*Y112*VLOOKUP('Données projet'!$B$9,Paramètres!$A$1:$I$89,3,0)*0.475*44/12</f>
        <v>4.4118251485318842E-6</v>
      </c>
      <c r="AC112" s="24">
        <f t="shared" si="57"/>
        <v>5.2799341259531412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12.027399999999998</v>
      </c>
      <c r="AI112" s="14">
        <f>IF('Données projet'!$A$62&gt;35,AI111+AH112-AQ111,IF(A112&lt;'Données projet'!$A$62,$AF$205^A112,IF(A112='Données projet'!$A$62,'Données projet'!$B$62,AI111+AH112-AQ111)))</f>
        <v>502.72459999999995</v>
      </c>
      <c r="AJ112" s="14">
        <f>AI112*VLOOKUP('Données projet'!$B$10,Paramètres!$A$1:$I$89,3,0)*VLOOKUP('Données projet'!$B$10,Paramètres!$A$1:$I$89,5,0)</f>
        <v>478.39272935999998</v>
      </c>
      <c r="AK112" s="14">
        <f t="shared" si="89"/>
        <v>107.50030871686309</v>
      </c>
      <c r="AL112" s="22">
        <f t="shared" si="58"/>
        <v>1020.4303746505365</v>
      </c>
      <c r="AM112" s="62">
        <f t="shared" si="59"/>
        <v>1300.1556950031259</v>
      </c>
      <c r="AN112" s="62">
        <f ca="1">AVERAGE(OFFSET($AM$3,0,0,'Données projet'!$E$10+1,1))-AVERAGE(OFFSET($H$3,0,0,'Données projet'!$E$10+1,1))</f>
        <v>592.76231355549089</v>
      </c>
      <c r="AO112" s="62">
        <f t="shared" si="90"/>
        <v>200.66895551079014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32.59339082310661</v>
      </c>
      <c r="AV112" s="23">
        <f>EXP(-LN(2)/25)*AV111+(1-EXP(-LN(2)/25))/(LN(2)/25)*Calculateur!AQ112*Calculateur!AS112*VLOOKUP('Données projet'!$B$10,Paramètres!$A$1:$I$89,3,0)*0.475*44/12</f>
        <v>17.076423380998904</v>
      </c>
      <c r="AW112" s="23">
        <f>EXP(-LN(2)/2)*AW111+(1-EXP(-LN(2)/2))/(LN(2)/2)*AQ112*AT112*VLOOKUP('Données projet'!$B$10,Paramètres!$A$1:$I$89,3,0)*0.475*44/12</f>
        <v>5.4197925690771734E-7</v>
      </c>
      <c r="AX112" s="23">
        <f t="shared" si="60"/>
        <v>49.669814746084768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4.5509999999999993</v>
      </c>
      <c r="BD112" s="13">
        <f>IF('Données projet'!$A$88&gt;35,BD111+BC112-BL111,IF(A112&lt;'Données projet'!$A$88,$BA$205^A112,IF(A112='Données projet'!$A$88,'Données projet'!$B$88,BD111+BC112-BL111)))</f>
        <v>194.26399999999992</v>
      </c>
      <c r="BE112" s="14">
        <f>BD112*VLOOKUP('Données projet'!$B$11,Paramètres!$A$1:$I$89,3,0)*VLOOKUP('Données projet'!$B$11,Paramètres!$A$1:$I$89,5,0)</f>
        <v>175.77006719999994</v>
      </c>
      <c r="BF112" s="14">
        <f t="shared" si="91"/>
        <v>44.379805555195937</v>
      </c>
      <c r="BG112" s="22">
        <f t="shared" si="61"/>
        <v>383.42769504863281</v>
      </c>
      <c r="BH112" s="62">
        <f t="shared" si="62"/>
        <v>663.15301540122209</v>
      </c>
      <c r="BI112" s="62">
        <f ca="1">AVERAGE(OFFSET($BH$3,0,0,'Données projet'!$E$11+1,1))-AVERAGE(OFFSET($H$3,0,0,'Données projet'!$E$11+1,1))</f>
        <v>316.71836722354374</v>
      </c>
      <c r="BJ112" s="62">
        <f t="shared" si="92"/>
        <v>164.34067012996618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24.87600317224333</v>
      </c>
      <c r="BQ112" s="23">
        <f>EXP(-LN(2)/25)*BQ111+(1-EXP(-LN(2)/25))/(LN(2)/25)*Calculateur!BL112*Calculateur!BN112*VLOOKUP('Données projet'!$B$11,Paramètres!$A$1:$I$89,3,0)*0.475*44/12</f>
        <v>5.406005075662347</v>
      </c>
      <c r="BR112" s="23">
        <f>EXP(-LN(2)/2)*BR111+(1-EXP(-LN(2)/2))/(LN(2)/2)*BL112*BO112*VLOOKUP('Données projet'!$B$11,Paramètres!$A$1:$I$89,3,0)*0.475*44/12</f>
        <v>3.5014756606719094E-8</v>
      </c>
      <c r="BS112" s="24">
        <f t="shared" si="63"/>
        <v>30.282008282920433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2.9799999999999982</v>
      </c>
      <c r="BY112" s="13">
        <f>IF('Données projet'!$A$114&gt;35,BY111+BX112-CG111,IF(A112&lt;'Données projet'!$A$114,$BV$205^A112,IF(A112='Données projet'!$A$114,'Données projet'!$B$114,BY111+BX112-CG111)))</f>
        <v>161.88000000000008</v>
      </c>
      <c r="BZ112" s="14">
        <f>BY112*VLOOKUP('Données projet'!$B$12,Paramètres!$A$1:$I$89,3,0)*VLOOKUP('Données projet'!$B$12,Paramètres!$A$1:$I$89,5,0)</f>
        <v>184.3489440000001</v>
      </c>
      <c r="CA112" s="14">
        <f t="shared" si="93"/>
        <v>46.288397617999948</v>
      </c>
      <c r="CB112" s="22">
        <f t="shared" si="64"/>
        <v>401.69336998468339</v>
      </c>
      <c r="CC112" s="62">
        <f t="shared" si="65"/>
        <v>681.41869033727266</v>
      </c>
      <c r="CD112" s="62">
        <f ca="1">AVERAGE(OFFSET($CC$3,0,0,'Données projet'!$E$12+1,1))-AVERAGE(OFFSET($H$3,0,0,'Données projet'!$E$12+1,1))</f>
        <v>454.9779384236806</v>
      </c>
      <c r="CE112" s="62">
        <f t="shared" si="94"/>
        <v>379.32753348721906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29.997187579950726</v>
      </c>
      <c r="CL112" s="23">
        <f>EXP(-LN(2)/25)*CL111+(1-EXP(-LN(2)/25))/(LN(2)/25)*Calculateur!CG112*Calculateur!CI112*VLOOKUP('Données projet'!$B$12,Paramètres!$A$1:$I$89,3,0)*0.475*44/12</f>
        <v>19.437009195921206</v>
      </c>
      <c r="CM112" s="23">
        <f>EXP(-LN(2)/2)*CM111+(1-EXP(-LN(2)/2))/(LN(2)/2)*CG112*CJ112*VLOOKUP('Données projet'!$B$12,Paramètres!$A$1:$I$89,3,0)*0.475*44/12</f>
        <v>5.4872579513345525E-3</v>
      </c>
      <c r="CN112" s="24">
        <f t="shared" si="66"/>
        <v>49.439684033823269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252.10592533338991</v>
      </c>
      <c r="CZ112" s="62">
        <f t="shared" si="96"/>
        <v>272.71831345325313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38.158358974989035</v>
      </c>
      <c r="DH112" s="23">
        <f>EXP(-LN(2)/2)*DH111+(1-EXP(-LN(2)/2))/(LN(2)/2)*DB112*DE112*VLOOKUP('Données projet'!$B$13,Paramètres!$A$1:$I$89,3,0)*0.475*44/12</f>
        <v>7.1271786220920112E-7</v>
      </c>
      <c r="DI112" s="24">
        <f t="shared" si="69"/>
        <v>38.158359687706898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projet'!$B$14,Paramètres!$A$1:$I$89,3,0)*VLOOKUP('Données projet'!$B$14,Paramètres!$A$1:$I$89,5,0)</f>
        <v>0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423.0896575168394</v>
      </c>
      <c r="DU112" s="62">
        <f t="shared" si="98"/>
        <v>305.98537395014284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85.824801512033417</v>
      </c>
      <c r="EB112" s="23">
        <f>EXP(-LN(2)/25)*EB111+(1-EXP(-LN(2)/25))/(LN(2)/25)*Calculateur!DW112*Calculateur!DY112*VLOOKUP('Données projet'!$B$14,Paramètres!$A$1:$I$89,3,0)*0.475*44/12</f>
        <v>80.050887856438408</v>
      </c>
      <c r="EC112" s="23">
        <f>EXP(-LN(2)/2)*EC111+(1-EXP(-LN(2)/2))/(LN(2)/2)*DW112*DZ112*VLOOKUP('Données projet'!$B$14,Paramètres!$A$1:$I$89,3,0)*0.475*44/12</f>
        <v>1.3973050906892552E-7</v>
      </c>
      <c r="ED112" s="24">
        <f t="shared" si="72"/>
        <v>165.87568950820233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2.2737367544323206E-13</v>
      </c>
      <c r="EK112" s="18">
        <f>EJ112*VLOOKUP('Données projet'!$B$15,Paramètres!$A$1:$I$89,3,0)*VLOOKUP('Données projet'!$B$15,Paramètres!$A$1:$I$89,5,0)</f>
        <v>1.3596945791505279E-13</v>
      </c>
      <c r="EL112" s="14">
        <f t="shared" si="99"/>
        <v>1.9708830566360721E-12</v>
      </c>
      <c r="EM112" s="22">
        <f t="shared" si="73"/>
        <v>3.669434796176543E-12</v>
      </c>
      <c r="EN112" s="62">
        <f t="shared" si="74"/>
        <v>279.72532035259297</v>
      </c>
      <c r="EO112" s="62">
        <f ca="1">AVERAGE(OFFSET($EN$3,0,0,'Données projet'!$E$15+1,1))-AVERAGE(OFFSET($H$3,0,0,'Données projet'!$E$15+1,1))</f>
        <v>281.21543175875604</v>
      </c>
      <c r="EP112" s="62">
        <f t="shared" si="100"/>
        <v>366.68536296857428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36.183386128855417</v>
      </c>
      <c r="EW112" s="23">
        <f>EXP(-LN(2)/25)*EW111+(1-EXP(-LN(2)/25))/(LN(2)/25)*Calculateur!ER112*Calculateur!ET112*VLOOKUP('Données projet'!$B$15,Paramètres!$A$1:$I$89,3,0)*0.475*44/12</f>
        <v>8.3093100151737058</v>
      </c>
      <c r="EX112" s="23">
        <f>EXP(-LN(2)/2)*EX111+(1-EXP(-LN(2)/2))/(LN(2)/2)*ER112*EU112*VLOOKUP('Données projet'!$B$15,Paramètres!$A$1:$I$89,3,0)*0.475*44/12</f>
        <v>2.1988207184667177E-7</v>
      </c>
      <c r="EY112" s="24">
        <f t="shared" si="75"/>
        <v>44.4926963639112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2.2737367544323206E-13</v>
      </c>
      <c r="FF112" s="18">
        <f>FE112*VLOOKUP('Données projet'!$B$16,Paramètres!$A$1:$I$89,3,0)*VLOOKUP('Données projet'!$B$16,Paramètres!$A$1:$I$89,5,0)</f>
        <v>1.2710188457276673E-13</v>
      </c>
      <c r="FG112" s="14">
        <f t="shared" si="101"/>
        <v>1.856866851063998E-12</v>
      </c>
      <c r="FH112" s="22">
        <f t="shared" si="76"/>
        <v>3.4554122145673649E-12</v>
      </c>
      <c r="FI112" s="62">
        <f t="shared" si="77"/>
        <v>279.72532035259275</v>
      </c>
      <c r="FJ112" s="62">
        <f ca="1">AVERAGE(OFFSET($FI$3,0,0,'Données projet'!$E$16+1,1))-AVERAGE(OFFSET($H$3,0,0,'Données projet'!$E$16+1,1))</f>
        <v>280.9225643428145</v>
      </c>
      <c r="FK112" s="62">
        <f t="shared" si="102"/>
        <v>236.89414218053955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113.18933705404879</v>
      </c>
      <c r="FR112" s="23">
        <f>EXP(-LN(2)/25)*FR111+(1-EXP(-LN(2)/25))/(LN(2)/25)*Calculateur!FM112*Calculateur!FO112*VLOOKUP('Données projet'!$B$16,Paramètres!$A$1:$I$89,3,0)*0.475*44/12</f>
        <v>26.594329805611363</v>
      </c>
      <c r="FS112" s="23">
        <f>EXP(-LN(2)/2)*FS111+(1-EXP(-LN(2)/2))/(LN(2)/2)*FM112*FP112*VLOOKUP('Données projet'!$B$16,Paramètres!$A$1:$I$89,3,0)*0.475*44/12</f>
        <v>5.7880872609594664E-9</v>
      </c>
      <c r="FT112" s="24">
        <f t="shared" si="78"/>
        <v>139.78366686544823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-5.6843418860808015E-13</v>
      </c>
      <c r="GA112" s="18">
        <f>FZ112*VLOOKUP('Données projet'!$B$17,Paramètres!$A$1:$I$89,3,0)*VLOOKUP('Données projet'!$B$17,Paramètres!$A$1:$I$89,5,0)</f>
        <v>-2.5124791136477147E-13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325.67421864225201</v>
      </c>
      <c r="GF112" s="62">
        <f t="shared" si="104"/>
        <v>542.01920418736745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73.255013991677174</v>
      </c>
      <c r="GM112" s="23">
        <f>EXP(-LN(2)/25)*GM111+(1-EXP(-LN(2)/25))/(LN(2)/25)*Calculateur!GH112*Calculateur!GJ112*VLOOKUP('Données projet'!$B$17,Paramètres!$A$1:$I$89,3,0)*0.475*44/12</f>
        <v>31.16828281371804</v>
      </c>
      <c r="GN112" s="23">
        <f>EXP(-LN(2)/2)*GN111+(1-EXP(-LN(2)/2))/(LN(2)/2)*GH112*GK112*VLOOKUP('Données projet'!$B$17,Paramètres!$A$1:$I$89,3,0)*0.475*44/12</f>
        <v>5.8953407729947064E-9</v>
      </c>
      <c r="GO112" s="23">
        <f t="shared" si="81"/>
        <v>104.42329681129056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2.8086666666666664</v>
      </c>
      <c r="GU112" s="13">
        <f>IF('Données projet'!$A$270&gt;35,GU111+GT112-HC111,IF(A112&lt;'Données projet'!$A$270,$GR$205^A112,IF(A112='Données projet'!$A$270,'Données projet'!$B$270,GU111+GT112-HC111)))</f>
        <v>121.45466666666653</v>
      </c>
      <c r="GV112" s="18">
        <f>GU112*VLOOKUP('Données projet'!$B$18,Paramètres!$A$1:$I$89,3,0)*VLOOKUP('Données projet'!$B$18,Paramètres!$A$1:$I$89,5,0)</f>
        <v>123.15503199999986</v>
      </c>
      <c r="GW112" s="14">
        <f t="shared" si="105"/>
        <v>32.409743557695222</v>
      </c>
      <c r="GX112" s="22">
        <f t="shared" si="82"/>
        <v>270.941984096319</v>
      </c>
      <c r="GY112" s="62">
        <f t="shared" si="83"/>
        <v>550.66730444890823</v>
      </c>
      <c r="GZ112" s="62">
        <f ca="1">AVERAGE(OFFSET($GY$3,0,0,'Données projet'!$E$18+1,1))-AVERAGE(OFFSET($H$3,0,0,'Données projet'!$E$18+1,1))</f>
        <v>220.89224520315713</v>
      </c>
      <c r="HA112" s="62">
        <f t="shared" si="106"/>
        <v>141.82763623159096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-2.8421709430404007E-14</v>
      </c>
      <c r="O113" s="14">
        <f>N113*VLOOKUP('Données projet'!$B$9,Paramètres!$A$1:$I$89,3,0)*VLOOKUP('Données projet'!$B$9,Paramètres!$A$1:$I$89,5,0)</f>
        <v>-2.7489477361086758E-14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84.959354125980269</v>
      </c>
      <c r="T113" s="62">
        <f t="shared" si="88"/>
        <v>89.658970210276806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5.1355497584357259</v>
      </c>
      <c r="AB113" s="23">
        <f>EXP(-LN(2)/2)*AB112+(1-EXP(-LN(2)/2))/(LN(2)/2)*V113*Y113*VLOOKUP('Données projet'!$B$9,Paramètres!$A$1:$I$89,3,0)*0.475*44/12</f>
        <v>3.1196314799362426E-6</v>
      </c>
      <c r="AC113" s="24">
        <f t="shared" si="57"/>
        <v>5.1355528780672062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12.027399999999998</v>
      </c>
      <c r="AI113" s="14">
        <f>IF('Données projet'!$A$62&gt;35,AI112+AH113-AQ112,IF(A113&lt;'Données projet'!$A$62,$AF$205^A113,IF(A113='Données projet'!$A$62,'Données projet'!$B$62,AI112+AH113-AQ112)))</f>
        <v>514.75199999999995</v>
      </c>
      <c r="AJ113" s="14">
        <f>AI113*VLOOKUP('Données projet'!$B$10,Paramètres!$A$1:$I$89,3,0)*VLOOKUP('Données projet'!$B$10,Paramètres!$A$1:$I$89,5,0)</f>
        <v>489.8380032</v>
      </c>
      <c r="AK113" s="14">
        <f t="shared" si="89"/>
        <v>109.76968873358587</v>
      </c>
      <c r="AL113" s="22">
        <f t="shared" si="58"/>
        <v>1044.316730117662</v>
      </c>
      <c r="AM113" s="62">
        <f t="shared" si="59"/>
        <v>1324.2781190725079</v>
      </c>
      <c r="AN113" s="62">
        <f ca="1">AVERAGE(OFFSET($AM$3,0,0,'Données projet'!$E$10+1,1))-AVERAGE(OFFSET($H$3,0,0,'Données projet'!$E$10+1,1))</f>
        <v>592.76231355549089</v>
      </c>
      <c r="AO113" s="62">
        <f t="shared" si="90"/>
        <v>200.66895551079014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31.954254309070905</v>
      </c>
      <c r="AV113" s="23">
        <f>EXP(-LN(2)/25)*AV112+(1-EXP(-LN(2)/25))/(LN(2)/25)*Calculateur!AQ113*Calculateur!AS113*VLOOKUP('Données projet'!$B$10,Paramètres!$A$1:$I$89,3,0)*0.475*44/12</f>
        <v>16.609467685635412</v>
      </c>
      <c r="AW113" s="23">
        <f>EXP(-LN(2)/2)*AW112+(1-EXP(-LN(2)/2))/(LN(2)/2)*AQ113*AT113*VLOOKUP('Données projet'!$B$10,Paramètres!$A$1:$I$89,3,0)*0.475*44/12</f>
        <v>3.8323720782189292E-7</v>
      </c>
      <c r="AX113" s="23">
        <f t="shared" si="60"/>
        <v>48.56372237794352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4.5509999999999993</v>
      </c>
      <c r="BD113" s="13">
        <f>IF('Données projet'!$A$88&gt;35,BD112+BC113-BL112,IF(A113&lt;'Données projet'!$A$88,$BA$205^A113,IF(A113='Données projet'!$A$88,'Données projet'!$B$88,BD112+BC113-BL112)))</f>
        <v>198.81499999999991</v>
      </c>
      <c r="BE113" s="14">
        <f>BD113*VLOOKUP('Données projet'!$B$11,Paramètres!$A$1:$I$89,3,0)*VLOOKUP('Données projet'!$B$11,Paramètres!$A$1:$I$89,5,0)</f>
        <v>179.88781199999991</v>
      </c>
      <c r="BF113" s="14">
        <f t="shared" si="91"/>
        <v>45.297225497901749</v>
      </c>
      <c r="BG113" s="22">
        <f t="shared" si="61"/>
        <v>392.19727364217869</v>
      </c>
      <c r="BH113" s="62">
        <f t="shared" si="62"/>
        <v>672.15866259702454</v>
      </c>
      <c r="BI113" s="62">
        <f ca="1">AVERAGE(OFFSET($BH$3,0,0,'Données projet'!$E$11+1,1))-AVERAGE(OFFSET($H$3,0,0,'Données projet'!$E$11+1,1))</f>
        <v>316.71836722354374</v>
      </c>
      <c r="BJ113" s="62">
        <f t="shared" si="92"/>
        <v>164.34067012996618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24.388199922899378</v>
      </c>
      <c r="BQ113" s="23">
        <f>EXP(-LN(2)/25)*BQ112+(1-EXP(-LN(2)/25))/(LN(2)/25)*Calculateur!BL113*Calculateur!BN113*VLOOKUP('Données projet'!$B$11,Paramètres!$A$1:$I$89,3,0)*0.475*44/12</f>
        <v>5.2581775825789085</v>
      </c>
      <c r="BR113" s="23">
        <f>EXP(-LN(2)/2)*BR112+(1-EXP(-LN(2)/2))/(LN(2)/2)*BL113*BO113*VLOOKUP('Données projet'!$B$11,Paramètres!$A$1:$I$89,3,0)*0.475*44/12</f>
        <v>2.4759171838207537E-8</v>
      </c>
      <c r="BS113" s="24">
        <f t="shared" si="63"/>
        <v>29.646377530237459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2.9799999999999982</v>
      </c>
      <c r="BY113" s="13">
        <f>IF('Données projet'!$A$114&gt;35,BY112+BX113-CG112,IF(A113&lt;'Données projet'!$A$114,$BV$205^A113,IF(A113='Données projet'!$A$114,'Données projet'!$B$114,BY112+BX113-CG112)))</f>
        <v>164.86000000000007</v>
      </c>
      <c r="BZ113" s="14">
        <f>BY113*VLOOKUP('Données projet'!$B$12,Paramètres!$A$1:$I$89,3,0)*VLOOKUP('Données projet'!$B$12,Paramètres!$A$1:$I$89,5,0)</f>
        <v>187.74256800000009</v>
      </c>
      <c r="CA113" s="14">
        <f t="shared" si="93"/>
        <v>47.040520040364193</v>
      </c>
      <c r="CB113" s="22">
        <f t="shared" si="64"/>
        <v>408.9138783369678</v>
      </c>
      <c r="CC113" s="62">
        <f t="shared" si="65"/>
        <v>688.87526729181366</v>
      </c>
      <c r="CD113" s="62">
        <f ca="1">AVERAGE(OFFSET($CC$3,0,0,'Données projet'!$E$12+1,1))-AVERAGE(OFFSET($H$3,0,0,'Données projet'!$E$12+1,1))</f>
        <v>454.9779384236806</v>
      </c>
      <c r="CE113" s="62">
        <f t="shared" si="94"/>
        <v>379.32753348721906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29.40896102798569</v>
      </c>
      <c r="CL113" s="23">
        <f>EXP(-LN(2)/25)*CL112+(1-EXP(-LN(2)/25))/(LN(2)/25)*Calculateur!CG113*Calculateur!CI113*VLOOKUP('Données projet'!$B$12,Paramètres!$A$1:$I$89,3,0)*0.475*44/12</f>
        <v>18.90550315731085</v>
      </c>
      <c r="CM113" s="23">
        <f>EXP(-LN(2)/2)*CM112+(1-EXP(-LN(2)/2))/(LN(2)/2)*CG113*CJ113*VLOOKUP('Données projet'!$B$12,Paramètres!$A$1:$I$89,3,0)*0.475*44/12</f>
        <v>3.8800773075084649E-3</v>
      </c>
      <c r="CN113" s="24">
        <f t="shared" si="66"/>
        <v>48.31834426260405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252.10592533338991</v>
      </c>
      <c r="CZ113" s="62">
        <f t="shared" si="96"/>
        <v>272.71831345325313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37.114916642157077</v>
      </c>
      <c r="DH113" s="23">
        <f>EXP(-LN(2)/2)*DH112+(1-EXP(-LN(2)/2))/(LN(2)/2)*DB113*DE113*VLOOKUP('Données projet'!$B$13,Paramètres!$A$1:$I$89,3,0)*0.475*44/12</f>
        <v>5.039676334409055E-7</v>
      </c>
      <c r="DI113" s="24">
        <f t="shared" si="69"/>
        <v>37.114917146124711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projet'!$B$14,Paramètres!$A$1:$I$89,3,0)*VLOOKUP('Données projet'!$B$14,Paramètres!$A$1:$I$89,5,0)</f>
        <v>0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423.0896575168394</v>
      </c>
      <c r="DU113" s="62">
        <f t="shared" si="98"/>
        <v>305.98537395014284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84.141829502342432</v>
      </c>
      <c r="EB113" s="23">
        <f>EXP(-LN(2)/25)*EB112+(1-EXP(-LN(2)/25))/(LN(2)/25)*Calculateur!DW113*Calculateur!DY113*VLOOKUP('Données projet'!$B$14,Paramètres!$A$1:$I$89,3,0)*0.475*44/12</f>
        <v>77.861892118310863</v>
      </c>
      <c r="EC113" s="23">
        <f>EXP(-LN(2)/2)*EC112+(1-EXP(-LN(2)/2))/(LN(2)/2)*DW113*DZ113*VLOOKUP('Données projet'!$B$14,Paramètres!$A$1:$I$89,3,0)*0.475*44/12</f>
        <v>9.8804390501285614E-8</v>
      </c>
      <c r="ED113" s="24">
        <f t="shared" si="72"/>
        <v>162.00372171945767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2.2737367544323206E-13</v>
      </c>
      <c r="EK113" s="18">
        <f>EJ113*VLOOKUP('Données projet'!$B$15,Paramètres!$A$1:$I$89,3,0)*VLOOKUP('Données projet'!$B$15,Paramètres!$A$1:$I$89,5,0)</f>
        <v>1.3596945791505279E-13</v>
      </c>
      <c r="EL113" s="14">
        <f t="shared" si="99"/>
        <v>1.9708830566360721E-12</v>
      </c>
      <c r="EM113" s="22">
        <f t="shared" si="73"/>
        <v>3.669434796176543E-12</v>
      </c>
      <c r="EN113" s="62">
        <f t="shared" si="74"/>
        <v>279.96138895484955</v>
      </c>
      <c r="EO113" s="62">
        <f ca="1">AVERAGE(OFFSET($EN$3,0,0,'Données projet'!$E$15+1,1))-AVERAGE(OFFSET($H$3,0,0,'Données projet'!$E$15+1,1))</f>
        <v>281.21543175875604</v>
      </c>
      <c r="EP113" s="62">
        <f t="shared" si="100"/>
        <v>366.68536296857428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35.473851996554899</v>
      </c>
      <c r="EW113" s="23">
        <f>EXP(-LN(2)/25)*EW112+(1-EXP(-LN(2)/25))/(LN(2)/25)*Calculateur!ER113*Calculateur!ET113*VLOOKUP('Données projet'!$B$15,Paramètres!$A$1:$I$89,3,0)*0.475*44/12</f>
        <v>8.0820914958411585</v>
      </c>
      <c r="EX113" s="23">
        <f>EXP(-LN(2)/2)*EX112+(1-EXP(-LN(2)/2))/(LN(2)/2)*ER113*EU113*VLOOKUP('Données projet'!$B$15,Paramètres!$A$1:$I$89,3,0)*0.475*44/12</f>
        <v>1.5548010406412925E-7</v>
      </c>
      <c r="EY113" s="24">
        <f t="shared" si="75"/>
        <v>43.555943647876155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2.2737367544323206E-13</v>
      </c>
      <c r="FF113" s="18">
        <f>FE113*VLOOKUP('Données projet'!$B$16,Paramètres!$A$1:$I$89,3,0)*VLOOKUP('Données projet'!$B$16,Paramètres!$A$1:$I$89,5,0)</f>
        <v>1.2710188457276673E-13</v>
      </c>
      <c r="FG113" s="14">
        <f t="shared" si="101"/>
        <v>1.856866851063998E-12</v>
      </c>
      <c r="FH113" s="22">
        <f t="shared" si="76"/>
        <v>3.4554122145673649E-12</v>
      </c>
      <c r="FI113" s="62">
        <f t="shared" si="77"/>
        <v>279.96138895484933</v>
      </c>
      <c r="FJ113" s="62">
        <f ca="1">AVERAGE(OFFSET($FI$3,0,0,'Données projet'!$E$16+1,1))-AVERAGE(OFFSET($H$3,0,0,'Données projet'!$E$16+1,1))</f>
        <v>280.9225643428145</v>
      </c>
      <c r="FK113" s="62">
        <f t="shared" si="102"/>
        <v>236.89414218053955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110.96976319309749</v>
      </c>
      <c r="FR113" s="23">
        <f>EXP(-LN(2)/25)*FR112+(1-EXP(-LN(2)/25))/(LN(2)/25)*Calculateur!FM113*Calculateur!FO113*VLOOKUP('Données projet'!$B$16,Paramètres!$A$1:$I$89,3,0)*0.475*44/12</f>
        <v>25.867106458541897</v>
      </c>
      <c r="FS113" s="23">
        <f>EXP(-LN(2)/2)*FS112+(1-EXP(-LN(2)/2))/(LN(2)/2)*FM113*FP113*VLOOKUP('Données projet'!$B$16,Paramètres!$A$1:$I$89,3,0)*0.475*44/12</f>
        <v>4.0927957523239086E-9</v>
      </c>
      <c r="FT113" s="24">
        <f t="shared" si="78"/>
        <v>136.83686965573219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-5.6843418860808015E-13</v>
      </c>
      <c r="GA113" s="18">
        <f>FZ113*VLOOKUP('Données projet'!$B$17,Paramètres!$A$1:$I$89,3,0)*VLOOKUP('Données projet'!$B$17,Paramètres!$A$1:$I$89,5,0)</f>
        <v>-2.5124791136477147E-13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325.67421864225201</v>
      </c>
      <c r="GF113" s="62">
        <f t="shared" si="104"/>
        <v>542.01920418736745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71.818527848447019</v>
      </c>
      <c r="GM113" s="23">
        <f>EXP(-LN(2)/25)*GM112+(1-EXP(-LN(2)/25))/(LN(2)/25)*Calculateur!GH113*Calculateur!GJ113*VLOOKUP('Données projet'!$B$17,Paramètres!$A$1:$I$89,3,0)*0.475*44/12</f>
        <v>30.315984481108163</v>
      </c>
      <c r="GN113" s="23">
        <f>EXP(-LN(2)/2)*GN112+(1-EXP(-LN(2)/2))/(LN(2)/2)*GH113*GK113*VLOOKUP('Données projet'!$B$17,Paramètres!$A$1:$I$89,3,0)*0.475*44/12</f>
        <v>4.1686354379900997E-9</v>
      </c>
      <c r="GO113" s="23">
        <f t="shared" si="81"/>
        <v>102.13451233372382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2.8086666666666664</v>
      </c>
      <c r="GU113" s="13">
        <f>IF('Données projet'!$A$270&gt;35,GU112+GT113-HC112,IF(A113&lt;'Données projet'!$A$270,$GR$205^A113,IF(A113='Données projet'!$A$270,'Données projet'!$B$270,GU112+GT113-HC112)))</f>
        <v>124.26333333333319</v>
      </c>
      <c r="GV113" s="18">
        <f>GU113*VLOOKUP('Données projet'!$B$18,Paramètres!$A$1:$I$89,3,0)*VLOOKUP('Données projet'!$B$18,Paramètres!$A$1:$I$89,5,0)</f>
        <v>126.00301999999986</v>
      </c>
      <c r="GW113" s="14">
        <f t="shared" si="105"/>
        <v>33.071102707243163</v>
      </c>
      <c r="GX113" s="22">
        <f t="shared" si="82"/>
        <v>277.05409704844823</v>
      </c>
      <c r="GY113" s="62">
        <f t="shared" si="83"/>
        <v>557.01548600329409</v>
      </c>
      <c r="GZ113" s="62">
        <f ca="1">AVERAGE(OFFSET($GY$3,0,0,'Données projet'!$E$18+1,1))-AVERAGE(OFFSET($H$3,0,0,'Données projet'!$E$18+1,1))</f>
        <v>220.89224520315713</v>
      </c>
      <c r="HA113" s="62">
        <f t="shared" si="106"/>
        <v>141.82763623159096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-2.8421709430404007E-14</v>
      </c>
      <c r="O114" s="14">
        <f>N114*VLOOKUP('Données projet'!$B$9,Paramètres!$A$1:$I$89,3,0)*VLOOKUP('Données projet'!$B$9,Paramètres!$A$1:$I$89,5,0)</f>
        <v>-2.7489477361086758E-14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84.959354125980269</v>
      </c>
      <c r="T114" s="62">
        <f t="shared" si="88"/>
        <v>89.658970210276806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4.9951178802244769</v>
      </c>
      <c r="AB114" s="23">
        <f>EXP(-LN(2)/2)*AB113+(1-EXP(-LN(2)/2))/(LN(2)/2)*V114*Y114*VLOOKUP('Données projet'!$B$9,Paramètres!$A$1:$I$89,3,0)*0.475*44/12</f>
        <v>2.2059125742659421E-6</v>
      </c>
      <c r="AC114" s="24">
        <f t="shared" si="57"/>
        <v>4.9951200861370513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12.027399999999998</v>
      </c>
      <c r="AI114" s="14">
        <f>IF('Données projet'!$A$62&gt;35,AI113+AH114-AQ113,IF(A114&lt;'Données projet'!$A$62,$AF$205^A114,IF(A114='Données projet'!$A$62,'Données projet'!$B$62,AI113+AH114-AQ113)))</f>
        <v>526.7793999999999</v>
      </c>
      <c r="AJ114" s="14">
        <f>AI114*VLOOKUP('Données projet'!$B$10,Paramètres!$A$1:$I$89,3,0)*VLOOKUP('Données projet'!$B$10,Paramètres!$A$1:$I$89,5,0)</f>
        <v>501.28327703999986</v>
      </c>
      <c r="AK114" s="14">
        <f t="shared" si="89"/>
        <v>112.03290442944136</v>
      </c>
      <c r="AL114" s="22">
        <f t="shared" si="58"/>
        <v>1068.1923493926099</v>
      </c>
      <c r="AM114" s="62">
        <f t="shared" si="59"/>
        <v>1348.3857116872334</v>
      </c>
      <c r="AN114" s="62">
        <f ca="1">AVERAGE(OFFSET($AM$3,0,0,'Données projet'!$E$10+1,1))-AVERAGE(OFFSET($H$3,0,0,'Données projet'!$E$10+1,1))</f>
        <v>592.76231355549089</v>
      </c>
      <c r="AO114" s="62">
        <f t="shared" si="90"/>
        <v>200.66895551079014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31.327650872240657</v>
      </c>
      <c r="AV114" s="23">
        <f>EXP(-LN(2)/25)*AV113+(1-EXP(-LN(2)/25))/(LN(2)/25)*Calculateur!AQ114*Calculateur!AS114*VLOOKUP('Données projet'!$B$10,Paramètres!$A$1:$I$89,3,0)*0.475*44/12</f>
        <v>16.155280918317768</v>
      </c>
      <c r="AW114" s="23">
        <f>EXP(-LN(2)/2)*AW113+(1-EXP(-LN(2)/2))/(LN(2)/2)*AQ114*AT114*VLOOKUP('Données projet'!$B$10,Paramètres!$A$1:$I$89,3,0)*0.475*44/12</f>
        <v>2.7098962845385867E-7</v>
      </c>
      <c r="AX114" s="23">
        <f t="shared" si="60"/>
        <v>47.482932061548055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4.5509999999999993</v>
      </c>
      <c r="BD114" s="13">
        <f>IF('Données projet'!$A$88&gt;35,BD113+BC114-BL113,IF(A114&lt;'Données projet'!$A$88,$BA$205^A114,IF(A114='Données projet'!$A$88,'Données projet'!$B$88,BD113+BC114-BL113)))</f>
        <v>203.3659999999999</v>
      </c>
      <c r="BE114" s="14">
        <f>BD114*VLOOKUP('Données projet'!$B$11,Paramètres!$A$1:$I$89,3,0)*VLOOKUP('Données projet'!$B$11,Paramètres!$A$1:$I$89,5,0)</f>
        <v>184.00555679999991</v>
      </c>
      <c r="BF114" s="14">
        <f t="shared" si="91"/>
        <v>46.212204031957171</v>
      </c>
      <c r="BG114" s="22">
        <f t="shared" si="61"/>
        <v>400.96260011565863</v>
      </c>
      <c r="BH114" s="62">
        <f t="shared" si="62"/>
        <v>681.1559624102822</v>
      </c>
      <c r="BI114" s="62">
        <f ca="1">AVERAGE(OFFSET($BH$3,0,0,'Données projet'!$E$11+1,1))-AVERAGE(OFFSET($H$3,0,0,'Données projet'!$E$11+1,1))</f>
        <v>316.71836722354374</v>
      </c>
      <c r="BJ114" s="62">
        <f t="shared" si="92"/>
        <v>164.34067012996618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23.909962197744459</v>
      </c>
      <c r="BQ114" s="23">
        <f>EXP(-LN(2)/25)*BQ113+(1-EXP(-LN(2)/25))/(LN(2)/25)*Calculateur!BL114*Calculateur!BN114*VLOOKUP('Données projet'!$B$11,Paramètres!$A$1:$I$89,3,0)*0.475*44/12</f>
        <v>5.1143924400677472</v>
      </c>
      <c r="BR114" s="23">
        <f>EXP(-LN(2)/2)*BR113+(1-EXP(-LN(2)/2))/(LN(2)/2)*BL114*BO114*VLOOKUP('Données projet'!$B$11,Paramètres!$A$1:$I$89,3,0)*0.475*44/12</f>
        <v>1.7507378303359547E-8</v>
      </c>
      <c r="BS114" s="24">
        <f t="shared" si="63"/>
        <v>29.024354655319584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2.9799999999999982</v>
      </c>
      <c r="BY114" s="13">
        <f>IF('Données projet'!$A$114&gt;35,BY113+BX114-CG113,IF(A114&lt;'Données projet'!$A$114,$BV$205^A114,IF(A114='Données projet'!$A$114,'Données projet'!$B$114,BY113+BX114-CG113)))</f>
        <v>167.84000000000006</v>
      </c>
      <c r="BZ114" s="14">
        <f>BY114*VLOOKUP('Données projet'!$B$12,Paramètres!$A$1:$I$89,3,0)*VLOOKUP('Données projet'!$B$12,Paramètres!$A$1:$I$89,5,0)</f>
        <v>191.13619200000008</v>
      </c>
      <c r="CA114" s="14">
        <f t="shared" si="93"/>
        <v>47.791061539859868</v>
      </c>
      <c r="CB114" s="22">
        <f t="shared" si="64"/>
        <v>416.13163324858942</v>
      </c>
      <c r="CC114" s="62">
        <f t="shared" si="65"/>
        <v>696.32499554321294</v>
      </c>
      <c r="CD114" s="62">
        <f ca="1">AVERAGE(OFFSET($CC$3,0,0,'Données projet'!$E$12+1,1))-AVERAGE(OFFSET($H$3,0,0,'Données projet'!$E$12+1,1))</f>
        <v>454.9779384236806</v>
      </c>
      <c r="CE114" s="62">
        <f t="shared" si="94"/>
        <v>379.32753348721906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28.832269239921917</v>
      </c>
      <c r="CL114" s="23">
        <f>EXP(-LN(2)/25)*CL113+(1-EXP(-LN(2)/25))/(LN(2)/25)*Calculateur!CG114*Calculateur!CI114*VLOOKUP('Données projet'!$B$12,Paramètres!$A$1:$I$89,3,0)*0.475*44/12</f>
        <v>18.388531179276981</v>
      </c>
      <c r="CM114" s="23">
        <f>EXP(-LN(2)/2)*CM113+(1-EXP(-LN(2)/2))/(LN(2)/2)*CG114*CJ114*VLOOKUP('Données projet'!$B$12,Paramètres!$A$1:$I$89,3,0)*0.475*44/12</f>
        <v>2.7436289756672767E-3</v>
      </c>
      <c r="CN114" s="24">
        <f t="shared" si="66"/>
        <v>47.22354404817456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252.10592533338991</v>
      </c>
      <c r="CZ114" s="62">
        <f t="shared" si="96"/>
        <v>272.71831345325313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36.100007294788654</v>
      </c>
      <c r="DH114" s="23">
        <f>EXP(-LN(2)/2)*DH113+(1-EXP(-LN(2)/2))/(LN(2)/2)*DB114*DE114*VLOOKUP('Données projet'!$B$13,Paramètres!$A$1:$I$89,3,0)*0.475*44/12</f>
        <v>3.5635893110460056E-7</v>
      </c>
      <c r="DI114" s="24">
        <f t="shared" si="69"/>
        <v>36.100007651147585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projet'!$B$14,Paramètres!$A$1:$I$89,3,0)*VLOOKUP('Données projet'!$B$14,Paramètres!$A$1:$I$89,5,0)</f>
        <v>0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423.0896575168394</v>
      </c>
      <c r="DU114" s="62">
        <f t="shared" si="98"/>
        <v>305.98537395014284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82.491859547249916</v>
      </c>
      <c r="EB114" s="23">
        <f>EXP(-LN(2)/25)*EB113+(1-EXP(-LN(2)/25))/(LN(2)/25)*Calculateur!DW114*Calculateur!DY114*VLOOKUP('Données projet'!$B$14,Paramètres!$A$1:$I$89,3,0)*0.475*44/12</f>
        <v>75.732754583756702</v>
      </c>
      <c r="EC114" s="23">
        <f>EXP(-LN(2)/2)*EC113+(1-EXP(-LN(2)/2))/(LN(2)/2)*DW114*DZ114*VLOOKUP('Données projet'!$B$14,Paramètres!$A$1:$I$89,3,0)*0.475*44/12</f>
        <v>6.986525453446276E-8</v>
      </c>
      <c r="ED114" s="24">
        <f t="shared" si="72"/>
        <v>158.22461420087186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2.2737367544323206E-13</v>
      </c>
      <c r="EK114" s="18">
        <f>EJ114*VLOOKUP('Données projet'!$B$15,Paramètres!$A$1:$I$89,3,0)*VLOOKUP('Données projet'!$B$15,Paramètres!$A$1:$I$89,5,0)</f>
        <v>1.3596945791505279E-13</v>
      </c>
      <c r="EL114" s="14">
        <f t="shared" si="99"/>
        <v>1.9708830566360721E-12</v>
      </c>
      <c r="EM114" s="22">
        <f t="shared" si="73"/>
        <v>3.669434796176543E-12</v>
      </c>
      <c r="EN114" s="62">
        <f t="shared" si="74"/>
        <v>280.19336229462726</v>
      </c>
      <c r="EO114" s="62">
        <f ca="1">AVERAGE(OFFSET($EN$3,0,0,'Données projet'!$E$15+1,1))-AVERAGE(OFFSET($H$3,0,0,'Données projet'!$E$15+1,1))</f>
        <v>281.21543175875604</v>
      </c>
      <c r="EP114" s="62">
        <f t="shared" si="100"/>
        <v>366.68536296857428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34.778231395815709</v>
      </c>
      <c r="EW114" s="23">
        <f>EXP(-LN(2)/25)*EW113+(1-EXP(-LN(2)/25))/(LN(2)/25)*Calculateur!ER114*Calculateur!ET114*VLOOKUP('Données projet'!$B$15,Paramètres!$A$1:$I$89,3,0)*0.475*44/12</f>
        <v>7.8610862788686617</v>
      </c>
      <c r="EX114" s="23">
        <f>EXP(-LN(2)/2)*EX113+(1-EXP(-LN(2)/2))/(LN(2)/2)*ER114*EU114*VLOOKUP('Données projet'!$B$15,Paramètres!$A$1:$I$89,3,0)*0.475*44/12</f>
        <v>1.0994103592333588E-7</v>
      </c>
      <c r="EY114" s="24">
        <f t="shared" si="75"/>
        <v>42.639317784625405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2.2737367544323206E-13</v>
      </c>
      <c r="FF114" s="18">
        <f>FE114*VLOOKUP('Données projet'!$B$16,Paramètres!$A$1:$I$89,3,0)*VLOOKUP('Données projet'!$B$16,Paramètres!$A$1:$I$89,5,0)</f>
        <v>1.2710188457276673E-13</v>
      </c>
      <c r="FG114" s="14">
        <f t="shared" si="101"/>
        <v>1.856866851063998E-12</v>
      </c>
      <c r="FH114" s="22">
        <f t="shared" si="76"/>
        <v>3.4554122145673649E-12</v>
      </c>
      <c r="FI114" s="62">
        <f t="shared" si="77"/>
        <v>280.19336229462704</v>
      </c>
      <c r="FJ114" s="62">
        <f ca="1">AVERAGE(OFFSET($FI$3,0,0,'Données projet'!$E$16+1,1))-AVERAGE(OFFSET($H$3,0,0,'Données projet'!$E$16+1,1))</f>
        <v>280.9225643428145</v>
      </c>
      <c r="FK114" s="62">
        <f t="shared" si="102"/>
        <v>236.89414218053955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108.79371382175307</v>
      </c>
      <c r="FR114" s="23">
        <f>EXP(-LN(2)/25)*FR113+(1-EXP(-LN(2)/25))/(LN(2)/25)*Calculateur!FM114*Calculateur!FO114*VLOOKUP('Données projet'!$B$16,Paramètres!$A$1:$I$89,3,0)*0.475*44/12</f>
        <v>25.15976907214106</v>
      </c>
      <c r="FS114" s="23">
        <f>EXP(-LN(2)/2)*FS113+(1-EXP(-LN(2)/2))/(LN(2)/2)*FM114*FP114*VLOOKUP('Données projet'!$B$16,Paramètres!$A$1:$I$89,3,0)*0.475*44/12</f>
        <v>2.8940436304797332E-9</v>
      </c>
      <c r="FT114" s="24">
        <f t="shared" si="78"/>
        <v>133.95348289678819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-5.6843418860808015E-13</v>
      </c>
      <c r="GA114" s="18">
        <f>FZ114*VLOOKUP('Données projet'!$B$17,Paramètres!$A$1:$I$89,3,0)*VLOOKUP('Données projet'!$B$17,Paramètres!$A$1:$I$89,5,0)</f>
        <v>-2.5124791136477147E-13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325.67421864225201</v>
      </c>
      <c r="GF114" s="62">
        <f t="shared" si="104"/>
        <v>542.01920418736745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70.410210322315578</v>
      </c>
      <c r="GM114" s="23">
        <f>EXP(-LN(2)/25)*GM113+(1-EXP(-LN(2)/25))/(LN(2)/25)*Calculateur!GH114*Calculateur!GJ114*VLOOKUP('Données projet'!$B$17,Paramètres!$A$1:$I$89,3,0)*0.475*44/12</f>
        <v>29.486992291223924</v>
      </c>
      <c r="GN114" s="23">
        <f>EXP(-LN(2)/2)*GN113+(1-EXP(-LN(2)/2))/(LN(2)/2)*GH114*GK114*VLOOKUP('Données projet'!$B$17,Paramètres!$A$1:$I$89,3,0)*0.475*44/12</f>
        <v>2.9476703864973532E-9</v>
      </c>
      <c r="GO114" s="23">
        <f t="shared" si="81"/>
        <v>99.897202616487178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2.8086666666666664</v>
      </c>
      <c r="GU114" s="13">
        <f>IF('Données projet'!$A$270&gt;35,GU113+GT114-HC113,IF(A114&lt;'Données projet'!$A$270,$GR$205^A114,IF(A114='Données projet'!$A$270,'Données projet'!$B$270,GU113+GT114-HC113)))</f>
        <v>127.07199999999986</v>
      </c>
      <c r="GV114" s="18">
        <f>GU114*VLOOKUP('Données projet'!$B$18,Paramètres!$A$1:$I$89,3,0)*VLOOKUP('Données projet'!$B$18,Paramètres!$A$1:$I$89,5,0)</f>
        <v>128.85100799999987</v>
      </c>
      <c r="GW114" s="14">
        <f t="shared" si="105"/>
        <v>33.730723994107912</v>
      </c>
      <c r="GX114" s="22">
        <f t="shared" si="82"/>
        <v>283.16318322307103</v>
      </c>
      <c r="GY114" s="62">
        <f t="shared" si="83"/>
        <v>563.3565455176946</v>
      </c>
      <c r="GZ114" s="62">
        <f ca="1">AVERAGE(OFFSET($GY$3,0,0,'Données projet'!$E$18+1,1))-AVERAGE(OFFSET($H$3,0,0,'Données projet'!$E$18+1,1))</f>
        <v>220.89224520315713</v>
      </c>
      <c r="HA114" s="62">
        <f t="shared" si="106"/>
        <v>141.82763623159096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-2.8421709430404007E-14</v>
      </c>
      <c r="O115" s="14">
        <f>N115*VLOOKUP('Données projet'!$B$9,Paramètres!$A$1:$I$89,3,0)*VLOOKUP('Données projet'!$B$9,Paramètres!$A$1:$I$89,5,0)</f>
        <v>-2.7489477361086758E-14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84.959354125980269</v>
      </c>
      <c r="T115" s="62">
        <f t="shared" si="88"/>
        <v>89.658970210276806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4.8585261191079061</v>
      </c>
      <c r="AB115" s="23">
        <f>EXP(-LN(2)/2)*AB114+(1-EXP(-LN(2)/2))/(LN(2)/2)*V115*Y115*VLOOKUP('Données projet'!$B$9,Paramètres!$A$1:$I$89,3,0)*0.475*44/12</f>
        <v>1.5598157399681213E-6</v>
      </c>
      <c r="AC115" s="24">
        <f t="shared" si="57"/>
        <v>4.8585276789236458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12.027399999999998</v>
      </c>
      <c r="AI115" s="14">
        <f>IF('Données projet'!$A$62&gt;35,AI114+AH115-AQ114,IF(A115&lt;'Données projet'!$A$62,$AF$205^A115,IF(A115='Données projet'!$A$62,'Données projet'!$B$62,AI114+AH115-AQ114)))</f>
        <v>538.80679999999984</v>
      </c>
      <c r="AJ115" s="14">
        <f>AI115*VLOOKUP('Données projet'!$B$10,Paramètres!$A$1:$I$89,3,0)*VLOOKUP('Données projet'!$B$10,Paramètres!$A$1:$I$89,5,0)</f>
        <v>512.72855087999983</v>
      </c>
      <c r="AK115" s="14">
        <f t="shared" si="89"/>
        <v>114.29011274937277</v>
      </c>
      <c r="AL115" s="22">
        <f t="shared" si="58"/>
        <v>1092.0575058211571</v>
      </c>
      <c r="AM115" s="62">
        <f t="shared" si="59"/>
        <v>1372.478817236728</v>
      </c>
      <c r="AN115" s="62">
        <f ca="1">AVERAGE(OFFSET($AM$3,0,0,'Données projet'!$E$10+1,1))-AVERAGE(OFFSET($H$3,0,0,'Données projet'!$E$10+1,1))</f>
        <v>592.76231355549089</v>
      </c>
      <c r="AO115" s="62">
        <f t="shared" si="90"/>
        <v>200.66895551079014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30.713334746616294</v>
      </c>
      <c r="AV115" s="23">
        <f>EXP(-LN(2)/25)*AV114+(1-EXP(-LN(2)/25))/(LN(2)/25)*Calculateur!AQ115*Calculateur!AS115*VLOOKUP('Données projet'!$B$10,Paramètres!$A$1:$I$89,3,0)*0.475*44/12</f>
        <v>15.713513912037069</v>
      </c>
      <c r="AW115" s="23">
        <f>EXP(-LN(2)/2)*AW114+(1-EXP(-LN(2)/2))/(LN(2)/2)*AQ115*AT115*VLOOKUP('Données projet'!$B$10,Paramètres!$A$1:$I$89,3,0)*0.475*44/12</f>
        <v>1.9161860391094646E-7</v>
      </c>
      <c r="AX115" s="23">
        <f t="shared" si="60"/>
        <v>46.426848850271966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4.5509999999999993</v>
      </c>
      <c r="BD115" s="13">
        <f>IF('Données projet'!$A$88&gt;35,BD114+BC115-BL114,IF(A115&lt;'Données projet'!$A$88,$BA$205^A115,IF(A115='Données projet'!$A$88,'Données projet'!$B$88,BD114+BC115-BL114)))</f>
        <v>207.91699999999989</v>
      </c>
      <c r="BE115" s="14">
        <f>BD115*VLOOKUP('Données projet'!$B$11,Paramètres!$A$1:$I$89,3,0)*VLOOKUP('Données projet'!$B$11,Paramètres!$A$1:$I$89,5,0)</f>
        <v>188.12330159999988</v>
      </c>
      <c r="BF115" s="14">
        <f t="shared" si="91"/>
        <v>47.124802082501503</v>
      </c>
      <c r="BG115" s="22">
        <f t="shared" si="61"/>
        <v>409.72378058035656</v>
      </c>
      <c r="BH115" s="62">
        <f t="shared" si="62"/>
        <v>690.14509199592749</v>
      </c>
      <c r="BI115" s="62">
        <f ca="1">AVERAGE(OFFSET($BH$3,0,0,'Données projet'!$E$11+1,1))-AVERAGE(OFFSET($H$3,0,0,'Données projet'!$E$11+1,1))</f>
        <v>316.71836722354374</v>
      </c>
      <c r="BJ115" s="62">
        <f t="shared" si="92"/>
        <v>164.34067012996618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23.441102422683617</v>
      </c>
      <c r="BQ115" s="23">
        <f>EXP(-LN(2)/25)*BQ114+(1-EXP(-LN(2)/25))/(LN(2)/25)*Calculateur!BL115*Calculateur!BN115*VLOOKUP('Données projet'!$B$11,Paramètres!$A$1:$I$89,3,0)*0.475*44/12</f>
        <v>4.9745391098398857</v>
      </c>
      <c r="BR115" s="23">
        <f>EXP(-LN(2)/2)*BR114+(1-EXP(-LN(2)/2))/(LN(2)/2)*BL115*BO115*VLOOKUP('Données projet'!$B$11,Paramètres!$A$1:$I$89,3,0)*0.475*44/12</f>
        <v>1.2379585919103769E-8</v>
      </c>
      <c r="BS115" s="24">
        <f t="shared" si="63"/>
        <v>28.415641544903089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2.9799999999999982</v>
      </c>
      <c r="BY115" s="13">
        <f>IF('Données projet'!$A$114&gt;35,BY114+BX115-CG114,IF(A115&lt;'Données projet'!$A$114,$BV$205^A115,IF(A115='Données projet'!$A$114,'Données projet'!$B$114,BY114+BX115-CG114)))</f>
        <v>170.82000000000005</v>
      </c>
      <c r="BZ115" s="14">
        <f>BY115*VLOOKUP('Données projet'!$B$12,Paramètres!$A$1:$I$89,3,0)*VLOOKUP('Données projet'!$B$12,Paramètres!$A$1:$I$89,5,0)</f>
        <v>194.52981600000004</v>
      </c>
      <c r="CA115" s="14">
        <f t="shared" si="93"/>
        <v>48.540053424003098</v>
      </c>
      <c r="CB115" s="22">
        <f t="shared" si="64"/>
        <v>423.34668924680545</v>
      </c>
      <c r="CC115" s="62">
        <f t="shared" si="65"/>
        <v>703.76800066237638</v>
      </c>
      <c r="CD115" s="62">
        <f ca="1">AVERAGE(OFFSET($CC$3,0,0,'Données projet'!$E$12+1,1))-AVERAGE(OFFSET($H$3,0,0,'Données projet'!$E$12+1,1))</f>
        <v>454.9779384236806</v>
      </c>
      <c r="CE115" s="62">
        <f t="shared" si="94"/>
        <v>379.32753348721906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28.266886026074818</v>
      </c>
      <c r="CL115" s="23">
        <f>EXP(-LN(2)/25)*CL114+(1-EXP(-LN(2)/25))/(LN(2)/25)*Calculateur!CG115*Calculateur!CI115*VLOOKUP('Données projet'!$B$12,Paramètres!$A$1:$I$89,3,0)*0.475*44/12</f>
        <v>17.885695827168824</v>
      </c>
      <c r="CM115" s="23">
        <f>EXP(-LN(2)/2)*CM114+(1-EXP(-LN(2)/2))/(LN(2)/2)*CG115*CJ115*VLOOKUP('Données projet'!$B$12,Paramètres!$A$1:$I$89,3,0)*0.475*44/12</f>
        <v>1.9400386537542327E-3</v>
      </c>
      <c r="CN115" s="24">
        <f t="shared" si="66"/>
        <v>46.154521891897403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252.10592533338991</v>
      </c>
      <c r="CZ115" s="62">
        <f t="shared" si="96"/>
        <v>272.71831345325313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35.112850696895784</v>
      </c>
      <c r="DH115" s="23">
        <f>EXP(-LN(2)/2)*DH114+(1-EXP(-LN(2)/2))/(LN(2)/2)*DB115*DE115*VLOOKUP('Données projet'!$B$13,Paramètres!$A$1:$I$89,3,0)*0.475*44/12</f>
        <v>2.5198381672045275E-7</v>
      </c>
      <c r="DI115" s="24">
        <f t="shared" si="69"/>
        <v>35.112850948879597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projet'!$B$14,Paramètres!$A$1:$I$89,3,0)*VLOOKUP('Données projet'!$B$14,Paramètres!$A$1:$I$89,5,0)</f>
        <v>0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423.0896575168394</v>
      </c>
      <c r="DU115" s="62">
        <f t="shared" si="98"/>
        <v>305.98537395014284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80.874244496594471</v>
      </c>
      <c r="EB115" s="23">
        <f>EXP(-LN(2)/25)*EB114+(1-EXP(-LN(2)/25))/(LN(2)/25)*Calculateur!DW115*Calculateur!DY115*VLOOKUP('Données projet'!$B$14,Paramètres!$A$1:$I$89,3,0)*0.475*44/12</f>
        <v>73.661838427051407</v>
      </c>
      <c r="EC115" s="23">
        <f>EXP(-LN(2)/2)*EC114+(1-EXP(-LN(2)/2))/(LN(2)/2)*DW115*DZ115*VLOOKUP('Données projet'!$B$14,Paramètres!$A$1:$I$89,3,0)*0.475*44/12</f>
        <v>4.9402195250642807E-8</v>
      </c>
      <c r="ED115" s="24">
        <f t="shared" si="72"/>
        <v>154.53608297304808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2.2737367544323206E-13</v>
      </c>
      <c r="EK115" s="18">
        <f>EJ115*VLOOKUP('Données projet'!$B$15,Paramètres!$A$1:$I$89,3,0)*VLOOKUP('Données projet'!$B$15,Paramètres!$A$1:$I$89,5,0)</f>
        <v>1.3596945791505279E-13</v>
      </c>
      <c r="EL115" s="14">
        <f t="shared" si="99"/>
        <v>1.9708830566360721E-12</v>
      </c>
      <c r="EM115" s="22">
        <f t="shared" si="73"/>
        <v>3.669434796176543E-12</v>
      </c>
      <c r="EN115" s="62">
        <f t="shared" si="74"/>
        <v>280.42131141557456</v>
      </c>
      <c r="EO115" s="62">
        <f ca="1">AVERAGE(OFFSET($EN$3,0,0,'Données projet'!$E$15+1,1))-AVERAGE(OFFSET($H$3,0,0,'Données projet'!$E$15+1,1))</f>
        <v>281.21543175875604</v>
      </c>
      <c r="EP115" s="62">
        <f t="shared" si="100"/>
        <v>366.68536296857428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34.096251490770342</v>
      </c>
      <c r="EW115" s="23">
        <f>EXP(-LN(2)/25)*EW114+(1-EXP(-LN(2)/25))/(LN(2)/25)*Calculateur!ER115*Calculateur!ET115*VLOOKUP('Données projet'!$B$15,Paramètres!$A$1:$I$89,3,0)*0.475*44/12</f>
        <v>7.6461244611764378</v>
      </c>
      <c r="EX115" s="23">
        <f>EXP(-LN(2)/2)*EX114+(1-EXP(-LN(2)/2))/(LN(2)/2)*ER115*EU115*VLOOKUP('Données projet'!$B$15,Paramètres!$A$1:$I$89,3,0)*0.475*44/12</f>
        <v>7.7740052032064627E-8</v>
      </c>
      <c r="EY115" s="24">
        <f t="shared" si="75"/>
        <v>41.742376029686838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2.2737367544323206E-13</v>
      </c>
      <c r="FF115" s="18">
        <f>FE115*VLOOKUP('Données projet'!$B$16,Paramètres!$A$1:$I$89,3,0)*VLOOKUP('Données projet'!$B$16,Paramètres!$A$1:$I$89,5,0)</f>
        <v>1.2710188457276673E-13</v>
      </c>
      <c r="FG115" s="14">
        <f t="shared" si="101"/>
        <v>1.856866851063998E-12</v>
      </c>
      <c r="FH115" s="22">
        <f t="shared" si="76"/>
        <v>3.4554122145673649E-12</v>
      </c>
      <c r="FI115" s="62">
        <f t="shared" si="77"/>
        <v>280.42131141557434</v>
      </c>
      <c r="FJ115" s="62">
        <f ca="1">AVERAGE(OFFSET($FI$3,0,0,'Données projet'!$E$16+1,1))-AVERAGE(OFFSET($H$3,0,0,'Données projet'!$E$16+1,1))</f>
        <v>280.9225643428145</v>
      </c>
      <c r="FK115" s="62">
        <f t="shared" si="102"/>
        <v>236.89414218053955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106.66033545132166</v>
      </c>
      <c r="FR115" s="23">
        <f>EXP(-LN(2)/25)*FR114+(1-EXP(-LN(2)/25))/(LN(2)/25)*Calculateur!FM115*Calculateur!FO115*VLOOKUP('Données projet'!$B$16,Paramètres!$A$1:$I$89,3,0)*0.475*44/12</f>
        <v>24.471773863768611</v>
      </c>
      <c r="FS115" s="23">
        <f>EXP(-LN(2)/2)*FS114+(1-EXP(-LN(2)/2))/(LN(2)/2)*FM115*FP115*VLOOKUP('Données projet'!$B$16,Paramètres!$A$1:$I$89,3,0)*0.475*44/12</f>
        <v>2.0463978761619543E-9</v>
      </c>
      <c r="FT115" s="24">
        <f t="shared" si="78"/>
        <v>131.13210931713667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-5.6843418860808015E-13</v>
      </c>
      <c r="GA115" s="18">
        <f>FZ115*VLOOKUP('Données projet'!$B$17,Paramètres!$A$1:$I$89,3,0)*VLOOKUP('Données projet'!$B$17,Paramètres!$A$1:$I$89,5,0)</f>
        <v>-2.5124791136477147E-13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325.67421864225201</v>
      </c>
      <c r="GF115" s="62">
        <f t="shared" si="104"/>
        <v>542.01920418736745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69.029509043882697</v>
      </c>
      <c r="GM115" s="23">
        <f>EXP(-LN(2)/25)*GM114+(1-EXP(-LN(2)/25))/(LN(2)/25)*Calculateur!GH115*Calculateur!GJ115*VLOOKUP('Données projet'!$B$17,Paramètres!$A$1:$I$89,3,0)*0.475*44/12</f>
        <v>28.680668936366875</v>
      </c>
      <c r="GN115" s="23">
        <f>EXP(-LN(2)/2)*GN114+(1-EXP(-LN(2)/2))/(LN(2)/2)*GH115*GK115*VLOOKUP('Données projet'!$B$17,Paramètres!$A$1:$I$89,3,0)*0.475*44/12</f>
        <v>2.0843177189950499E-9</v>
      </c>
      <c r="GO115" s="23">
        <f t="shared" si="81"/>
        <v>97.710177982333889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2.8086666666666664</v>
      </c>
      <c r="GU115" s="13">
        <f>IF('Données projet'!$A$270&gt;35,GU114+GT115-HC114,IF(A115&lt;'Données projet'!$A$270,$GR$205^A115,IF(A115='Données projet'!$A$270,'Données projet'!$B$270,GU114+GT115-HC114)))</f>
        <v>129.88066666666651</v>
      </c>
      <c r="GV115" s="18">
        <f>GU115*VLOOKUP('Données projet'!$B$18,Paramètres!$A$1:$I$89,3,0)*VLOOKUP('Données projet'!$B$18,Paramètres!$A$1:$I$89,5,0)</f>
        <v>131.69899599999985</v>
      </c>
      <c r="GW115" s="14">
        <f t="shared" si="105"/>
        <v>34.388650253263933</v>
      </c>
      <c r="GX115" s="22">
        <f t="shared" si="82"/>
        <v>289.26931722443442</v>
      </c>
      <c r="GY115" s="62">
        <f t="shared" si="83"/>
        <v>569.69062864000534</v>
      </c>
      <c r="GZ115" s="62">
        <f ca="1">AVERAGE(OFFSET($GY$3,0,0,'Données projet'!$E$18+1,1))-AVERAGE(OFFSET($H$3,0,0,'Données projet'!$E$18+1,1))</f>
        <v>220.89224520315713</v>
      </c>
      <c r="HA115" s="62">
        <f t="shared" si="106"/>
        <v>141.82763623159096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-2.8421709430404007E-14</v>
      </c>
      <c r="O116" s="14">
        <f>N116*VLOOKUP('Données projet'!$B$9,Paramètres!$A$1:$I$89,3,0)*VLOOKUP('Données projet'!$B$9,Paramètres!$A$1:$I$89,5,0)</f>
        <v>-2.7489477361086758E-14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84.959354125980269</v>
      </c>
      <c r="T116" s="62">
        <f t="shared" si="88"/>
        <v>89.658970210276806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4.725669466882116</v>
      </c>
      <c r="AB116" s="23">
        <f>EXP(-LN(2)/2)*AB115+(1-EXP(-LN(2)/2))/(LN(2)/2)*V116*Y116*VLOOKUP('Données projet'!$B$9,Paramètres!$A$1:$I$89,3,0)*0.475*44/12</f>
        <v>1.102956287132971E-6</v>
      </c>
      <c r="AC116" s="24">
        <f t="shared" si="57"/>
        <v>4.7256705698384032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12.027399999999998</v>
      </c>
      <c r="AI116" s="14">
        <f>IF('Données projet'!$A$62&gt;35,AI115+AH116-AQ115,IF(A116&lt;'Données projet'!$A$62,$AF$205^A116,IF(A116='Données projet'!$A$62,'Données projet'!$B$62,AI115+AH116-AQ115)))</f>
        <v>550.83419999999978</v>
      </c>
      <c r="AJ116" s="14">
        <f>AI116*VLOOKUP('Données projet'!$B$10,Paramètres!$A$1:$I$89,3,0)*VLOOKUP('Données projet'!$B$10,Paramètres!$A$1:$I$89,5,0)</f>
        <v>524.17382471999974</v>
      </c>
      <c r="AK116" s="14">
        <f t="shared" si="89"/>
        <v>116.54146323156611</v>
      </c>
      <c r="AL116" s="22">
        <f t="shared" si="58"/>
        <v>1115.9124598489773</v>
      </c>
      <c r="AM116" s="62">
        <f t="shared" si="59"/>
        <v>1396.5577659778648</v>
      </c>
      <c r="AN116" s="62">
        <f ca="1">AVERAGE(OFFSET($AM$3,0,0,'Données projet'!$E$10+1,1))-AVERAGE(OFFSET($H$3,0,0,'Données projet'!$E$10+1,1))</f>
        <v>592.76231355549089</v>
      </c>
      <c r="AO116" s="62">
        <f t="shared" si="90"/>
        <v>200.66895551079014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30.111064985519587</v>
      </c>
      <c r="AV116" s="23">
        <f>EXP(-LN(2)/25)*AV115+(1-EXP(-LN(2)/25))/(LN(2)/25)*Calculateur!AQ116*Calculateur!AS116*VLOOKUP('Données projet'!$B$10,Paramètres!$A$1:$I$89,3,0)*0.475*44/12</f>
        <v>15.283827047774633</v>
      </c>
      <c r="AW116" s="23">
        <f>EXP(-LN(2)/2)*AW115+(1-EXP(-LN(2)/2))/(LN(2)/2)*AQ116*AT116*VLOOKUP('Données projet'!$B$10,Paramètres!$A$1:$I$89,3,0)*0.475*44/12</f>
        <v>1.3549481422692933E-7</v>
      </c>
      <c r="AX116" s="23">
        <f t="shared" si="60"/>
        <v>45.394892168789035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4.5509999999999993</v>
      </c>
      <c r="BD116" s="13">
        <f>IF('Données projet'!$A$88&gt;35,BD115+BC116-BL115,IF(A116&lt;'Données projet'!$A$88,$BA$205^A116,IF(A116='Données projet'!$A$88,'Données projet'!$B$88,BD115+BC116-BL115)))</f>
        <v>212.46799999999988</v>
      </c>
      <c r="BE116" s="14">
        <f>BD116*VLOOKUP('Données projet'!$B$11,Paramètres!$A$1:$I$89,3,0)*VLOOKUP('Données projet'!$B$11,Paramètres!$A$1:$I$89,5,0)</f>
        <v>192.24104639999987</v>
      </c>
      <c r="BF116" s="14">
        <f t="shared" si="91"/>
        <v>48.035077755238127</v>
      </c>
      <c r="BG116" s="22">
        <f t="shared" si="61"/>
        <v>418.48091623703948</v>
      </c>
      <c r="BH116" s="62">
        <f t="shared" si="62"/>
        <v>699.12622236592711</v>
      </c>
      <c r="BI116" s="62">
        <f ca="1">AVERAGE(OFFSET($BH$3,0,0,'Données projet'!$E$11+1,1))-AVERAGE(OFFSET($H$3,0,0,'Données projet'!$E$11+1,1))</f>
        <v>316.71836722354374</v>
      </c>
      <c r="BJ116" s="62">
        <f t="shared" si="92"/>
        <v>164.34067012996618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22.981436701835491</v>
      </c>
      <c r="BQ116" s="23">
        <f>EXP(-LN(2)/25)*BQ115+(1-EXP(-LN(2)/25))/(LN(2)/25)*Calculateur!BL116*Calculateur!BN116*VLOOKUP('Données projet'!$B$11,Paramètres!$A$1:$I$89,3,0)*0.475*44/12</f>
        <v>4.838510076281672</v>
      </c>
      <c r="BR116" s="23">
        <f>EXP(-LN(2)/2)*BR115+(1-EXP(-LN(2)/2))/(LN(2)/2)*BL116*BO116*VLOOKUP('Données projet'!$B$11,Paramètres!$A$1:$I$89,3,0)*0.475*44/12</f>
        <v>8.7536891516797734E-9</v>
      </c>
      <c r="BS116" s="24">
        <f t="shared" si="63"/>
        <v>27.819946786870851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2.9799999999999982</v>
      </c>
      <c r="BY116" s="13">
        <f>IF('Données projet'!$A$114&gt;35,BY115+BX116-CG115,IF(A116&lt;'Données projet'!$A$114,$BV$205^A116,IF(A116='Données projet'!$A$114,'Données projet'!$B$114,BY115+BX116-CG115)))</f>
        <v>173.80000000000004</v>
      </c>
      <c r="BZ116" s="14">
        <f>BY116*VLOOKUP('Données projet'!$B$12,Paramètres!$A$1:$I$89,3,0)*VLOOKUP('Données projet'!$B$12,Paramètres!$A$1:$I$89,5,0)</f>
        <v>197.92344000000006</v>
      </c>
      <c r="CA116" s="14">
        <f t="shared" si="93"/>
        <v>49.287525845397752</v>
      </c>
      <c r="CB116" s="22">
        <f t="shared" si="64"/>
        <v>430.55909884740117</v>
      </c>
      <c r="CC116" s="62">
        <f t="shared" si="65"/>
        <v>711.20440497628874</v>
      </c>
      <c r="CD116" s="62">
        <f ca="1">AVERAGE(OFFSET($CC$3,0,0,'Données projet'!$E$12+1,1))-AVERAGE(OFFSET($H$3,0,0,'Données projet'!$E$12+1,1))</f>
        <v>454.9779384236806</v>
      </c>
      <c r="CE116" s="62">
        <f t="shared" si="94"/>
        <v>379.32753348721906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27.712589632201549</v>
      </c>
      <c r="CL116" s="23">
        <f>EXP(-LN(2)/25)*CL115+(1-EXP(-LN(2)/25))/(LN(2)/25)*Calculateur!CG116*Calculateur!CI116*VLOOKUP('Données projet'!$B$12,Paramètres!$A$1:$I$89,3,0)*0.475*44/12</f>
        <v>17.396610534207028</v>
      </c>
      <c r="CM116" s="23">
        <f>EXP(-LN(2)/2)*CM115+(1-EXP(-LN(2)/2))/(LN(2)/2)*CG116*CJ116*VLOOKUP('Données projet'!$B$12,Paramètres!$A$1:$I$89,3,0)*0.475*44/12</f>
        <v>1.3718144878336386E-3</v>
      </c>
      <c r="CN116" s="24">
        <f t="shared" si="66"/>
        <v>45.11057198089641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252.10592533338991</v>
      </c>
      <c r="CZ116" s="62">
        <f t="shared" si="96"/>
        <v>272.71831345325313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34.152687948084605</v>
      </c>
      <c r="DH116" s="23">
        <f>EXP(-LN(2)/2)*DH115+(1-EXP(-LN(2)/2))/(LN(2)/2)*DB116*DE116*VLOOKUP('Données projet'!$B$13,Paramètres!$A$1:$I$89,3,0)*0.475*44/12</f>
        <v>1.7817946555230028E-7</v>
      </c>
      <c r="DI116" s="24">
        <f t="shared" si="69"/>
        <v>34.152688126264067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projet'!$B$14,Paramètres!$A$1:$I$89,3,0)*VLOOKUP('Données projet'!$B$14,Paramètres!$A$1:$I$89,5,0)</f>
        <v>0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423.0896575168394</v>
      </c>
      <c r="DU116" s="62">
        <f t="shared" si="98"/>
        <v>305.98537395014284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79.288349890434617</v>
      </c>
      <c r="EB116" s="23">
        <f>EXP(-LN(2)/25)*EB115+(1-EXP(-LN(2)/25))/(LN(2)/25)*Calculateur!DW116*Calculateur!DY116*VLOOKUP('Données projet'!$B$14,Paramètres!$A$1:$I$89,3,0)*0.475*44/12</f>
        <v>71.647551581555959</v>
      </c>
      <c r="EC116" s="23">
        <f>EXP(-LN(2)/2)*EC115+(1-EXP(-LN(2)/2))/(LN(2)/2)*DW116*DZ116*VLOOKUP('Données projet'!$B$14,Paramètres!$A$1:$I$89,3,0)*0.475*44/12</f>
        <v>3.493262726723138E-8</v>
      </c>
      <c r="ED116" s="24">
        <f t="shared" si="72"/>
        <v>150.93590150692322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2.2737367544323206E-13</v>
      </c>
      <c r="EK116" s="18">
        <f>EJ116*VLOOKUP('Données projet'!$B$15,Paramètres!$A$1:$I$89,3,0)*VLOOKUP('Données projet'!$B$15,Paramètres!$A$1:$I$89,5,0)</f>
        <v>1.3596945791505279E-13</v>
      </c>
      <c r="EL116" s="14">
        <f t="shared" si="99"/>
        <v>1.9708830566360721E-12</v>
      </c>
      <c r="EM116" s="22">
        <f t="shared" si="73"/>
        <v>3.669434796176543E-12</v>
      </c>
      <c r="EN116" s="62">
        <f t="shared" si="74"/>
        <v>280.64530612889132</v>
      </c>
      <c r="EO116" s="62">
        <f ca="1">AVERAGE(OFFSET($EN$3,0,0,'Données projet'!$E$15+1,1))-AVERAGE(OFFSET($H$3,0,0,'Données projet'!$E$15+1,1))</f>
        <v>281.21543175875604</v>
      </c>
      <c r="EP116" s="62">
        <f t="shared" si="100"/>
        <v>366.68536296857428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33.427644795696246</v>
      </c>
      <c r="EW116" s="23">
        <f>EXP(-LN(2)/25)*EW115+(1-EXP(-LN(2)/25))/(LN(2)/25)*Calculateur!ER116*Calculateur!ET116*VLOOKUP('Données projet'!$B$15,Paramètres!$A$1:$I$89,3,0)*0.475*44/12</f>
        <v>7.437040785693358</v>
      </c>
      <c r="EX116" s="23">
        <f>EXP(-LN(2)/2)*EX115+(1-EXP(-LN(2)/2))/(LN(2)/2)*ER116*EU116*VLOOKUP('Données projet'!$B$15,Paramètres!$A$1:$I$89,3,0)*0.475*44/12</f>
        <v>5.4970517961667942E-8</v>
      </c>
      <c r="EY116" s="24">
        <f t="shared" si="75"/>
        <v>40.864685636360122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2.2737367544323206E-13</v>
      </c>
      <c r="FF116" s="18">
        <f>FE116*VLOOKUP('Données projet'!$B$16,Paramètres!$A$1:$I$89,3,0)*VLOOKUP('Données projet'!$B$16,Paramètres!$A$1:$I$89,5,0)</f>
        <v>1.2710188457276673E-13</v>
      </c>
      <c r="FG116" s="14">
        <f t="shared" si="101"/>
        <v>1.856866851063998E-12</v>
      </c>
      <c r="FH116" s="22">
        <f t="shared" si="76"/>
        <v>3.4554122145673649E-12</v>
      </c>
      <c r="FI116" s="62">
        <f t="shared" si="77"/>
        <v>280.64530612889109</v>
      </c>
      <c r="FJ116" s="62">
        <f ca="1">AVERAGE(OFFSET($FI$3,0,0,'Données projet'!$E$16+1,1))-AVERAGE(OFFSET($H$3,0,0,'Données projet'!$E$16+1,1))</f>
        <v>280.9225643428145</v>
      </c>
      <c r="FK116" s="62">
        <f t="shared" si="102"/>
        <v>236.89414218053955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104.56879132950208</v>
      </c>
      <c r="FR116" s="23">
        <f>EXP(-LN(2)/25)*FR115+(1-EXP(-LN(2)/25))/(LN(2)/25)*Calculateur!FM116*Calculateur!FO116*VLOOKUP('Données projet'!$B$16,Paramètres!$A$1:$I$89,3,0)*0.475*44/12</f>
        <v>23.802591920549201</v>
      </c>
      <c r="FS116" s="23">
        <f>EXP(-LN(2)/2)*FS115+(1-EXP(-LN(2)/2))/(LN(2)/2)*FM116*FP116*VLOOKUP('Données projet'!$B$16,Paramètres!$A$1:$I$89,3,0)*0.475*44/12</f>
        <v>1.4470218152398666E-9</v>
      </c>
      <c r="FT116" s="24">
        <f t="shared" si="78"/>
        <v>128.37138325149832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-5.6843418860808015E-13</v>
      </c>
      <c r="GA116" s="18">
        <f>FZ116*VLOOKUP('Données projet'!$B$17,Paramètres!$A$1:$I$89,3,0)*VLOOKUP('Données projet'!$B$17,Paramètres!$A$1:$I$89,5,0)</f>
        <v>-2.5124791136477147E-13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325.67421864225201</v>
      </c>
      <c r="GF116" s="62">
        <f t="shared" si="104"/>
        <v>542.01920418736745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67.675882475375261</v>
      </c>
      <c r="GM116" s="23">
        <f>EXP(-LN(2)/25)*GM115+(1-EXP(-LN(2)/25))/(LN(2)/25)*Calculateur!GH116*Calculateur!GJ116*VLOOKUP('Données projet'!$B$17,Paramètres!$A$1:$I$89,3,0)*0.475*44/12</f>
        <v>27.896394536051094</v>
      </c>
      <c r="GN116" s="23">
        <f>EXP(-LN(2)/2)*GN115+(1-EXP(-LN(2)/2))/(LN(2)/2)*GH116*GK116*VLOOKUP('Données projet'!$B$17,Paramètres!$A$1:$I$89,3,0)*0.475*44/12</f>
        <v>1.4738351932486766E-9</v>
      </c>
      <c r="GO116" s="23">
        <f t="shared" si="81"/>
        <v>95.572277012900187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2.8086666666666664</v>
      </c>
      <c r="GU116" s="13">
        <f>IF('Données projet'!$A$270&gt;35,GU115+GT116-HC115,IF(A116&lt;'Données projet'!$A$270,$GR$205^A116,IF(A116='Données projet'!$A$270,'Données projet'!$B$270,GU115+GT116-HC115)))</f>
        <v>132.68933333333317</v>
      </c>
      <c r="GV116" s="18">
        <f>GU116*VLOOKUP('Données projet'!$B$18,Paramètres!$A$1:$I$89,3,0)*VLOOKUP('Données projet'!$B$18,Paramètres!$A$1:$I$89,5,0)</f>
        <v>134.54698399999984</v>
      </c>
      <c r="GW116" s="14">
        <f t="shared" si="105"/>
        <v>35.044922361259637</v>
      </c>
      <c r="GX116" s="22">
        <f t="shared" si="82"/>
        <v>295.37257024586023</v>
      </c>
      <c r="GY116" s="62">
        <f t="shared" si="83"/>
        <v>576.01787637474786</v>
      </c>
      <c r="GZ116" s="62">
        <f ca="1">AVERAGE(OFFSET($GY$3,0,0,'Données projet'!$E$18+1,1))-AVERAGE(OFFSET($H$3,0,0,'Données projet'!$E$18+1,1))</f>
        <v>220.89224520315713</v>
      </c>
      <c r="HA116" s="62">
        <f t="shared" si="106"/>
        <v>141.82763623159096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-2.8421709430404007E-14</v>
      </c>
      <c r="O117" s="14">
        <f>N117*VLOOKUP('Données projet'!$B$9,Paramètres!$A$1:$I$89,3,0)*VLOOKUP('Données projet'!$B$9,Paramètres!$A$1:$I$89,5,0)</f>
        <v>-2.7489477361086758E-14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84.959354125980269</v>
      </c>
      <c r="T117" s="62">
        <f t="shared" si="88"/>
        <v>89.658970210276806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4.5964457867980677</v>
      </c>
      <c r="AB117" s="23">
        <f>EXP(-LN(2)/2)*AB116+(1-EXP(-LN(2)/2))/(LN(2)/2)*V117*Y117*VLOOKUP('Données projet'!$B$9,Paramètres!$A$1:$I$89,3,0)*0.475*44/12</f>
        <v>7.7990786998406064E-7</v>
      </c>
      <c r="AC117" s="24">
        <f t="shared" si="57"/>
        <v>4.5964465667059375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12.027399999999998</v>
      </c>
      <c r="AI117" s="14">
        <f>IF('Données projet'!$A$62&gt;35,AI116+AH117-AQ116,IF(A117&lt;'Données projet'!$A$62,$AF$205^A117,IF(A117='Données projet'!$A$62,'Données projet'!$B$62,AI116+AH117-AQ116)))</f>
        <v>562.86159999999973</v>
      </c>
      <c r="AJ117" s="14">
        <f>AI117*VLOOKUP('Données projet'!$B$10,Paramètres!$A$1:$I$89,3,0)*VLOOKUP('Données projet'!$B$10,Paramètres!$A$1:$I$89,5,0)</f>
        <v>535.61909855999977</v>
      </c>
      <c r="AK117" s="14">
        <f t="shared" si="89"/>
        <v>118.787098510972</v>
      </c>
      <c r="AL117" s="22">
        <f t="shared" si="58"/>
        <v>1139.7574598986091</v>
      </c>
      <c r="AM117" s="62">
        <f t="shared" si="59"/>
        <v>1420.6228749333145</v>
      </c>
      <c r="AN117" s="62">
        <f ca="1">AVERAGE(OFFSET($AM$3,0,0,'Données projet'!$E$10+1,1))-AVERAGE(OFFSET($H$3,0,0,'Données projet'!$E$10+1,1))</f>
        <v>592.76231355549089</v>
      </c>
      <c r="AO117" s="62">
        <f t="shared" si="90"/>
        <v>200.66895551079014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29.520605367089704</v>
      </c>
      <c r="AV117" s="23">
        <f>EXP(-LN(2)/25)*AV116+(1-EXP(-LN(2)/25))/(LN(2)/25)*Calculateur!AQ117*Calculateur!AS117*VLOOKUP('Données projet'!$B$10,Paramètres!$A$1:$I$89,3,0)*0.475*44/12</f>
        <v>14.865889993411702</v>
      </c>
      <c r="AW117" s="23">
        <f>EXP(-LN(2)/2)*AW116+(1-EXP(-LN(2)/2))/(LN(2)/2)*AQ117*AT117*VLOOKUP('Données projet'!$B$10,Paramètres!$A$1:$I$89,3,0)*0.475*44/12</f>
        <v>9.580930195547323E-8</v>
      </c>
      <c r="AX117" s="23">
        <f t="shared" si="60"/>
        <v>44.386495456310712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4.5509999999999993</v>
      </c>
      <c r="BD117" s="13">
        <f>IF('Données projet'!$A$88&gt;35,BD116+BC117-BL116,IF(A117&lt;'Données projet'!$A$88,$BA$205^A117,IF(A117='Données projet'!$A$88,'Données projet'!$B$88,BD116+BC117-BL116)))</f>
        <v>217.01899999999986</v>
      </c>
      <c r="BE117" s="14">
        <f>BD117*VLOOKUP('Données projet'!$B$11,Paramètres!$A$1:$I$89,3,0)*VLOOKUP('Données projet'!$B$11,Paramètres!$A$1:$I$89,5,0)</f>
        <v>196.35879119999987</v>
      </c>
      <c r="BF117" s="14">
        <f t="shared" si="91"/>
        <v>48.943086524461954</v>
      </c>
      <c r="BG117" s="22">
        <f t="shared" si="61"/>
        <v>427.23410370343771</v>
      </c>
      <c r="BH117" s="62">
        <f t="shared" si="62"/>
        <v>708.09951873814316</v>
      </c>
      <c r="BI117" s="62">
        <f ca="1">AVERAGE(OFFSET($BH$3,0,0,'Données projet'!$E$11+1,1))-AVERAGE(OFFSET($H$3,0,0,'Données projet'!$E$11+1,1))</f>
        <v>316.71836722354374</v>
      </c>
      <c r="BJ117" s="62">
        <f t="shared" si="92"/>
        <v>164.34067012996618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22.530784745404794</v>
      </c>
      <c r="BQ117" s="23">
        <f>EXP(-LN(2)/25)*BQ116+(1-EXP(-LN(2)/25))/(LN(2)/25)*Calculateur!BL117*Calculateur!BN117*VLOOKUP('Données projet'!$B$11,Paramètres!$A$1:$I$89,3,0)*0.475*44/12</f>
        <v>4.7062007637995631</v>
      </c>
      <c r="BR117" s="23">
        <f>EXP(-LN(2)/2)*BR116+(1-EXP(-LN(2)/2))/(LN(2)/2)*BL117*BO117*VLOOKUP('Données projet'!$B$11,Paramètres!$A$1:$I$89,3,0)*0.475*44/12</f>
        <v>6.1897929595518844E-9</v>
      </c>
      <c r="BS117" s="24">
        <f t="shared" si="63"/>
        <v>27.236985515394153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2.9799999999999982</v>
      </c>
      <c r="BY117" s="13">
        <f>IF('Données projet'!$A$114&gt;35,BY116+BX117-CG116,IF(A117&lt;'Données projet'!$A$114,$BV$205^A117,IF(A117='Données projet'!$A$114,'Données projet'!$B$114,BY116+BX117-CG116)))</f>
        <v>176.78000000000003</v>
      </c>
      <c r="BZ117" s="14">
        <f>BY117*VLOOKUP('Données projet'!$B$12,Paramètres!$A$1:$I$89,3,0)*VLOOKUP('Données projet'!$B$12,Paramètres!$A$1:$I$89,5,0)</f>
        <v>201.31706400000004</v>
      </c>
      <c r="CA117" s="14">
        <f t="shared" si="93"/>
        <v>50.033507863397993</v>
      </c>
      <c r="CB117" s="22">
        <f t="shared" si="64"/>
        <v>437.76891266208486</v>
      </c>
      <c r="CC117" s="62">
        <f t="shared" si="65"/>
        <v>718.63432769679025</v>
      </c>
      <c r="CD117" s="62">
        <f ca="1">AVERAGE(OFFSET($CC$3,0,0,'Données projet'!$E$12+1,1))-AVERAGE(OFFSET($H$3,0,0,'Données projet'!$E$12+1,1))</f>
        <v>454.9779384236806</v>
      </c>
      <c r="CE117" s="62">
        <f t="shared" si="94"/>
        <v>379.32753348721906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27.169162652524719</v>
      </c>
      <c r="CL117" s="23">
        <f>EXP(-LN(2)/25)*CL116+(1-EXP(-LN(2)/25))/(LN(2)/25)*Calculateur!CG117*Calculateur!CI117*VLOOKUP('Données projet'!$B$12,Paramètres!$A$1:$I$89,3,0)*0.475*44/12</f>
        <v>16.920899304301148</v>
      </c>
      <c r="CM117" s="23">
        <f>EXP(-LN(2)/2)*CM116+(1-EXP(-LN(2)/2))/(LN(2)/2)*CG117*CJ117*VLOOKUP('Données projet'!$B$12,Paramètres!$A$1:$I$89,3,0)*0.475*44/12</f>
        <v>9.7001932687711654E-4</v>
      </c>
      <c r="CN117" s="24">
        <f t="shared" si="66"/>
        <v>44.091031976152742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252.10592533338991</v>
      </c>
      <c r="CZ117" s="62">
        <f t="shared" si="96"/>
        <v>272.71831345325313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33.21878090013243</v>
      </c>
      <c r="DH117" s="23">
        <f>EXP(-LN(2)/2)*DH116+(1-EXP(-LN(2)/2))/(LN(2)/2)*DB117*DE117*VLOOKUP('Données projet'!$B$13,Paramètres!$A$1:$I$89,3,0)*0.475*44/12</f>
        <v>1.2599190836022637E-7</v>
      </c>
      <c r="DI117" s="24">
        <f t="shared" si="69"/>
        <v>33.21878102612434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projet'!$B$14,Paramètres!$A$1:$I$89,3,0)*VLOOKUP('Données projet'!$B$14,Paramètres!$A$1:$I$89,5,0)</f>
        <v>0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423.0896575168394</v>
      </c>
      <c r="DU117" s="62">
        <f t="shared" si="98"/>
        <v>305.98537395014284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77.733553710201363</v>
      </c>
      <c r="EB117" s="23">
        <f>EXP(-LN(2)/25)*EB116+(1-EXP(-LN(2)/25))/(LN(2)/25)*Calculateur!DW117*Calculateur!DY117*VLOOKUP('Données projet'!$B$14,Paramètres!$A$1:$I$89,3,0)*0.475*44/12</f>
        <v>69.688345515777328</v>
      </c>
      <c r="EC117" s="23">
        <f>EXP(-LN(2)/2)*EC116+(1-EXP(-LN(2)/2))/(LN(2)/2)*DW117*DZ117*VLOOKUP('Données projet'!$B$14,Paramètres!$A$1:$I$89,3,0)*0.475*44/12</f>
        <v>2.4701097625321403E-8</v>
      </c>
      <c r="ED117" s="24">
        <f t="shared" si="72"/>
        <v>147.42189925067979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2.2737367544323206E-13</v>
      </c>
      <c r="EK117" s="18">
        <f>EJ117*VLOOKUP('Données projet'!$B$15,Paramètres!$A$1:$I$89,3,0)*VLOOKUP('Données projet'!$B$15,Paramètres!$A$1:$I$89,5,0)</f>
        <v>1.3596945791505279E-13</v>
      </c>
      <c r="EL117" s="14">
        <f t="shared" si="99"/>
        <v>1.9708830566360721E-12</v>
      </c>
      <c r="EM117" s="22">
        <f t="shared" si="73"/>
        <v>3.669434796176543E-12</v>
      </c>
      <c r="EN117" s="62">
        <f t="shared" si="74"/>
        <v>280.86541503470914</v>
      </c>
      <c r="EO117" s="62">
        <f ca="1">AVERAGE(OFFSET($EN$3,0,0,'Données projet'!$E$15+1,1))-AVERAGE(OFFSET($H$3,0,0,'Données projet'!$E$15+1,1))</f>
        <v>281.21543175875604</v>
      </c>
      <c r="EP117" s="62">
        <f t="shared" si="100"/>
        <v>366.68536296857428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32.772149070102735</v>
      </c>
      <c r="EW117" s="23">
        <f>EXP(-LN(2)/25)*EW116+(1-EXP(-LN(2)/25))/(LN(2)/25)*Calculateur!ER117*Calculateur!ET117*VLOOKUP('Données projet'!$B$15,Paramètres!$A$1:$I$89,3,0)*0.475*44/12</f>
        <v>7.2336745143115957</v>
      </c>
      <c r="EX117" s="23">
        <f>EXP(-LN(2)/2)*EX116+(1-EXP(-LN(2)/2))/(LN(2)/2)*ER117*EU117*VLOOKUP('Données projet'!$B$15,Paramètres!$A$1:$I$89,3,0)*0.475*44/12</f>
        <v>3.8870026016032314E-8</v>
      </c>
      <c r="EY117" s="24">
        <f t="shared" si="75"/>
        <v>40.005823623284357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2.2737367544323206E-13</v>
      </c>
      <c r="FF117" s="18">
        <f>FE117*VLOOKUP('Données projet'!$B$16,Paramètres!$A$1:$I$89,3,0)*VLOOKUP('Données projet'!$B$16,Paramètres!$A$1:$I$89,5,0)</f>
        <v>1.2710188457276673E-13</v>
      </c>
      <c r="FG117" s="14">
        <f t="shared" si="101"/>
        <v>1.856866851063998E-12</v>
      </c>
      <c r="FH117" s="22">
        <f t="shared" si="76"/>
        <v>3.4554122145673649E-12</v>
      </c>
      <c r="FI117" s="62">
        <f t="shared" si="77"/>
        <v>280.86541503470892</v>
      </c>
      <c r="FJ117" s="62">
        <f ca="1">AVERAGE(OFFSET($FI$3,0,0,'Données projet'!$E$16+1,1))-AVERAGE(OFFSET($H$3,0,0,'Données projet'!$E$16+1,1))</f>
        <v>280.9225643428145</v>
      </c>
      <c r="FK117" s="62">
        <f t="shared" si="102"/>
        <v>236.89414218053955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102.51826111219543</v>
      </c>
      <c r="FR117" s="23">
        <f>EXP(-LN(2)/25)*FR116+(1-EXP(-LN(2)/25))/(LN(2)/25)*Calculateur!FM117*Calculateur!FO117*VLOOKUP('Données projet'!$B$16,Paramètres!$A$1:$I$89,3,0)*0.475*44/12</f>
        <v>23.151708792757876</v>
      </c>
      <c r="FS117" s="23">
        <f>EXP(-LN(2)/2)*FS116+(1-EXP(-LN(2)/2))/(LN(2)/2)*FM117*FP117*VLOOKUP('Données projet'!$B$16,Paramètres!$A$1:$I$89,3,0)*0.475*44/12</f>
        <v>1.0231989380809771E-9</v>
      </c>
      <c r="FT117" s="24">
        <f t="shared" si="78"/>
        <v>125.6699699059765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-5.6843418860808015E-13</v>
      </c>
      <c r="GA117" s="18">
        <f>FZ117*VLOOKUP('Données projet'!$B$17,Paramètres!$A$1:$I$89,3,0)*VLOOKUP('Données projet'!$B$17,Paramètres!$A$1:$I$89,5,0)</f>
        <v>-2.5124791136477147E-13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325.67421864225201</v>
      </c>
      <c r="GF117" s="62">
        <f t="shared" si="104"/>
        <v>542.01920418736745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66.348799698245571</v>
      </c>
      <c r="GM117" s="23">
        <f>EXP(-LN(2)/25)*GM116+(1-EXP(-LN(2)/25))/(LN(2)/25)*Calculateur!GH117*Calculateur!GJ117*VLOOKUP('Données projet'!$B$17,Paramètres!$A$1:$I$89,3,0)*0.475*44/12</f>
        <v>27.133566160455146</v>
      </c>
      <c r="GN117" s="23">
        <f>EXP(-LN(2)/2)*GN116+(1-EXP(-LN(2)/2))/(LN(2)/2)*GH117*GK117*VLOOKUP('Données projet'!$B$17,Paramètres!$A$1:$I$89,3,0)*0.475*44/12</f>
        <v>1.0421588594975249E-9</v>
      </c>
      <c r="GO117" s="23">
        <f t="shared" si="81"/>
        <v>93.48236585974287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2.8086666666666664</v>
      </c>
      <c r="GU117" s="13">
        <f>IF('Données projet'!$A$270&gt;35,GU116+GT117-HC116,IF(A117&lt;'Données projet'!$A$270,$GR$205^A117,IF(A117='Données projet'!$A$270,'Données projet'!$B$270,GU116+GT117-HC116)))</f>
        <v>135.49799999999982</v>
      </c>
      <c r="GV117" s="18">
        <f>GU117*VLOOKUP('Données projet'!$B$18,Paramètres!$A$1:$I$89,3,0)*VLOOKUP('Données projet'!$B$18,Paramètres!$A$1:$I$89,5,0)</f>
        <v>137.39497199999983</v>
      </c>
      <c r="GW117" s="14">
        <f t="shared" si="105"/>
        <v>35.699579365285643</v>
      </c>
      <c r="GX117" s="22">
        <f t="shared" si="82"/>
        <v>301.47301029453882</v>
      </c>
      <c r="GY117" s="62">
        <f t="shared" si="83"/>
        <v>582.33842532924427</v>
      </c>
      <c r="GZ117" s="62">
        <f ca="1">AVERAGE(OFFSET($GY$3,0,0,'Données projet'!$E$18+1,1))-AVERAGE(OFFSET($H$3,0,0,'Données projet'!$E$18+1,1))</f>
        <v>220.89224520315713</v>
      </c>
      <c r="HA117" s="62">
        <f t="shared" si="106"/>
        <v>141.82763623159096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-2.8421709430404007E-14</v>
      </c>
      <c r="O118" s="14">
        <f>N118*VLOOKUP('Données projet'!$B$9,Paramètres!$A$1:$I$89,3,0)*VLOOKUP('Données projet'!$B$9,Paramètres!$A$1:$I$89,5,0)</f>
        <v>-2.7489477361086758E-14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84.959354125980269</v>
      </c>
      <c r="T118" s="62">
        <f t="shared" si="88"/>
        <v>89.658970210276806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4.4707557350414957</v>
      </c>
      <c r="AB118" s="23">
        <f>EXP(-LN(2)/2)*AB117+(1-EXP(-LN(2)/2))/(LN(2)/2)*V118*Y118*VLOOKUP('Données projet'!$B$9,Paramètres!$A$1:$I$89,3,0)*0.475*44/12</f>
        <v>5.5147814356648552E-7</v>
      </c>
      <c r="AC118" s="24">
        <f t="shared" si="57"/>
        <v>4.4707562865196389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12.027399999999998</v>
      </c>
      <c r="AI118" s="14">
        <f>IF('Données projet'!$A$62&gt;35,AI117+AH118-AQ117,IF(A118&lt;'Données projet'!$A$62,$AF$205^A118,IF(A118='Données projet'!$A$62,'Données projet'!$B$62,AI117+AH118-AQ117)))</f>
        <v>574.88899999999967</v>
      </c>
      <c r="AJ118" s="14">
        <f>AI118*VLOOKUP('Données projet'!$B$10,Paramètres!$A$1:$I$89,3,0)*VLOOKUP('Données projet'!$B$10,Paramètres!$A$1:$I$89,5,0)</f>
        <v>547.06437239999968</v>
      </c>
      <c r="AK118" s="14">
        <f t="shared" si="89"/>
        <v>121.02715477857701</v>
      </c>
      <c r="AL118" s="22">
        <f t="shared" si="58"/>
        <v>1163.5927431693542</v>
      </c>
      <c r="AM118" s="62">
        <f t="shared" si="59"/>
        <v>1444.6744487124515</v>
      </c>
      <c r="AN118" s="62">
        <f ca="1">AVERAGE(OFFSET($AM$3,0,0,'Données projet'!$E$10+1,1))-AVERAGE(OFFSET($H$3,0,0,'Données projet'!$E$10+1,1))</f>
        <v>592.76231355549089</v>
      </c>
      <c r="AO118" s="62">
        <f t="shared" si="90"/>
        <v>200.66895551079014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28.941724301632426</v>
      </c>
      <c r="AV118" s="23">
        <f>EXP(-LN(2)/25)*AV117+(1-EXP(-LN(2)/25))/(LN(2)/25)*Calculateur!AQ118*Calculateur!AS118*VLOOKUP('Données projet'!$B$10,Paramètres!$A$1:$I$89,3,0)*0.475*44/12</f>
        <v>14.459381449778681</v>
      </c>
      <c r="AW118" s="23">
        <f>EXP(-LN(2)/2)*AW117+(1-EXP(-LN(2)/2))/(LN(2)/2)*AQ118*AT118*VLOOKUP('Données projet'!$B$10,Paramètres!$A$1:$I$89,3,0)*0.475*44/12</f>
        <v>6.7747407113464667E-8</v>
      </c>
      <c r="AX118" s="23">
        <f t="shared" si="60"/>
        <v>43.401105819158516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221.57</v>
      </c>
      <c r="BB118" s="13">
        <f>VLOOKUP(A118,'Données projet'!$A$87:$I$107,9,0)</f>
        <v>4.5509999999999993</v>
      </c>
      <c r="BC118" s="13">
        <f t="array" ref="BC118">INDEX(BB:BB,MIN(IF(ISNUMBER(BB118:BB314),ROW(BB118:BB314),"")))</f>
        <v>4.5509999999999993</v>
      </c>
      <c r="BD118" s="13">
        <f>IF('Données projet'!$A$88&gt;35,BD117+BC118-BL117,IF(A118&lt;'Données projet'!$A$88,$BA$205^A118,IF(A118='Données projet'!$A$88,'Données projet'!$B$88,BD117+BC118-BL117)))</f>
        <v>221.56999999999985</v>
      </c>
      <c r="BE118" s="14">
        <f>BD118*VLOOKUP('Données projet'!$B$11,Paramètres!$A$1:$I$89,3,0)*VLOOKUP('Données projet'!$B$11,Paramètres!$A$1:$I$89,5,0)</f>
        <v>200.47653599999984</v>
      </c>
      <c r="BF118" s="14">
        <f t="shared" si="91"/>
        <v>49.848881404869019</v>
      </c>
      <c r="BG118" s="22">
        <f t="shared" si="61"/>
        <v>435.9834353134799</v>
      </c>
      <c r="BH118" s="62">
        <f t="shared" si="62"/>
        <v>717.06514085657716</v>
      </c>
      <c r="BI118" s="62">
        <f ca="1">AVERAGE(OFFSET($BH$3,0,0,'Données projet'!$E$11+1,1))-AVERAGE(OFFSET($H$3,0,0,'Données projet'!$E$11+1,1))</f>
        <v>316.71836722354374</v>
      </c>
      <c r="BJ118" s="62">
        <f t="shared" si="92"/>
        <v>164.34067012996618</v>
      </c>
      <c r="BK118" s="16">
        <f>IF(ISNA(VLOOKUP(A118,'Données projet'!$A$87:$I$107,3,0)),0,VLOOKUP(A118,'Données projet'!$A$87:$I$107,3,0))</f>
        <v>14</v>
      </c>
      <c r="BL118" s="16">
        <f>IF(ISNA(VLOOKUP(A118,'Données projet'!$A$87:$I$107,4,0)),0,VLOOKUP(A118,'Données projet'!$A$87:$I$107,4,0))</f>
        <v>22.81</v>
      </c>
      <c r="BM118" s="17">
        <f>IF(ISNA(VLOOKUP(A118,'Données projet'!$A$87:$I$107,5,0)),0%,VLOOKUP(A118,'Données projet'!$A$87:$I$107,5,0)*VLOOKUP('Données projet'!$B$11,Paramètres!$A$1:$I$89,7,0))</f>
        <v>0.34400000000000003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29.937411382816254</v>
      </c>
      <c r="BQ118" s="23">
        <f>EXP(-LN(2)/25)*BQ117+(1-EXP(-LN(2)/25))/(LN(2)/25)*Calculateur!BL118*Calculateur!BN118*VLOOKUP('Données projet'!$B$11,Paramètres!$A$1:$I$89,3,0)*0.475*44/12</f>
        <v>4.5775094564251217</v>
      </c>
      <c r="BR118" s="23">
        <f>EXP(-LN(2)/2)*BR117+(1-EXP(-LN(2)/2))/(LN(2)/2)*BL118*BO118*VLOOKUP('Données projet'!$B$11,Paramètres!$A$1:$I$89,3,0)*0.475*44/12</f>
        <v>4.3768445758398867E-9</v>
      </c>
      <c r="BS118" s="24">
        <f t="shared" si="63"/>
        <v>34.514920843618221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179.76</v>
      </c>
      <c r="BW118" s="13">
        <f>VLOOKUP(A118,'Données projet'!$A$113:$I$133,9,0)</f>
        <v>2.9799999999999982</v>
      </c>
      <c r="BX118" s="13">
        <f t="array" ref="BX118">INDEX(BW:BW,MIN(IF(ISNUMBER(BW118:BW314),ROW(BW118:BW314),"")))</f>
        <v>2.9799999999999982</v>
      </c>
      <c r="BY118" s="13">
        <f>IF('Données projet'!$A$114&gt;35,BY117+BX118-CG117,IF(A118&lt;'Données projet'!$A$114,$BV$205^A118,IF(A118='Données projet'!$A$114,'Données projet'!$B$114,BY117+BX118-CG117)))</f>
        <v>179.76000000000002</v>
      </c>
      <c r="BZ118" s="14">
        <f>BY118*VLOOKUP('Données projet'!$B$12,Paramètres!$A$1:$I$89,3,0)*VLOOKUP('Données projet'!$B$12,Paramètres!$A$1:$I$89,5,0)</f>
        <v>204.71068800000003</v>
      </c>
      <c r="CA118" s="14">
        <f t="shared" si="93"/>
        <v>50.778027501494748</v>
      </c>
      <c r="CB118" s="22">
        <f t="shared" si="64"/>
        <v>444.97617949843669</v>
      </c>
      <c r="CC118" s="62">
        <f t="shared" si="65"/>
        <v>726.05788504153395</v>
      </c>
      <c r="CD118" s="62">
        <f ca="1">AVERAGE(OFFSET($CC$3,0,0,'Données projet'!$E$12+1,1))-AVERAGE(OFFSET($H$3,0,0,'Données projet'!$E$12+1,1))</f>
        <v>454.9779384236806</v>
      </c>
      <c r="CE118" s="62">
        <f t="shared" si="94"/>
        <v>379.32753348721906</v>
      </c>
      <c r="CF118" s="16">
        <f>IF(ISNA(VLOOKUP(A118,'Données projet'!$A$113:$I$133,3,0)),0,VLOOKUP(A118,'Données projet'!$A$113:$I$133,3,0))</f>
        <v>7</v>
      </c>
      <c r="CG118" s="16">
        <f>IF(ISNA(VLOOKUP(A118,'Données projet'!$A$113:$I$133,4,0)),0,VLOOKUP(A118,'Données projet'!$A$113:$I$133,4,0))</f>
        <v>179.76</v>
      </c>
      <c r="CH118" s="17">
        <f>IF(ISNA(VLOOKUP(A118,'Données projet'!$A$113:$I$133,5,0)),0%,VLOOKUP(A118,'Données projet'!$A$113:$I$133,5,0)*VLOOKUP('Données projet'!$B$12,Paramètres!$A$1:$I$89,7,0))</f>
        <v>0.25800000000000001</v>
      </c>
      <c r="CI118" s="17">
        <f>IF(ISNA(VLOOKUP(A118,'Données projet'!$A$113:$I$133,6,0)),0%,VLOOKUP(A118,'Données projet'!$A$113:$I$133,6,0)*VLOOKUP('Données projet'!$B$12,Paramètres!$A$1:$I$89,7,0))</f>
        <v>8.6000000000000007E-2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85.022205249576928</v>
      </c>
      <c r="CL118" s="23">
        <f>EXP(-LN(2)/25)*CL117+(1-EXP(-LN(2)/25))/(LN(2)/25)*Calculateur!CG118*Calculateur!CI118*VLOOKUP('Données projet'!$B$12,Paramètres!$A$1:$I$89,3,0)*0.475*44/12</f>
        <v>35.843505126791648</v>
      </c>
      <c r="CM118" s="23">
        <f>EXP(-LN(2)/2)*CM117+(1-EXP(-LN(2)/2))/(LN(2)/2)*CG118*CJ118*VLOOKUP('Données projet'!$B$12,Paramètres!$A$1:$I$89,3,0)*0.475*44/12</f>
        <v>6.8590724391681939E-4</v>
      </c>
      <c r="CN118" s="24">
        <f t="shared" si="66"/>
        <v>120.8663962836125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252.10592533338991</v>
      </c>
      <c r="CZ118" s="62">
        <f t="shared" si="96"/>
        <v>272.71831345325313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32.310411589518544</v>
      </c>
      <c r="DH118" s="23">
        <f>EXP(-LN(2)/2)*DH117+(1-EXP(-LN(2)/2))/(LN(2)/2)*DB118*DE118*VLOOKUP('Données projet'!$B$13,Paramètres!$A$1:$I$89,3,0)*0.475*44/12</f>
        <v>8.908973277615014E-8</v>
      </c>
      <c r="DI118" s="24">
        <f t="shared" si="69"/>
        <v>32.310411678608276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projet'!$B$14,Paramètres!$A$1:$I$89,3,0)*VLOOKUP('Données projet'!$B$14,Paramètres!$A$1:$I$89,5,0)</f>
        <v>0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423.0896575168394</v>
      </c>
      <c r="DU118" s="62">
        <f t="shared" si="98"/>
        <v>305.98537395014284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76.209246134730449</v>
      </c>
      <c r="EB118" s="23">
        <f>EXP(-LN(2)/25)*EB117+(1-EXP(-LN(2)/25))/(LN(2)/25)*Calculateur!DW118*Calculateur!DY118*VLOOKUP('Données projet'!$B$14,Paramètres!$A$1:$I$89,3,0)*0.475*44/12</f>
        <v>67.782714042897581</v>
      </c>
      <c r="EC118" s="23">
        <f>EXP(-LN(2)/2)*EC117+(1-EXP(-LN(2)/2))/(LN(2)/2)*DW118*DZ118*VLOOKUP('Données projet'!$B$14,Paramètres!$A$1:$I$89,3,0)*0.475*44/12</f>
        <v>1.746631363361569E-8</v>
      </c>
      <c r="ED118" s="24">
        <f t="shared" si="72"/>
        <v>143.99196019509432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2.2737367544323206E-13</v>
      </c>
      <c r="EK118" s="18">
        <f>EJ118*VLOOKUP('Données projet'!$B$15,Paramètres!$A$1:$I$89,3,0)*VLOOKUP('Données projet'!$B$15,Paramètres!$A$1:$I$89,5,0)</f>
        <v>1.3596945791505279E-13</v>
      </c>
      <c r="EL118" s="14">
        <f t="shared" si="99"/>
        <v>1.9708830566360721E-12</v>
      </c>
      <c r="EM118" s="22">
        <f t="shared" si="73"/>
        <v>3.669434796176543E-12</v>
      </c>
      <c r="EN118" s="62">
        <f t="shared" si="74"/>
        <v>281.08170554310095</v>
      </c>
      <c r="EO118" s="62">
        <f ca="1">AVERAGE(OFFSET($EN$3,0,0,'Données projet'!$E$15+1,1))-AVERAGE(OFFSET($H$3,0,0,'Données projet'!$E$15+1,1))</f>
        <v>281.21543175875604</v>
      </c>
      <c r="EP118" s="62">
        <f t="shared" si="100"/>
        <v>366.68536296857428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32.129507215875201</v>
      </c>
      <c r="EW118" s="23">
        <f>EXP(-LN(2)/25)*EW117+(1-EXP(-LN(2)/25))/(LN(2)/25)*Calculateur!ER118*Calculateur!ET118*VLOOKUP('Données projet'!$B$15,Paramètres!$A$1:$I$89,3,0)*0.475*44/12</f>
        <v>7.0358693043153355</v>
      </c>
      <c r="EX118" s="23">
        <f>EXP(-LN(2)/2)*EX117+(1-EXP(-LN(2)/2))/(LN(2)/2)*ER118*EU118*VLOOKUP('Données projet'!$B$15,Paramètres!$A$1:$I$89,3,0)*0.475*44/12</f>
        <v>2.7485258980833971E-8</v>
      </c>
      <c r="EY118" s="24">
        <f t="shared" si="75"/>
        <v>39.165376547675791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2.2737367544323206E-13</v>
      </c>
      <c r="FF118" s="18">
        <f>FE118*VLOOKUP('Données projet'!$B$16,Paramètres!$A$1:$I$89,3,0)*VLOOKUP('Données projet'!$B$16,Paramètres!$A$1:$I$89,5,0)</f>
        <v>1.2710188457276673E-13</v>
      </c>
      <c r="FG118" s="14">
        <f t="shared" si="101"/>
        <v>1.856866851063998E-12</v>
      </c>
      <c r="FH118" s="22">
        <f t="shared" si="76"/>
        <v>3.4554122145673649E-12</v>
      </c>
      <c r="FI118" s="62">
        <f t="shared" si="77"/>
        <v>281.08170554310072</v>
      </c>
      <c r="FJ118" s="62">
        <f ca="1">AVERAGE(OFFSET($FI$3,0,0,'Données projet'!$E$16+1,1))-AVERAGE(OFFSET($H$3,0,0,'Données projet'!$E$16+1,1))</f>
        <v>280.9225643428145</v>
      </c>
      <c r="FK118" s="62">
        <f t="shared" si="102"/>
        <v>236.89414218053955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100.50794054175023</v>
      </c>
      <c r="FR118" s="23">
        <f>EXP(-LN(2)/25)*FR117+(1-EXP(-LN(2)/25))/(LN(2)/25)*Calculateur!FM118*Calculateur!FO118*VLOOKUP('Données projet'!$B$16,Paramètres!$A$1:$I$89,3,0)*0.475*44/12</f>
        <v>22.518624098324462</v>
      </c>
      <c r="FS118" s="23">
        <f>EXP(-LN(2)/2)*FS117+(1-EXP(-LN(2)/2))/(LN(2)/2)*FM118*FP118*VLOOKUP('Données projet'!$B$16,Paramètres!$A$1:$I$89,3,0)*0.475*44/12</f>
        <v>7.2351090761993331E-10</v>
      </c>
      <c r="FT118" s="24">
        <f t="shared" si="78"/>
        <v>123.02656464079821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-5.6843418860808015E-13</v>
      </c>
      <c r="GA118" s="18">
        <f>FZ118*VLOOKUP('Données projet'!$B$17,Paramètres!$A$1:$I$89,3,0)*VLOOKUP('Données projet'!$B$17,Paramètres!$A$1:$I$89,5,0)</f>
        <v>-2.5124791136477147E-13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325.67421864225201</v>
      </c>
      <c r="GF118" s="62">
        <f t="shared" si="104"/>
        <v>542.01920418736745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65.047740204934826</v>
      </c>
      <c r="GM118" s="23">
        <f>EXP(-LN(2)/25)*GM117+(1-EXP(-LN(2)/25))/(LN(2)/25)*Calculateur!GH118*Calculateur!GJ118*VLOOKUP('Données projet'!$B$17,Paramètres!$A$1:$I$89,3,0)*0.475*44/12</f>
        <v>26.39159736690527</v>
      </c>
      <c r="GN118" s="23">
        <f>EXP(-LN(2)/2)*GN117+(1-EXP(-LN(2)/2))/(LN(2)/2)*GH118*GK118*VLOOKUP('Données projet'!$B$17,Paramètres!$A$1:$I$89,3,0)*0.475*44/12</f>
        <v>7.3691759662433831E-10</v>
      </c>
      <c r="GO118" s="23">
        <f t="shared" si="81"/>
        <v>91.439337572577017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2.8086666666666664</v>
      </c>
      <c r="GU118" s="13">
        <f>IF('Données projet'!$A$270&gt;35,GU117+GT118-HC117,IF(A118&lt;'Données projet'!$A$270,$GR$205^A118,IF(A118='Données projet'!$A$270,'Données projet'!$B$270,GU117+GT118-HC117)))</f>
        <v>138.30666666666647</v>
      </c>
      <c r="GV118" s="18">
        <f>GU118*VLOOKUP('Données projet'!$B$18,Paramètres!$A$1:$I$89,3,0)*VLOOKUP('Données projet'!$B$18,Paramètres!$A$1:$I$89,5,0)</f>
        <v>140.24295999999981</v>
      </c>
      <c r="GW118" s="14">
        <f t="shared" si="105"/>
        <v>36.352658601239412</v>
      </c>
      <c r="GX118" s="22">
        <f t="shared" si="82"/>
        <v>307.5707023971583</v>
      </c>
      <c r="GY118" s="62">
        <f t="shared" si="83"/>
        <v>588.65240794025556</v>
      </c>
      <c r="GZ118" s="62">
        <f ca="1">AVERAGE(OFFSET($GY$3,0,0,'Données projet'!$E$18+1,1))-AVERAGE(OFFSET($H$3,0,0,'Données projet'!$E$18+1,1))</f>
        <v>220.89224520315713</v>
      </c>
      <c r="HA118" s="62">
        <f t="shared" si="106"/>
        <v>141.82763623159096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-2.8421709430404007E-14</v>
      </c>
      <c r="O119" s="14">
        <f>N119*VLOOKUP('Données projet'!$B$9,Paramètres!$A$1:$I$89,3,0)*VLOOKUP('Données projet'!$B$9,Paramètres!$A$1:$I$89,5,0)</f>
        <v>-2.7489477361086758E-14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84.959354125980269</v>
      </c>
      <c r="T119" s="62">
        <f t="shared" si="88"/>
        <v>89.658970210276806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4.3485026843599597</v>
      </c>
      <c r="AB119" s="23">
        <f>EXP(-LN(2)/2)*AB118+(1-EXP(-LN(2)/2))/(LN(2)/2)*V119*Y119*VLOOKUP('Données projet'!$B$9,Paramètres!$A$1:$I$89,3,0)*0.475*44/12</f>
        <v>3.8995393499203032E-7</v>
      </c>
      <c r="AC119" s="24">
        <f t="shared" si="57"/>
        <v>4.3485030743138946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12.027399999999998</v>
      </c>
      <c r="AI119" s="14">
        <f>IF('Données projet'!$A$62&gt;35,AI118+AH119-AQ118,IF(A119&lt;'Données projet'!$A$62,$AF$205^A119,IF(A119='Données projet'!$A$62,'Données projet'!$B$62,AI118+AH119-AQ118)))</f>
        <v>586.91639999999961</v>
      </c>
      <c r="AJ119" s="14">
        <f>AI119*VLOOKUP('Données projet'!$B$10,Paramètres!$A$1:$I$89,3,0)*VLOOKUP('Données projet'!$B$10,Paramètres!$A$1:$I$89,5,0)</f>
        <v>558.50964623999971</v>
      </c>
      <c r="AK119" s="14">
        <f t="shared" si="89"/>
        <v>123.26176220115487</v>
      </c>
      <c r="AL119" s="22">
        <f t="shared" si="58"/>
        <v>1187.4185363683443</v>
      </c>
      <c r="AM119" s="62">
        <f t="shared" si="59"/>
        <v>1468.7127802630657</v>
      </c>
      <c r="AN119" s="62">
        <f ca="1">AVERAGE(OFFSET($AM$3,0,0,'Données projet'!$E$10+1,1))-AVERAGE(OFFSET($H$3,0,0,'Données projet'!$E$10+1,1))</f>
        <v>592.76231355549089</v>
      </c>
      <c r="AO119" s="62">
        <f t="shared" si="90"/>
        <v>200.66895551079014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28.374194740786177</v>
      </c>
      <c r="AV119" s="23">
        <f>EXP(-LN(2)/25)*AV118+(1-EXP(-LN(2)/25))/(LN(2)/25)*Calculateur!AQ119*Calculateur!AS119*VLOOKUP('Données projet'!$B$10,Paramètres!$A$1:$I$89,3,0)*0.475*44/12</f>
        <v>14.06398890364866</v>
      </c>
      <c r="AW119" s="23">
        <f>EXP(-LN(2)/2)*AW118+(1-EXP(-LN(2)/2))/(LN(2)/2)*AQ119*AT119*VLOOKUP('Données projet'!$B$10,Paramètres!$A$1:$I$89,3,0)*0.475*44/12</f>
        <v>4.7904650977736615E-8</v>
      </c>
      <c r="AX119" s="23">
        <f t="shared" si="60"/>
        <v>42.438183692339486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4.5160000000000027</v>
      </c>
      <c r="BD119" s="13">
        <f>IF('Données projet'!$A$88&gt;35,BD118+BC119-BL118,IF(A119&lt;'Données projet'!$A$88,$BA$205^A119,IF(A119='Données projet'!$A$88,'Données projet'!$B$88,BD118+BC119-BL118)))</f>
        <v>203.27599999999984</v>
      </c>
      <c r="BE119" s="14">
        <f>BD119*VLOOKUP('Données projet'!$B$11,Paramètres!$A$1:$I$89,3,0)*VLOOKUP('Données projet'!$B$11,Paramètres!$A$1:$I$89,5,0)</f>
        <v>183.92412479999984</v>
      </c>
      <c r="BF119" s="14">
        <f t="shared" si="91"/>
        <v>46.194132800858092</v>
      </c>
      <c r="BG119" s="22">
        <f t="shared" si="61"/>
        <v>400.78929865482752</v>
      </c>
      <c r="BH119" s="62">
        <f t="shared" si="62"/>
        <v>682.08354254954907</v>
      </c>
      <c r="BI119" s="62">
        <f ca="1">AVERAGE(OFFSET($BH$3,0,0,'Données projet'!$E$11+1,1))-AVERAGE(OFFSET($H$3,0,0,'Données projet'!$E$11+1,1))</f>
        <v>316.71836722354374</v>
      </c>
      <c r="BJ119" s="62">
        <f t="shared" si="92"/>
        <v>164.34067012996618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29.350357005617145</v>
      </c>
      <c r="BQ119" s="23">
        <f>EXP(-LN(2)/25)*BQ118+(1-EXP(-LN(2)/25))/(LN(2)/25)*Calculateur!BL119*Calculateur!BN119*VLOOKUP('Données projet'!$B$11,Paramètres!$A$1:$I$89,3,0)*0.475*44/12</f>
        <v>4.4523372196184168</v>
      </c>
      <c r="BR119" s="23">
        <f>EXP(-LN(2)/2)*BR118+(1-EXP(-LN(2)/2))/(LN(2)/2)*BL119*BO119*VLOOKUP('Données projet'!$B$11,Paramètres!$A$1:$I$89,3,0)*0.475*44/12</f>
        <v>3.0948964797759422E-9</v>
      </c>
      <c r="BS119" s="24">
        <f t="shared" si="63"/>
        <v>33.802694228330459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2.8421709430404007E-14</v>
      </c>
      <c r="BZ119" s="14">
        <f>BY119*VLOOKUP('Données projet'!$B$12,Paramètres!$A$1:$I$89,3,0)*VLOOKUP('Données projet'!$B$12,Paramètres!$A$1:$I$89,5,0)</f>
        <v>3.2366642699344085E-14</v>
      </c>
      <c r="CA119" s="14">
        <f t="shared" si="93"/>
        <v>5.5446527398450045E-13</v>
      </c>
      <c r="CB119" s="22">
        <f t="shared" si="64"/>
        <v>1.0220655882243624E-12</v>
      </c>
      <c r="CC119" s="62">
        <f t="shared" si="65"/>
        <v>281.29424389472251</v>
      </c>
      <c r="CD119" s="62">
        <f ca="1">AVERAGE(OFFSET($CC$3,0,0,'Données projet'!$E$12+1,1))-AVERAGE(OFFSET($H$3,0,0,'Données projet'!$E$12+1,1))</f>
        <v>454.9779384236806</v>
      </c>
      <c r="CE119" s="62">
        <f t="shared" si="94"/>
        <v>379.32753348721906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83.354971663057327</v>
      </c>
      <c r="CL119" s="23">
        <f>EXP(-LN(2)/25)*CL118+(1-EXP(-LN(2)/25))/(LN(2)/25)*Calculateur!CG119*Calculateur!CI119*VLOOKUP('Données projet'!$B$12,Paramètres!$A$1:$I$89,3,0)*0.475*44/12</f>
        <v>34.86336259417152</v>
      </c>
      <c r="CM119" s="23">
        <f>EXP(-LN(2)/2)*CM118+(1-EXP(-LN(2)/2))/(LN(2)/2)*CG119*CJ119*VLOOKUP('Données projet'!$B$12,Paramètres!$A$1:$I$89,3,0)*0.475*44/12</f>
        <v>4.8500966343855833E-4</v>
      </c>
      <c r="CN119" s="24">
        <f t="shared" si="66"/>
        <v>118.21881926689228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252.10592533338991</v>
      </c>
      <c r="CZ119" s="62">
        <f t="shared" si="96"/>
        <v>272.71831345325313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31.426881685472459</v>
      </c>
      <c r="DH119" s="23">
        <f>EXP(-LN(2)/2)*DH118+(1-EXP(-LN(2)/2))/(LN(2)/2)*DB119*DE119*VLOOKUP('Données projet'!$B$13,Paramètres!$A$1:$I$89,3,0)*0.475*44/12</f>
        <v>6.2995954180113187E-8</v>
      </c>
      <c r="DI119" s="24">
        <f t="shared" si="69"/>
        <v>31.426881748468414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423.0896575168394</v>
      </c>
      <c r="DU119" s="62">
        <f t="shared" si="98"/>
        <v>305.98537395014284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74.714829301078709</v>
      </c>
      <c r="EB119" s="23">
        <f>EXP(-LN(2)/25)*EB118+(1-EXP(-LN(2)/25))/(LN(2)/25)*Calculateur!DW119*Calculateur!DY119*VLOOKUP('Données projet'!$B$14,Paramètres!$A$1:$I$89,3,0)*0.475*44/12</f>
        <v>65.929192162856538</v>
      </c>
      <c r="EC119" s="23">
        <f>EXP(-LN(2)/2)*EC118+(1-EXP(-LN(2)/2))/(LN(2)/2)*DW119*DZ119*VLOOKUP('Données projet'!$B$14,Paramètres!$A$1:$I$89,3,0)*0.475*44/12</f>
        <v>1.2350548812660702E-8</v>
      </c>
      <c r="ED119" s="24">
        <f t="shared" si="72"/>
        <v>140.64402147628579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2.2737367544323206E-13</v>
      </c>
      <c r="EK119" s="18">
        <f>EJ119*VLOOKUP('Données projet'!$B$15,Paramètres!$A$1:$I$89,3,0)*VLOOKUP('Données projet'!$B$15,Paramètres!$A$1:$I$89,5,0)</f>
        <v>1.3596945791505279E-13</v>
      </c>
      <c r="EL119" s="14">
        <f t="shared" si="99"/>
        <v>1.9708830566360721E-12</v>
      </c>
      <c r="EM119" s="22">
        <f t="shared" si="73"/>
        <v>3.669434796176543E-12</v>
      </c>
      <c r="EN119" s="62">
        <f t="shared" si="74"/>
        <v>281.29424389472518</v>
      </c>
      <c r="EO119" s="62">
        <f ca="1">AVERAGE(OFFSET($EN$3,0,0,'Données projet'!$E$15+1,1))-AVERAGE(OFFSET($H$3,0,0,'Données projet'!$E$15+1,1))</f>
        <v>281.21543175875604</v>
      </c>
      <c r="EP119" s="62">
        <f t="shared" si="100"/>
        <v>366.68536296857428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31.499467176436241</v>
      </c>
      <c r="EW119" s="23">
        <f>EXP(-LN(2)/25)*EW118+(1-EXP(-LN(2)/25))/(LN(2)/25)*Calculateur!ER119*Calculateur!ET119*VLOOKUP('Données projet'!$B$15,Paramètres!$A$1:$I$89,3,0)*0.475*44/12</f>
        <v>6.8434730881885466</v>
      </c>
      <c r="EX119" s="23">
        <f>EXP(-LN(2)/2)*EX118+(1-EXP(-LN(2)/2))/(LN(2)/2)*ER119*EU119*VLOOKUP('Données projet'!$B$15,Paramètres!$A$1:$I$89,3,0)*0.475*44/12</f>
        <v>1.9435013008016157E-8</v>
      </c>
      <c r="EY119" s="24">
        <f t="shared" si="75"/>
        <v>38.3429402840598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2.2737367544323206E-13</v>
      </c>
      <c r="FF119" s="18">
        <f>FE119*VLOOKUP('Données projet'!$B$16,Paramètres!$A$1:$I$89,3,0)*VLOOKUP('Données projet'!$B$16,Paramètres!$A$1:$I$89,5,0)</f>
        <v>1.2710188457276673E-13</v>
      </c>
      <c r="FG119" s="14">
        <f t="shared" si="101"/>
        <v>1.856866851063998E-12</v>
      </c>
      <c r="FH119" s="22">
        <f t="shared" si="76"/>
        <v>3.4554122145673649E-12</v>
      </c>
      <c r="FI119" s="62">
        <f t="shared" si="77"/>
        <v>281.29424389472496</v>
      </c>
      <c r="FJ119" s="62">
        <f ca="1">AVERAGE(OFFSET($FI$3,0,0,'Données projet'!$E$16+1,1))-AVERAGE(OFFSET($H$3,0,0,'Données projet'!$E$16+1,1))</f>
        <v>280.9225643428145</v>
      </c>
      <c r="FK119" s="62">
        <f t="shared" si="102"/>
        <v>236.89414218053955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98.537041131516986</v>
      </c>
      <c r="FR119" s="23">
        <f>EXP(-LN(2)/25)*FR118+(1-EXP(-LN(2)/25))/(LN(2)/25)*Calculateur!FM119*Calculateur!FO119*VLOOKUP('Données projet'!$B$16,Paramètres!$A$1:$I$89,3,0)*0.475*44/12</f>
        <v>21.902851138152805</v>
      </c>
      <c r="FS119" s="23">
        <f>EXP(-LN(2)/2)*FS118+(1-EXP(-LN(2)/2))/(LN(2)/2)*FM119*FP119*VLOOKUP('Données projet'!$B$16,Paramètres!$A$1:$I$89,3,0)*0.475*44/12</f>
        <v>5.1159946904048857E-10</v>
      </c>
      <c r="FT119" s="24">
        <f t="shared" si="78"/>
        <v>120.4398922701814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-5.6843418860808015E-13</v>
      </c>
      <c r="GA119" s="18">
        <f>FZ119*VLOOKUP('Données projet'!$B$17,Paramètres!$A$1:$I$89,3,0)*VLOOKUP('Données projet'!$B$17,Paramètres!$A$1:$I$89,5,0)</f>
        <v>-2.5124791136477147E-13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325.67421864225201</v>
      </c>
      <c r="GF119" s="62">
        <f t="shared" si="104"/>
        <v>542.01920418736745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63.772193694719981</v>
      </c>
      <c r="GM119" s="23">
        <f>EXP(-LN(2)/25)*GM118+(1-EXP(-LN(2)/25))/(LN(2)/25)*Calculateur!GH119*Calculateur!GJ119*VLOOKUP('Données projet'!$B$17,Paramètres!$A$1:$I$89,3,0)*0.475*44/12</f>
        <v>25.669917749033459</v>
      </c>
      <c r="GN119" s="23">
        <f>EXP(-LN(2)/2)*GN118+(1-EXP(-LN(2)/2))/(LN(2)/2)*GH119*GK119*VLOOKUP('Données projet'!$B$17,Paramètres!$A$1:$I$89,3,0)*0.475*44/12</f>
        <v>5.2107942974876247E-10</v>
      </c>
      <c r="GO119" s="23">
        <f t="shared" si="81"/>
        <v>89.442111444274531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2.8086666666666664</v>
      </c>
      <c r="GU119" s="13">
        <f>IF('Données projet'!$A$270&gt;35,GU118+GT119-HC118,IF(A119&lt;'Données projet'!$A$270,$GR$205^A119,IF(A119='Données projet'!$A$270,'Données projet'!$B$270,GU118+GT119-HC118)))</f>
        <v>141.11533333333313</v>
      </c>
      <c r="GV119" s="18">
        <f>GU119*VLOOKUP('Données projet'!$B$18,Paramètres!$A$1:$I$89,3,0)*VLOOKUP('Données projet'!$B$18,Paramètres!$A$1:$I$89,5,0)</f>
        <v>143.0909479999998</v>
      </c>
      <c r="GW119" s="14">
        <f t="shared" si="105"/>
        <v>37.004195801928859</v>
      </c>
      <c r="GX119" s="22">
        <f t="shared" si="82"/>
        <v>313.6657087883591</v>
      </c>
      <c r="GY119" s="62">
        <f t="shared" si="83"/>
        <v>594.95995268308059</v>
      </c>
      <c r="GZ119" s="62">
        <f ca="1">AVERAGE(OFFSET($GY$3,0,0,'Données projet'!$E$18+1,1))-AVERAGE(OFFSET($H$3,0,0,'Données projet'!$E$18+1,1))</f>
        <v>220.89224520315713</v>
      </c>
      <c r="HA119" s="62">
        <f t="shared" si="106"/>
        <v>141.82763623159096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-2.8421709430404007E-14</v>
      </c>
      <c r="O120" s="14">
        <f>N120*VLOOKUP('Données projet'!$B$9,Paramètres!$A$1:$I$89,3,0)*VLOOKUP('Données projet'!$B$9,Paramètres!$A$1:$I$89,5,0)</f>
        <v>-2.7489477361086758E-14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84.959354125980269</v>
      </c>
      <c r="T120" s="62">
        <f t="shared" si="88"/>
        <v>89.658970210276806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4.2295926497783194</v>
      </c>
      <c r="AB120" s="23">
        <f>EXP(-LN(2)/2)*AB119+(1-EXP(-LN(2)/2))/(LN(2)/2)*V120*Y120*VLOOKUP('Données projet'!$B$9,Paramètres!$A$1:$I$89,3,0)*0.475*44/12</f>
        <v>2.7573907178324276E-7</v>
      </c>
      <c r="AC120" s="24">
        <f t="shared" si="57"/>
        <v>4.229592925517391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12.027399999999998</v>
      </c>
      <c r="AI120" s="14">
        <f>IF('Données projet'!$A$62&gt;35,AI119+AH120-AQ119,IF(A120&lt;'Données projet'!$A$62,$AF$205^A120,IF(A120='Données projet'!$A$62,'Données projet'!$B$62,AI119+AH120-AQ119)))</f>
        <v>598.94379999999956</v>
      </c>
      <c r="AJ120" s="14">
        <f>AI120*VLOOKUP('Données projet'!$B$10,Paramètres!$A$1:$I$89,3,0)*VLOOKUP('Données projet'!$B$10,Paramètres!$A$1:$I$89,5,0)</f>
        <v>569.95492007999962</v>
      </c>
      <c r="AK120" s="14">
        <f t="shared" si="89"/>
        <v>125.49104530563932</v>
      </c>
      <c r="AL120" s="22">
        <f t="shared" si="58"/>
        <v>1211.2350563799876</v>
      </c>
      <c r="AM120" s="62">
        <f t="shared" si="59"/>
        <v>1492.7381515610973</v>
      </c>
      <c r="AN120" s="62">
        <f ca="1">AVERAGE(OFFSET($AM$3,0,0,'Données projet'!$E$10+1,1))-AVERAGE(OFFSET($H$3,0,0,'Données projet'!$E$10+1,1))</f>
        <v>592.76231355549089</v>
      </c>
      <c r="AO120" s="62">
        <f t="shared" si="90"/>
        <v>200.66895551079014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27.81779408846927</v>
      </c>
      <c r="AV120" s="23">
        <f>EXP(-LN(2)/25)*AV119+(1-EXP(-LN(2)/25))/(LN(2)/25)*Calculateur!AQ120*Calculateur!AS120*VLOOKUP('Données projet'!$B$10,Paramètres!$A$1:$I$89,3,0)*0.475*44/12</f>
        <v>13.679408387485354</v>
      </c>
      <c r="AW120" s="23">
        <f>EXP(-LN(2)/2)*AW119+(1-EXP(-LN(2)/2))/(LN(2)/2)*AQ120*AT120*VLOOKUP('Données projet'!$B$10,Paramètres!$A$1:$I$89,3,0)*0.475*44/12</f>
        <v>3.3873703556732334E-8</v>
      </c>
      <c r="AX120" s="23">
        <f t="shared" si="60"/>
        <v>41.497202509828327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4.5160000000000027</v>
      </c>
      <c r="BD120" s="13">
        <f>IF('Données projet'!$A$88&gt;35,BD119+BC120-BL119,IF(A120&lt;'Données projet'!$A$88,$BA$205^A120,IF(A120='Données projet'!$A$88,'Données projet'!$B$88,BD119+BC120-BL119)))</f>
        <v>207.79199999999983</v>
      </c>
      <c r="BE120" s="14">
        <f>BD120*VLOOKUP('Données projet'!$B$11,Paramètres!$A$1:$I$89,3,0)*VLOOKUP('Données projet'!$B$11,Paramètres!$A$1:$I$89,5,0)</f>
        <v>188.01020159999985</v>
      </c>
      <c r="BF120" s="14">
        <f t="shared" si="91"/>
        <v>47.099767493934785</v>
      </c>
      <c r="BG120" s="22">
        <f t="shared" si="61"/>
        <v>409.48319617193619</v>
      </c>
      <c r="BH120" s="62">
        <f t="shared" si="62"/>
        <v>690.98629135304577</v>
      </c>
      <c r="BI120" s="62">
        <f ca="1">AVERAGE(OFFSET($BH$3,0,0,'Données projet'!$E$11+1,1))-AVERAGE(OFFSET($H$3,0,0,'Données projet'!$E$11+1,1))</f>
        <v>316.71836722354374</v>
      </c>
      <c r="BJ120" s="62">
        <f t="shared" si="92"/>
        <v>164.34067012996618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28.774814406687096</v>
      </c>
      <c r="BQ120" s="23">
        <f>EXP(-LN(2)/25)*BQ119+(1-EXP(-LN(2)/25))/(LN(2)/25)*Calculateur!BL120*Calculateur!BN120*VLOOKUP('Données projet'!$B$11,Paramètres!$A$1:$I$89,3,0)*0.475*44/12</f>
        <v>4.3305878242097124</v>
      </c>
      <c r="BR120" s="23">
        <f>EXP(-LN(2)/2)*BR119+(1-EXP(-LN(2)/2))/(LN(2)/2)*BL120*BO120*VLOOKUP('Données projet'!$B$11,Paramètres!$A$1:$I$89,3,0)*0.475*44/12</f>
        <v>2.1884222879199433E-9</v>
      </c>
      <c r="BS120" s="24">
        <f t="shared" si="63"/>
        <v>33.105402233085229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2.8421709430404007E-14</v>
      </c>
      <c r="BZ120" s="14">
        <f>BY120*VLOOKUP('Données projet'!$B$12,Paramètres!$A$1:$I$89,3,0)*VLOOKUP('Données projet'!$B$12,Paramètres!$A$1:$I$89,5,0)</f>
        <v>3.2366642699344085E-14</v>
      </c>
      <c r="CA120" s="14">
        <f t="shared" si="93"/>
        <v>5.5446527398450045E-13</v>
      </c>
      <c r="CB120" s="22">
        <f t="shared" si="64"/>
        <v>1.0220655882243624E-12</v>
      </c>
      <c r="CC120" s="62">
        <f t="shared" si="65"/>
        <v>281.50309518111067</v>
      </c>
      <c r="CD120" s="62">
        <f ca="1">AVERAGE(OFFSET($CC$3,0,0,'Données projet'!$E$12+1,1))-AVERAGE(OFFSET($H$3,0,0,'Données projet'!$E$12+1,1))</f>
        <v>454.9779384236806</v>
      </c>
      <c r="CE120" s="62">
        <f t="shared" si="94"/>
        <v>379.32753348721906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81.720431510257299</v>
      </c>
      <c r="CL120" s="23">
        <f>EXP(-LN(2)/25)*CL119+(1-EXP(-LN(2)/25))/(LN(2)/25)*Calculateur!CG120*Calculateur!CI120*VLOOKUP('Données projet'!$B$12,Paramètres!$A$1:$I$89,3,0)*0.475*44/12</f>
        <v>33.910022110649344</v>
      </c>
      <c r="CM120" s="23">
        <f>EXP(-LN(2)/2)*CM119+(1-EXP(-LN(2)/2))/(LN(2)/2)*CG120*CJ120*VLOOKUP('Données projet'!$B$12,Paramètres!$A$1:$I$89,3,0)*0.475*44/12</f>
        <v>3.4295362195840975E-4</v>
      </c>
      <c r="CN120" s="24">
        <f t="shared" si="66"/>
        <v>115.6307965745286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252.10592533338991</v>
      </c>
      <c r="CZ120" s="62">
        <f t="shared" si="96"/>
        <v>272.71831345325313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30.567511953115336</v>
      </c>
      <c r="DH120" s="23">
        <f>EXP(-LN(2)/2)*DH119+(1-EXP(-LN(2)/2))/(LN(2)/2)*DB120*DE120*VLOOKUP('Données projet'!$B$13,Paramètres!$A$1:$I$89,3,0)*0.475*44/12</f>
        <v>4.454486638807507E-8</v>
      </c>
      <c r="DI120" s="24">
        <f t="shared" si="69"/>
        <v>30.567511997660201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423.0896575168394</v>
      </c>
      <c r="DU120" s="62">
        <f t="shared" si="98"/>
        <v>305.98537395014284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73.249717070030613</v>
      </c>
      <c r="EB120" s="23">
        <f>EXP(-LN(2)/25)*EB119+(1-EXP(-LN(2)/25))/(LN(2)/25)*Calculateur!DW120*Calculateur!DY120*VLOOKUP('Données projet'!$B$14,Paramètres!$A$1:$I$89,3,0)*0.475*44/12</f>
        <v>64.126354936097698</v>
      </c>
      <c r="EC120" s="23">
        <f>EXP(-LN(2)/2)*EC119+(1-EXP(-LN(2)/2))/(LN(2)/2)*DW120*DZ120*VLOOKUP('Données projet'!$B$14,Paramètres!$A$1:$I$89,3,0)*0.475*44/12</f>
        <v>8.733156816807845E-9</v>
      </c>
      <c r="ED120" s="24">
        <f t="shared" si="72"/>
        <v>137.37607201486148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2.2737367544323206E-13</v>
      </c>
      <c r="EK120" s="18">
        <f>EJ120*VLOOKUP('Données projet'!$B$15,Paramètres!$A$1:$I$89,3,0)*VLOOKUP('Données projet'!$B$15,Paramètres!$A$1:$I$89,5,0)</f>
        <v>1.3596945791505279E-13</v>
      </c>
      <c r="EL120" s="14">
        <f t="shared" si="99"/>
        <v>1.9708830566360721E-12</v>
      </c>
      <c r="EM120" s="22">
        <f t="shared" si="73"/>
        <v>3.669434796176543E-12</v>
      </c>
      <c r="EN120" s="62">
        <f t="shared" si="74"/>
        <v>281.50309518111334</v>
      </c>
      <c r="EO120" s="62">
        <f ca="1">AVERAGE(OFFSET($EN$3,0,0,'Données projet'!$E$15+1,1))-AVERAGE(OFFSET($H$3,0,0,'Données projet'!$E$15+1,1))</f>
        <v>281.21543175875604</v>
      </c>
      <c r="EP120" s="62">
        <f t="shared" si="100"/>
        <v>366.68536296857428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30.881781837884201</v>
      </c>
      <c r="EW120" s="23">
        <f>EXP(-LN(2)/25)*EW119+(1-EXP(-LN(2)/25))/(LN(2)/25)*Calculateur!ER120*Calculateur!ET120*VLOOKUP('Données projet'!$B$15,Paramètres!$A$1:$I$89,3,0)*0.475*44/12</f>
        <v>6.6563379567094216</v>
      </c>
      <c r="EX120" s="23">
        <f>EXP(-LN(2)/2)*EX119+(1-EXP(-LN(2)/2))/(LN(2)/2)*ER120*EU120*VLOOKUP('Données projet'!$B$15,Paramètres!$A$1:$I$89,3,0)*0.475*44/12</f>
        <v>1.3742629490416986E-8</v>
      </c>
      <c r="EY120" s="24">
        <f t="shared" si="75"/>
        <v>37.538119808336255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2.2737367544323206E-13</v>
      </c>
      <c r="FF120" s="18">
        <f>FE120*VLOOKUP('Données projet'!$B$16,Paramètres!$A$1:$I$89,3,0)*VLOOKUP('Données projet'!$B$16,Paramètres!$A$1:$I$89,5,0)</f>
        <v>1.2710188457276673E-13</v>
      </c>
      <c r="FG120" s="14">
        <f t="shared" si="101"/>
        <v>1.856866851063998E-12</v>
      </c>
      <c r="FH120" s="22">
        <f t="shared" si="76"/>
        <v>3.4554122145673649E-12</v>
      </c>
      <c r="FI120" s="62">
        <f t="shared" si="77"/>
        <v>281.50309518111311</v>
      </c>
      <c r="FJ120" s="62">
        <f ca="1">AVERAGE(OFFSET($FI$3,0,0,'Données projet'!$E$16+1,1))-AVERAGE(OFFSET($H$3,0,0,'Données projet'!$E$16+1,1))</f>
        <v>280.9225643428145</v>
      </c>
      <c r="FK120" s="62">
        <f t="shared" si="102"/>
        <v>236.89414218053955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96.604789856588482</v>
      </c>
      <c r="FR120" s="23">
        <f>EXP(-LN(2)/25)*FR119+(1-EXP(-LN(2)/25))/(LN(2)/25)*Calculateur!FM120*Calculateur!FO120*VLOOKUP('Données projet'!$B$16,Paramètres!$A$1:$I$89,3,0)*0.475*44/12</f>
        <v>21.303916521959135</v>
      </c>
      <c r="FS120" s="23">
        <f>EXP(-LN(2)/2)*FS119+(1-EXP(-LN(2)/2))/(LN(2)/2)*FM120*FP120*VLOOKUP('Données projet'!$B$16,Paramètres!$A$1:$I$89,3,0)*0.475*44/12</f>
        <v>3.6175545380996665E-10</v>
      </c>
      <c r="FT120" s="24">
        <f t="shared" si="78"/>
        <v>117.90870637890937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-5.6843418860808015E-13</v>
      </c>
      <c r="GA120" s="18">
        <f>FZ120*VLOOKUP('Données projet'!$B$17,Paramètres!$A$1:$I$89,3,0)*VLOOKUP('Données projet'!$B$17,Paramètres!$A$1:$I$89,5,0)</f>
        <v>-2.5124791136477147E-13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325.67421864225201</v>
      </c>
      <c r="GF120" s="62">
        <f t="shared" si="104"/>
        <v>542.01920418736745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62.521659873563898</v>
      </c>
      <c r="GM120" s="23">
        <f>EXP(-LN(2)/25)*GM119+(1-EXP(-LN(2)/25))/(LN(2)/25)*Calculateur!GH120*Calculateur!GJ120*VLOOKUP('Données projet'!$B$17,Paramètres!$A$1:$I$89,3,0)*0.475*44/12</f>
        <v>24.967972498263833</v>
      </c>
      <c r="GN120" s="23">
        <f>EXP(-LN(2)/2)*GN119+(1-EXP(-LN(2)/2))/(LN(2)/2)*GH120*GK120*VLOOKUP('Données projet'!$B$17,Paramètres!$A$1:$I$89,3,0)*0.475*44/12</f>
        <v>3.6845879831216915E-10</v>
      </c>
      <c r="GO120" s="23">
        <f t="shared" si="81"/>
        <v>87.489632372196183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2.8086666666666664</v>
      </c>
      <c r="GU120" s="13">
        <f>IF('Données projet'!$A$270&gt;35,GU119+GT120-HC119,IF(A120&lt;'Données projet'!$A$270,$GR$205^A120,IF(A120='Données projet'!$A$270,'Données projet'!$B$270,GU119+GT120-HC119)))</f>
        <v>143.92399999999978</v>
      </c>
      <c r="GV120" s="18">
        <f>GU120*VLOOKUP('Données projet'!$B$18,Paramètres!$A$1:$I$89,3,0)*VLOOKUP('Données projet'!$B$18,Paramètres!$A$1:$I$89,5,0)</f>
        <v>145.93893599999979</v>
      </c>
      <c r="GW120" s="14">
        <f t="shared" si="105"/>
        <v>37.65422519641772</v>
      </c>
      <c r="GX120" s="22">
        <f t="shared" si="82"/>
        <v>319.75808908376047</v>
      </c>
      <c r="GY120" s="62">
        <f t="shared" si="83"/>
        <v>601.26118426487005</v>
      </c>
      <c r="GZ120" s="62">
        <f ca="1">AVERAGE(OFFSET($GY$3,0,0,'Données projet'!$E$18+1,1))-AVERAGE(OFFSET($H$3,0,0,'Données projet'!$E$18+1,1))</f>
        <v>220.89224520315713</v>
      </c>
      <c r="HA120" s="62">
        <f t="shared" si="106"/>
        <v>141.82763623159096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-2.8421709430404007E-14</v>
      </c>
      <c r="O121" s="14">
        <f>N121*VLOOKUP('Données projet'!$B$9,Paramètres!$A$1:$I$89,3,0)*VLOOKUP('Données projet'!$B$9,Paramètres!$A$1:$I$89,5,0)</f>
        <v>-2.7489477361086758E-14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84.959354125980269</v>
      </c>
      <c r="T121" s="62">
        <f t="shared" si="88"/>
        <v>89.658970210276806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4.1139342163455206</v>
      </c>
      <c r="AB121" s="23">
        <f>EXP(-LN(2)/2)*AB120+(1-EXP(-LN(2)/2))/(LN(2)/2)*V121*Y121*VLOOKUP('Données projet'!$B$9,Paramètres!$A$1:$I$89,3,0)*0.475*44/12</f>
        <v>1.9497696749601516E-7</v>
      </c>
      <c r="AC121" s="24">
        <f t="shared" si="57"/>
        <v>4.1139344113224885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12.027399999999998</v>
      </c>
      <c r="AI121" s="14">
        <f>IF('Données projet'!$A$62&gt;35,AI120+AH121-AQ120,IF(A121&lt;'Données projet'!$A$62,$AF$205^A121,IF(A121='Données projet'!$A$62,'Données projet'!$B$62,AI120+AH121-AQ120)))</f>
        <v>610.9711999999995</v>
      </c>
      <c r="AJ121" s="14">
        <f>AI121*VLOOKUP('Données projet'!$B$10,Paramètres!$A$1:$I$89,3,0)*VLOOKUP('Données projet'!$B$10,Paramètres!$A$1:$I$89,5,0)</f>
        <v>581.40019391999954</v>
      </c>
      <c r="AK121" s="14">
        <f t="shared" si="89"/>
        <v>127.71512333175103</v>
      </c>
      <c r="AL121" s="22">
        <f t="shared" si="58"/>
        <v>1235.0425108801321</v>
      </c>
      <c r="AM121" s="62">
        <f t="shared" si="59"/>
        <v>1516.7508342447325</v>
      </c>
      <c r="AN121" s="62">
        <f ca="1">AVERAGE(OFFSET($AM$3,0,0,'Données projet'!$E$10+1,1))-AVERAGE(OFFSET($H$3,0,0,'Données projet'!$E$10+1,1))</f>
        <v>592.76231355549089</v>
      </c>
      <c r="AO121" s="62">
        <f t="shared" si="90"/>
        <v>200.66895551079014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27.272304113573412</v>
      </c>
      <c r="AV121" s="23">
        <f>EXP(-LN(2)/25)*AV120+(1-EXP(-LN(2)/25))/(LN(2)/25)*Calculateur!AQ121*Calculateur!AS121*VLOOKUP('Données projet'!$B$10,Paramètres!$A$1:$I$89,3,0)*0.475*44/12</f>
        <v>13.305344245760745</v>
      </c>
      <c r="AW121" s="23">
        <f>EXP(-LN(2)/2)*AW120+(1-EXP(-LN(2)/2))/(LN(2)/2)*AQ121*AT121*VLOOKUP('Données projet'!$B$10,Paramètres!$A$1:$I$89,3,0)*0.475*44/12</f>
        <v>2.3952325488868307E-8</v>
      </c>
      <c r="AX121" s="23">
        <f t="shared" si="60"/>
        <v>40.57764838328648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4.5160000000000027</v>
      </c>
      <c r="BD121" s="13">
        <f>IF('Données projet'!$A$88&gt;35,BD120+BC121-BL120,IF(A121&lt;'Données projet'!$A$88,$BA$205^A121,IF(A121='Données projet'!$A$88,'Données projet'!$B$88,BD120+BC121-BL120)))</f>
        <v>212.30799999999982</v>
      </c>
      <c r="BE121" s="14">
        <f>BD121*VLOOKUP('Données projet'!$B$11,Paramètres!$A$1:$I$89,3,0)*VLOOKUP('Données projet'!$B$11,Paramètres!$A$1:$I$89,5,0)</f>
        <v>192.09627839999982</v>
      </c>
      <c r="BF121" s="14">
        <f t="shared" si="91"/>
        <v>48.003113860106119</v>
      </c>
      <c r="BG121" s="22">
        <f t="shared" si="61"/>
        <v>418.17310818635116</v>
      </c>
      <c r="BH121" s="62">
        <f t="shared" si="62"/>
        <v>699.88143155095156</v>
      </c>
      <c r="BI121" s="62">
        <f ca="1">AVERAGE(OFFSET($BH$3,0,0,'Données projet'!$E$11+1,1))-AVERAGE(OFFSET($H$3,0,0,'Données projet'!$E$11+1,1))</f>
        <v>316.71836722354374</v>
      </c>
      <c r="BJ121" s="62">
        <f t="shared" si="92"/>
        <v>164.34067012996618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28.210557847075741</v>
      </c>
      <c r="BQ121" s="23">
        <f>EXP(-LN(2)/25)*BQ120+(1-EXP(-LN(2)/25))/(LN(2)/25)*Calculateur!BL121*Calculateur!BN121*VLOOKUP('Données projet'!$B$11,Paramètres!$A$1:$I$89,3,0)*0.475*44/12</f>
        <v>4.212167672420982</v>
      </c>
      <c r="BR121" s="23">
        <f>EXP(-LN(2)/2)*BR120+(1-EXP(-LN(2)/2))/(LN(2)/2)*BL121*BO121*VLOOKUP('Données projet'!$B$11,Paramètres!$A$1:$I$89,3,0)*0.475*44/12</f>
        <v>1.5474482398879711E-9</v>
      </c>
      <c r="BS121" s="24">
        <f t="shared" si="63"/>
        <v>32.422725521044171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2.8421709430404007E-14</v>
      </c>
      <c r="BZ121" s="14">
        <f>BY121*VLOOKUP('Données projet'!$B$12,Paramètres!$A$1:$I$89,3,0)*VLOOKUP('Données projet'!$B$12,Paramètres!$A$1:$I$89,5,0)</f>
        <v>3.2366642699344085E-14</v>
      </c>
      <c r="CA121" s="14">
        <f t="shared" si="93"/>
        <v>5.5446527398450045E-13</v>
      </c>
      <c r="CB121" s="22">
        <f t="shared" si="64"/>
        <v>1.0220655882243624E-12</v>
      </c>
      <c r="CC121" s="62">
        <f t="shared" si="65"/>
        <v>281.70832336460143</v>
      </c>
      <c r="CD121" s="62">
        <f ca="1">AVERAGE(OFFSET($CC$3,0,0,'Données projet'!$E$12+1,1))-AVERAGE(OFFSET($H$3,0,0,'Données projet'!$E$12+1,1))</f>
        <v>454.9779384236806</v>
      </c>
      <c r="CE121" s="62">
        <f t="shared" si="94"/>
        <v>379.32753348721906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80.117943692882633</v>
      </c>
      <c r="CL121" s="23">
        <f>EXP(-LN(2)/25)*CL120+(1-EXP(-LN(2)/25))/(LN(2)/25)*Calculateur!CG121*Calculateur!CI121*VLOOKUP('Données projet'!$B$12,Paramètres!$A$1:$I$89,3,0)*0.475*44/12</f>
        <v>32.982750772783078</v>
      </c>
      <c r="CM121" s="23">
        <f>EXP(-LN(2)/2)*CM120+(1-EXP(-LN(2)/2))/(LN(2)/2)*CG121*CJ121*VLOOKUP('Données projet'!$B$12,Paramètres!$A$1:$I$89,3,0)*0.475*44/12</f>
        <v>2.4250483171927919E-4</v>
      </c>
      <c r="CN121" s="24">
        <f t="shared" si="66"/>
        <v>113.10093697049743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252.10592533338991</v>
      </c>
      <c r="CZ121" s="62">
        <f t="shared" si="96"/>
        <v>272.71831345325313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29.731641731281805</v>
      </c>
      <c r="DH121" s="23">
        <f>EXP(-LN(2)/2)*DH120+(1-EXP(-LN(2)/2))/(LN(2)/2)*DB121*DE121*VLOOKUP('Données projet'!$B$13,Paramètres!$A$1:$I$89,3,0)*0.475*44/12</f>
        <v>3.1497977090056594E-8</v>
      </c>
      <c r="DI121" s="24">
        <f t="shared" si="69"/>
        <v>29.73164176277978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423.0896575168394</v>
      </c>
      <c r="DU121" s="62">
        <f t="shared" si="98"/>
        <v>305.98537395014284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71.813334796203151</v>
      </c>
      <c r="EB121" s="23">
        <f>EXP(-LN(2)/25)*EB120+(1-EXP(-LN(2)/25))/(LN(2)/25)*Calculateur!DW121*Calculateur!DY121*VLOOKUP('Données projet'!$B$14,Paramètres!$A$1:$I$89,3,0)*0.475*44/12</f>
        <v>62.372816388111666</v>
      </c>
      <c r="EC121" s="23">
        <f>EXP(-LN(2)/2)*EC120+(1-EXP(-LN(2)/2))/(LN(2)/2)*DW121*DZ121*VLOOKUP('Données projet'!$B$14,Paramètres!$A$1:$I$89,3,0)*0.475*44/12</f>
        <v>6.1752744063303509E-9</v>
      </c>
      <c r="ED121" s="24">
        <f t="shared" si="72"/>
        <v>134.18615119049008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2.2737367544323206E-13</v>
      </c>
      <c r="EK121" s="18">
        <f>EJ121*VLOOKUP('Données projet'!$B$15,Paramètres!$A$1:$I$89,3,0)*VLOOKUP('Données projet'!$B$15,Paramètres!$A$1:$I$89,5,0)</f>
        <v>1.3596945791505279E-13</v>
      </c>
      <c r="EL121" s="14">
        <f t="shared" si="99"/>
        <v>1.9708830566360721E-12</v>
      </c>
      <c r="EM121" s="22">
        <f t="shared" si="73"/>
        <v>3.669434796176543E-12</v>
      </c>
      <c r="EN121" s="62">
        <f t="shared" si="74"/>
        <v>281.7083233646041</v>
      </c>
      <c r="EO121" s="62">
        <f ca="1">AVERAGE(OFFSET($EN$3,0,0,'Données projet'!$E$15+1,1))-AVERAGE(OFFSET($H$3,0,0,'Données projet'!$E$15+1,1))</f>
        <v>281.21543175875604</v>
      </c>
      <c r="EP121" s="62">
        <f t="shared" si="100"/>
        <v>366.68536296857428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30.276208932070311</v>
      </c>
      <c r="EW121" s="23">
        <f>EXP(-LN(2)/25)*EW120+(1-EXP(-LN(2)/25))/(LN(2)/25)*Calculateur!ER121*Calculateur!ET121*VLOOKUP('Données projet'!$B$15,Paramètres!$A$1:$I$89,3,0)*0.475*44/12</f>
        <v>6.474320045241603</v>
      </c>
      <c r="EX121" s="23">
        <f>EXP(-LN(2)/2)*EX120+(1-EXP(-LN(2)/2))/(LN(2)/2)*ER121*EU121*VLOOKUP('Données projet'!$B$15,Paramètres!$A$1:$I$89,3,0)*0.475*44/12</f>
        <v>9.7175065040080784E-9</v>
      </c>
      <c r="EY121" s="24">
        <f t="shared" si="75"/>
        <v>36.750528987029419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2.2737367544323206E-13</v>
      </c>
      <c r="FF121" s="18">
        <f>FE121*VLOOKUP('Données projet'!$B$16,Paramètres!$A$1:$I$89,3,0)*VLOOKUP('Données projet'!$B$16,Paramètres!$A$1:$I$89,5,0)</f>
        <v>1.2710188457276673E-13</v>
      </c>
      <c r="FG121" s="14">
        <f t="shared" si="101"/>
        <v>1.856866851063998E-12</v>
      </c>
      <c r="FH121" s="22">
        <f t="shared" si="76"/>
        <v>3.4554122145673649E-12</v>
      </c>
      <c r="FI121" s="62">
        <f t="shared" si="77"/>
        <v>281.70832336460387</v>
      </c>
      <c r="FJ121" s="62">
        <f ca="1">AVERAGE(OFFSET($FI$3,0,0,'Données projet'!$E$16+1,1))-AVERAGE(OFFSET($H$3,0,0,'Données projet'!$E$16+1,1))</f>
        <v>280.9225643428145</v>
      </c>
      <c r="FK121" s="62">
        <f t="shared" si="102"/>
        <v>236.89414218053955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94.710428850604416</v>
      </c>
      <c r="FR121" s="23">
        <f>EXP(-LN(2)/25)*FR120+(1-EXP(-LN(2)/25))/(LN(2)/25)*Calculateur!FM121*Calculateur!FO121*VLOOKUP('Données projet'!$B$16,Paramètres!$A$1:$I$89,3,0)*0.475*44/12</f>
        <v>20.721359804341883</v>
      </c>
      <c r="FS121" s="23">
        <f>EXP(-LN(2)/2)*FS120+(1-EXP(-LN(2)/2))/(LN(2)/2)*FM121*FP121*VLOOKUP('Données projet'!$B$16,Paramètres!$A$1:$I$89,3,0)*0.475*44/12</f>
        <v>2.5579973452024429E-10</v>
      </c>
      <c r="FT121" s="24">
        <f t="shared" si="78"/>
        <v>115.4317886552021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-5.6843418860808015E-13</v>
      </c>
      <c r="GA121" s="18">
        <f>FZ121*VLOOKUP('Données projet'!$B$17,Paramètres!$A$1:$I$89,3,0)*VLOOKUP('Données projet'!$B$17,Paramètres!$A$1:$I$89,5,0)</f>
        <v>-2.5124791136477147E-13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325.67421864225201</v>
      </c>
      <c r="GF121" s="62">
        <f t="shared" si="104"/>
        <v>542.01920418736745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61.29564825789037</v>
      </c>
      <c r="GM121" s="23">
        <f>EXP(-LN(2)/25)*GM120+(1-EXP(-LN(2)/25))/(LN(2)/25)*Calculateur!GH121*Calculateur!GJ121*VLOOKUP('Données projet'!$B$17,Paramètres!$A$1:$I$89,3,0)*0.475*44/12</f>
        <v>24.285221977290199</v>
      </c>
      <c r="GN121" s="23">
        <f>EXP(-LN(2)/2)*GN120+(1-EXP(-LN(2)/2))/(LN(2)/2)*GH121*GK121*VLOOKUP('Données projet'!$B$17,Paramètres!$A$1:$I$89,3,0)*0.475*44/12</f>
        <v>2.6053971487438123E-10</v>
      </c>
      <c r="GO121" s="23">
        <f t="shared" si="81"/>
        <v>85.580870235441111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2.8086666666666664</v>
      </c>
      <c r="GU121" s="13">
        <f>IF('Données projet'!$A$270&gt;35,GU120+GT121-HC120,IF(A121&lt;'Données projet'!$A$270,$GR$205^A121,IF(A121='Données projet'!$A$270,'Données projet'!$B$270,GU120+GT121-HC120)))</f>
        <v>146.73266666666643</v>
      </c>
      <c r="GV121" s="18">
        <f>GU121*VLOOKUP('Données projet'!$B$18,Paramètres!$A$1:$I$89,3,0)*VLOOKUP('Données projet'!$B$18,Paramètres!$A$1:$I$89,5,0)</f>
        <v>148.78692399999977</v>
      </c>
      <c r="GW121" s="14">
        <f t="shared" si="105"/>
        <v>38.302779601397468</v>
      </c>
      <c r="GX121" s="22">
        <f t="shared" si="82"/>
        <v>325.84790043910021</v>
      </c>
      <c r="GY121" s="62">
        <f t="shared" si="83"/>
        <v>607.55622380370062</v>
      </c>
      <c r="GZ121" s="62">
        <f ca="1">AVERAGE(OFFSET($GY$3,0,0,'Données projet'!$E$18+1,1))-AVERAGE(OFFSET($H$3,0,0,'Données projet'!$E$18+1,1))</f>
        <v>220.89224520315713</v>
      </c>
      <c r="HA121" s="62">
        <f t="shared" si="106"/>
        <v>141.82763623159096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-2.8421709430404007E-14</v>
      </c>
      <c r="O122" s="14">
        <f>N122*VLOOKUP('Données projet'!$B$9,Paramètres!$A$1:$I$89,3,0)*VLOOKUP('Données projet'!$B$9,Paramètres!$A$1:$I$89,5,0)</f>
        <v>-2.7489477361086758E-14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84.959354125980269</v>
      </c>
      <c r="T122" s="62">
        <f t="shared" si="88"/>
        <v>89.658970210276806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4.0014384688571543</v>
      </c>
      <c r="AB122" s="23">
        <f>EXP(-LN(2)/2)*AB121+(1-EXP(-LN(2)/2))/(LN(2)/2)*V122*Y122*VLOOKUP('Données projet'!$B$9,Paramètres!$A$1:$I$89,3,0)*0.475*44/12</f>
        <v>1.3786953589162138E-7</v>
      </c>
      <c r="AC122" s="24">
        <f t="shared" si="57"/>
        <v>4.0014386067266905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12.027399999999998</v>
      </c>
      <c r="AI122" s="14">
        <f>IF('Données projet'!$A$62&gt;35,AI121+AH122-AQ121,IF(A122&lt;'Données projet'!$A$62,$AF$205^A122,IF(A122='Données projet'!$A$62,'Données projet'!$B$62,AI121+AH122-AQ121)))</f>
        <v>622.99859999999944</v>
      </c>
      <c r="AJ122" s="14">
        <f>AI122*VLOOKUP('Données projet'!$B$10,Paramètres!$A$1:$I$89,3,0)*VLOOKUP('Données projet'!$B$10,Paramètres!$A$1:$I$89,5,0)</f>
        <v>592.84546775999945</v>
      </c>
      <c r="AK122" s="14">
        <f t="shared" si="89"/>
        <v>129.9341105560728</v>
      </c>
      <c r="AL122" s="22">
        <f t="shared" si="58"/>
        <v>1258.8410989004926</v>
      </c>
      <c r="AM122" s="62">
        <f t="shared" si="59"/>
        <v>1540.7510901984217</v>
      </c>
      <c r="AN122" s="62">
        <f ca="1">AVERAGE(OFFSET($AM$3,0,0,'Données projet'!$E$10+1,1))-AVERAGE(OFFSET($H$3,0,0,'Données projet'!$E$10+1,1))</f>
        <v>592.76231355549089</v>
      </c>
      <c r="AO122" s="62">
        <f t="shared" si="90"/>
        <v>200.66895551079014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26.737510864369231</v>
      </c>
      <c r="AV122" s="23">
        <f>EXP(-LN(2)/25)*AV121+(1-EXP(-LN(2)/25))/(LN(2)/25)*Calculateur!AQ122*Calculateur!AS122*VLOOKUP('Données projet'!$B$10,Paramètres!$A$1:$I$89,3,0)*0.475*44/12</f>
        <v>12.941508907662774</v>
      </c>
      <c r="AW122" s="23">
        <f>EXP(-LN(2)/2)*AW121+(1-EXP(-LN(2)/2))/(LN(2)/2)*AQ122*AT122*VLOOKUP('Données projet'!$B$10,Paramètres!$A$1:$I$89,3,0)*0.475*44/12</f>
        <v>1.6936851778366167E-8</v>
      </c>
      <c r="AX122" s="23">
        <f t="shared" si="60"/>
        <v>39.679019788968859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4.5160000000000027</v>
      </c>
      <c r="BD122" s="13">
        <f>IF('Données projet'!$A$88&gt;35,BD121+BC122-BL121,IF(A122&lt;'Données projet'!$A$88,$BA$205^A122,IF(A122='Données projet'!$A$88,'Données projet'!$B$88,BD121+BC122-BL121)))</f>
        <v>216.82399999999981</v>
      </c>
      <c r="BE122" s="14">
        <f>BD122*VLOOKUP('Données projet'!$B$11,Paramètres!$A$1:$I$89,3,0)*VLOOKUP('Données projet'!$B$11,Paramètres!$A$1:$I$89,5,0)</f>
        <v>196.18235519999982</v>
      </c>
      <c r="BF122" s="14">
        <f t="shared" si="91"/>
        <v>48.904226181151763</v>
      </c>
      <c r="BG122" s="22">
        <f t="shared" si="61"/>
        <v>426.85912923883899</v>
      </c>
      <c r="BH122" s="62">
        <f t="shared" si="62"/>
        <v>708.76912053676813</v>
      </c>
      <c r="BI122" s="62">
        <f ca="1">AVERAGE(OFFSET($BH$3,0,0,'Données projet'!$E$11+1,1))-AVERAGE(OFFSET($H$3,0,0,'Données projet'!$E$11+1,1))</f>
        <v>316.71836722354374</v>
      </c>
      <c r="BJ122" s="62">
        <f t="shared" si="92"/>
        <v>164.34067012996618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27.657366014435848</v>
      </c>
      <c r="BQ122" s="23">
        <f>EXP(-LN(2)/25)*BQ121+(1-EXP(-LN(2)/25))/(LN(2)/25)*Calculateur!BL122*Calculateur!BN122*VLOOKUP('Données projet'!$B$11,Paramètres!$A$1:$I$89,3,0)*0.475*44/12</f>
        <v>4.0969857259103595</v>
      </c>
      <c r="BR122" s="23">
        <f>EXP(-LN(2)/2)*BR121+(1-EXP(-LN(2)/2))/(LN(2)/2)*BL122*BO122*VLOOKUP('Données projet'!$B$11,Paramètres!$A$1:$I$89,3,0)*0.475*44/12</f>
        <v>1.0942111439599717E-9</v>
      </c>
      <c r="BS122" s="24">
        <f t="shared" si="63"/>
        <v>31.75435174144042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2.8421709430404007E-14</v>
      </c>
      <c r="BZ122" s="14">
        <f>BY122*VLOOKUP('Données projet'!$B$12,Paramètres!$A$1:$I$89,3,0)*VLOOKUP('Données projet'!$B$12,Paramètres!$A$1:$I$89,5,0)</f>
        <v>3.2366642699344085E-14</v>
      </c>
      <c r="CA122" s="14">
        <f t="shared" si="93"/>
        <v>5.5446527398450045E-13</v>
      </c>
      <c r="CB122" s="22">
        <f t="shared" si="64"/>
        <v>1.0220655882243624E-12</v>
      </c>
      <c r="CC122" s="62">
        <f t="shared" si="65"/>
        <v>281.90999129793016</v>
      </c>
      <c r="CD122" s="62">
        <f ca="1">AVERAGE(OFFSET($CC$3,0,0,'Données projet'!$E$12+1,1))-AVERAGE(OFFSET($H$3,0,0,'Données projet'!$E$12+1,1))</f>
        <v>454.9779384236806</v>
      </c>
      <c r="CE122" s="62">
        <f t="shared" si="94"/>
        <v>379.32753348721906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78.546879684185626</v>
      </c>
      <c r="CL122" s="23">
        <f>EXP(-LN(2)/25)*CL121+(1-EXP(-LN(2)/25))/(LN(2)/25)*Calculateur!CG122*Calculateur!CI122*VLOOKUP('Données projet'!$B$12,Paramètres!$A$1:$I$89,3,0)*0.475*44/12</f>
        <v>32.080835718413844</v>
      </c>
      <c r="CM122" s="23">
        <f>EXP(-LN(2)/2)*CM121+(1-EXP(-LN(2)/2))/(LN(2)/2)*CG122*CJ122*VLOOKUP('Données projet'!$B$12,Paramètres!$A$1:$I$89,3,0)*0.475*44/12</f>
        <v>1.714768109792049E-4</v>
      </c>
      <c r="CN122" s="24">
        <f t="shared" si="66"/>
        <v>110.62788687941045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252.10592533338991</v>
      </c>
      <c r="CZ122" s="62">
        <f t="shared" si="96"/>
        <v>272.71831345325313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28.918628424620817</v>
      </c>
      <c r="DH122" s="23">
        <f>EXP(-LN(2)/2)*DH121+(1-EXP(-LN(2)/2))/(LN(2)/2)*DB122*DE122*VLOOKUP('Données projet'!$B$13,Paramètres!$A$1:$I$89,3,0)*0.475*44/12</f>
        <v>2.2272433194037535E-8</v>
      </c>
      <c r="DI122" s="24">
        <f t="shared" si="69"/>
        <v>28.918628446893251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423.0896575168394</v>
      </c>
      <c r="DU122" s="62">
        <f t="shared" si="98"/>
        <v>305.98537395014284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70.405119102658759</v>
      </c>
      <c r="EB122" s="23">
        <f>EXP(-LN(2)/25)*EB121+(1-EXP(-LN(2)/25))/(LN(2)/25)*Calculateur!DW122*Calculateur!DY122*VLOOKUP('Données projet'!$B$14,Paramètres!$A$1:$I$89,3,0)*0.475*44/12</f>
        <v>60.667228443934896</v>
      </c>
      <c r="EC122" s="23">
        <f>EXP(-LN(2)/2)*EC121+(1-EXP(-LN(2)/2))/(LN(2)/2)*DW122*DZ122*VLOOKUP('Données projet'!$B$14,Paramètres!$A$1:$I$89,3,0)*0.475*44/12</f>
        <v>4.3665784084039225E-9</v>
      </c>
      <c r="ED122" s="24">
        <f t="shared" si="72"/>
        <v>131.07234755096022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2.2737367544323206E-13</v>
      </c>
      <c r="EK122" s="18">
        <f>EJ122*VLOOKUP('Données projet'!$B$15,Paramètres!$A$1:$I$89,3,0)*VLOOKUP('Données projet'!$B$15,Paramètres!$A$1:$I$89,5,0)</f>
        <v>1.3596945791505279E-13</v>
      </c>
      <c r="EL122" s="14">
        <f t="shared" si="99"/>
        <v>1.9708830566360721E-12</v>
      </c>
      <c r="EM122" s="22">
        <f t="shared" si="73"/>
        <v>3.669434796176543E-12</v>
      </c>
      <c r="EN122" s="62">
        <f t="shared" si="74"/>
        <v>281.90999129793283</v>
      </c>
      <c r="EO122" s="62">
        <f ca="1">AVERAGE(OFFSET($EN$3,0,0,'Données projet'!$E$15+1,1))-AVERAGE(OFFSET($H$3,0,0,'Données projet'!$E$15+1,1))</f>
        <v>281.21543175875604</v>
      </c>
      <c r="EP122" s="62">
        <f t="shared" si="100"/>
        <v>366.68536296857428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29.682510941576428</v>
      </c>
      <c r="EW122" s="23">
        <f>EXP(-LN(2)/25)*EW121+(1-EXP(-LN(2)/25))/(LN(2)/25)*Calculateur!ER122*Calculateur!ET122*VLOOKUP('Données projet'!$B$15,Paramètres!$A$1:$I$89,3,0)*0.475*44/12</f>
        <v>6.2972794231347775</v>
      </c>
      <c r="EX122" s="23">
        <f>EXP(-LN(2)/2)*EX121+(1-EXP(-LN(2)/2))/(LN(2)/2)*ER122*EU122*VLOOKUP('Données projet'!$B$15,Paramètres!$A$1:$I$89,3,0)*0.475*44/12</f>
        <v>6.8713147452084928E-9</v>
      </c>
      <c r="EY122" s="24">
        <f t="shared" si="75"/>
        <v>35.979790371582524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2.2737367544323206E-13</v>
      </c>
      <c r="FF122" s="18">
        <f>FE122*VLOOKUP('Données projet'!$B$16,Paramètres!$A$1:$I$89,3,0)*VLOOKUP('Données projet'!$B$16,Paramètres!$A$1:$I$89,5,0)</f>
        <v>1.2710188457276673E-13</v>
      </c>
      <c r="FG122" s="14">
        <f t="shared" si="101"/>
        <v>1.856866851063998E-12</v>
      </c>
      <c r="FH122" s="22">
        <f t="shared" si="76"/>
        <v>3.4554122145673649E-12</v>
      </c>
      <c r="FI122" s="62">
        <f t="shared" si="77"/>
        <v>281.90999129793261</v>
      </c>
      <c r="FJ122" s="62">
        <f ca="1">AVERAGE(OFFSET($FI$3,0,0,'Données projet'!$E$16+1,1))-AVERAGE(OFFSET($H$3,0,0,'Données projet'!$E$16+1,1))</f>
        <v>280.9225643428145</v>
      </c>
      <c r="FK122" s="62">
        <f t="shared" si="102"/>
        <v>236.89414218053955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92.853215108501573</v>
      </c>
      <c r="FR122" s="23">
        <f>EXP(-LN(2)/25)*FR121+(1-EXP(-LN(2)/25))/(LN(2)/25)*Calculateur!FM122*Calculateur!FO122*VLOOKUP('Données projet'!$B$16,Paramètres!$A$1:$I$89,3,0)*0.475*44/12</f>
        <v>20.154733130803201</v>
      </c>
      <c r="FS122" s="23">
        <f>EXP(-LN(2)/2)*FS121+(1-EXP(-LN(2)/2))/(LN(2)/2)*FM122*FP122*VLOOKUP('Données projet'!$B$16,Paramètres!$A$1:$I$89,3,0)*0.475*44/12</f>
        <v>1.8087772690498333E-10</v>
      </c>
      <c r="FT122" s="24">
        <f t="shared" si="78"/>
        <v>113.00794823948564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-5.6843418860808015E-13</v>
      </c>
      <c r="GA122" s="18">
        <f>FZ122*VLOOKUP('Données projet'!$B$17,Paramètres!$A$1:$I$89,3,0)*VLOOKUP('Données projet'!$B$17,Paramètres!$A$1:$I$89,5,0)</f>
        <v>-2.5124791136477147E-13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325.67421864225201</v>
      </c>
      <c r="GF122" s="62">
        <f t="shared" si="104"/>
        <v>542.01920418736745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60.093677982206955</v>
      </c>
      <c r="GM122" s="23">
        <f>EXP(-LN(2)/25)*GM121+(1-EXP(-LN(2)/25))/(LN(2)/25)*Calculateur!GH122*Calculateur!GJ122*VLOOKUP('Données projet'!$B$17,Paramètres!$A$1:$I$89,3,0)*0.475*44/12</f>
        <v>23.621141305216881</v>
      </c>
      <c r="GN122" s="23">
        <f>EXP(-LN(2)/2)*GN121+(1-EXP(-LN(2)/2))/(LN(2)/2)*GH122*GK122*VLOOKUP('Données projet'!$B$17,Paramètres!$A$1:$I$89,3,0)*0.475*44/12</f>
        <v>1.8422939915608458E-10</v>
      </c>
      <c r="GO122" s="23">
        <f t="shared" si="81"/>
        <v>83.714819287608066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2.8086666666666664</v>
      </c>
      <c r="GU122" s="13">
        <f>IF('Données projet'!$A$270&gt;35,GU121+GT122-HC121,IF(A122&lt;'Données projet'!$A$270,$GR$205^A122,IF(A122='Données projet'!$A$270,'Données projet'!$B$270,GU121+GT122-HC121)))</f>
        <v>149.54133333333309</v>
      </c>
      <c r="GV122" s="18">
        <f>GU122*VLOOKUP('Données projet'!$B$18,Paramètres!$A$1:$I$89,3,0)*VLOOKUP('Données projet'!$B$18,Paramètres!$A$1:$I$89,5,0)</f>
        <v>151.63491199999976</v>
      </c>
      <c r="GW122" s="14">
        <f t="shared" si="105"/>
        <v>38.949890505364827</v>
      </c>
      <c r="GX122" s="22">
        <f t="shared" si="82"/>
        <v>331.93519769684332</v>
      </c>
      <c r="GY122" s="62">
        <f t="shared" si="83"/>
        <v>613.84518899477246</v>
      </c>
      <c r="GZ122" s="62">
        <f ca="1">AVERAGE(OFFSET($GY$3,0,0,'Données projet'!$E$18+1,1))-AVERAGE(OFFSET($H$3,0,0,'Données projet'!$E$18+1,1))</f>
        <v>220.89224520315713</v>
      </c>
      <c r="HA122" s="62">
        <f t="shared" si="106"/>
        <v>141.82763623159096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-2.8421709430404007E-14</v>
      </c>
      <c r="O123" s="14">
        <f>N123*VLOOKUP('Données projet'!$B$9,Paramètres!$A$1:$I$89,3,0)*VLOOKUP('Données projet'!$B$9,Paramètres!$A$1:$I$89,5,0)</f>
        <v>-2.7489477361086758E-14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84.959354125980269</v>
      </c>
      <c r="T123" s="62">
        <f t="shared" si="88"/>
        <v>89.658970210276806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3.8920189234997515</v>
      </c>
      <c r="AB123" s="23">
        <f>EXP(-LN(2)/2)*AB122+(1-EXP(-LN(2)/2))/(LN(2)/2)*V123*Y123*VLOOKUP('Données projet'!$B$9,Paramètres!$A$1:$I$89,3,0)*0.475*44/12</f>
        <v>9.748848374800758E-8</v>
      </c>
      <c r="AC123" s="24">
        <f t="shared" si="57"/>
        <v>3.8920190209882355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12.027399999999998</v>
      </c>
      <c r="AI123" s="14">
        <f>IF('Données projet'!$A$62&gt;35,AI122+AH123-AQ122,IF(A123&lt;'Données projet'!$A$62,$AF$205^A123,IF(A123='Données projet'!$A$62,'Données projet'!$B$62,AI122+AH123-AQ122)))</f>
        <v>635.02599999999939</v>
      </c>
      <c r="AJ123" s="14">
        <f>AI123*VLOOKUP('Données projet'!$B$10,Paramètres!$A$1:$I$89,3,0)*VLOOKUP('Données projet'!$B$10,Paramètres!$A$1:$I$89,5,0)</f>
        <v>604.29074159999936</v>
      </c>
      <c r="AK123" s="14">
        <f t="shared" si="89"/>
        <v>132.14811659039071</v>
      </c>
      <c r="AL123" s="22">
        <f t="shared" si="58"/>
        <v>1282.6310113482627</v>
      </c>
      <c r="AM123" s="62">
        <f t="shared" si="59"/>
        <v>1564.7391720917394</v>
      </c>
      <c r="AN123" s="62">
        <f ca="1">AVERAGE(OFFSET($AM$3,0,0,'Données projet'!$E$10+1,1))-AVERAGE(OFFSET($H$3,0,0,'Données projet'!$E$10+1,1))</f>
        <v>592.76231355549089</v>
      </c>
      <c r="AO123" s="62">
        <f t="shared" si="90"/>
        <v>200.66895551079014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26.213204584590269</v>
      </c>
      <c r="AV123" s="23">
        <f>EXP(-LN(2)/25)*AV122+(1-EXP(-LN(2)/25))/(LN(2)/25)*Calculateur!AQ123*Calculateur!AS123*VLOOKUP('Données projet'!$B$10,Paramètres!$A$1:$I$89,3,0)*0.475*44/12</f>
        <v>12.58762266601836</v>
      </c>
      <c r="AW123" s="23">
        <f>EXP(-LN(2)/2)*AW122+(1-EXP(-LN(2)/2))/(LN(2)/2)*AQ123*AT123*VLOOKUP('Données projet'!$B$10,Paramètres!$A$1:$I$89,3,0)*0.475*44/12</f>
        <v>1.1976162744434154E-8</v>
      </c>
      <c r="AX123" s="23">
        <f t="shared" si="60"/>
        <v>38.800827262584789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221.34</v>
      </c>
      <c r="BB123" s="13">
        <f>VLOOKUP(A123,'Données projet'!$A$87:$I$107,9,0)</f>
        <v>4.5160000000000027</v>
      </c>
      <c r="BC123" s="13">
        <f t="array" ref="BC123">INDEX(BB:BB,MIN(IF(ISNUMBER(BB123:BB319),ROW(BB123:BB319),"")))</f>
        <v>4.5160000000000027</v>
      </c>
      <c r="BD123" s="13">
        <f>IF('Données projet'!$A$88&gt;35,BD122+BC123-BL122,IF(A123&lt;'Données projet'!$A$88,$BA$205^A123,IF(A123='Données projet'!$A$88,'Données projet'!$B$88,BD122+BC123-BL122)))</f>
        <v>221.3399999999998</v>
      </c>
      <c r="BE123" s="14">
        <f>BD123*VLOOKUP('Données projet'!$B$11,Paramètres!$A$1:$I$89,3,0)*VLOOKUP('Données projet'!$B$11,Paramètres!$A$1:$I$89,5,0)</f>
        <v>200.26843199999982</v>
      </c>
      <c r="BF123" s="14">
        <f t="shared" si="91"/>
        <v>49.803156348474545</v>
      </c>
      <c r="BG123" s="22">
        <f t="shared" si="61"/>
        <v>435.54134970692616</v>
      </c>
      <c r="BH123" s="62">
        <f t="shared" si="62"/>
        <v>717.64951045040277</v>
      </c>
      <c r="BI123" s="62">
        <f ca="1">AVERAGE(OFFSET($BH$3,0,0,'Données projet'!$E$11+1,1))-AVERAGE(OFFSET($H$3,0,0,'Données projet'!$E$11+1,1))</f>
        <v>316.71836722354374</v>
      </c>
      <c r="BJ123" s="62">
        <f t="shared" si="92"/>
        <v>164.34067012996618</v>
      </c>
      <c r="BK123" s="16">
        <f>IF(ISNA(VLOOKUP(A123,'Données projet'!$A$87:$I$107,3,0)),0,VLOOKUP(A123,'Données projet'!$A$87:$I$107,3,0))</f>
        <v>15</v>
      </c>
      <c r="BL123" s="16">
        <f>IF(ISNA(VLOOKUP(A123,'Données projet'!$A$87:$I$107,4,0)),0,VLOOKUP(A123,'Données projet'!$A$87:$I$107,4,0))</f>
        <v>21.77</v>
      </c>
      <c r="BM123" s="17">
        <f>IF(ISNA(VLOOKUP(A123,'Données projet'!$A$87:$I$107,5,0)),0%,VLOOKUP(A123,'Données projet'!$A$87:$I$107,5,0)*VLOOKUP('Données projet'!$B$11,Paramètres!$A$1:$I$89,7,0))</f>
        <v>0.34400000000000003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34.605621378585582</v>
      </c>
      <c r="BQ123" s="23">
        <f>EXP(-LN(2)/25)*BQ122+(1-EXP(-LN(2)/25))/(LN(2)/25)*Calculateur!BL123*Calculateur!BN123*VLOOKUP('Données projet'!$B$11,Paramètres!$A$1:$I$89,3,0)*0.475*44/12</f>
        <v>3.9849534357842251</v>
      </c>
      <c r="BR123" s="23">
        <f>EXP(-LN(2)/2)*BR122+(1-EXP(-LN(2)/2))/(LN(2)/2)*BL123*BO123*VLOOKUP('Données projet'!$B$11,Paramètres!$A$1:$I$89,3,0)*0.475*44/12</f>
        <v>7.7372411994398554E-10</v>
      </c>
      <c r="BS123" s="24">
        <f t="shared" si="63"/>
        <v>38.590574815143533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2.8421709430404007E-14</v>
      </c>
      <c r="BZ123" s="14">
        <f>BY123*VLOOKUP('Données projet'!$B$12,Paramètres!$A$1:$I$89,3,0)*VLOOKUP('Données projet'!$B$12,Paramètres!$A$1:$I$89,5,0)</f>
        <v>3.2366642699344085E-14</v>
      </c>
      <c r="CA123" s="14">
        <f t="shared" si="93"/>
        <v>5.5446527398450045E-13</v>
      </c>
      <c r="CB123" s="22">
        <f t="shared" si="64"/>
        <v>1.0220655882243624E-12</v>
      </c>
      <c r="CC123" s="62">
        <f t="shared" si="65"/>
        <v>282.10816074347764</v>
      </c>
      <c r="CD123" s="62">
        <f ca="1">AVERAGE(OFFSET($CC$3,0,0,'Données projet'!$E$12+1,1))-AVERAGE(OFFSET($H$3,0,0,'Données projet'!$E$12+1,1))</f>
        <v>454.9779384236806</v>
      </c>
      <c r="CE123" s="62">
        <f t="shared" si="94"/>
        <v>379.32753348721906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77.00662328244475</v>
      </c>
      <c r="CL123" s="23">
        <f>EXP(-LN(2)/25)*CL122+(1-EXP(-LN(2)/25))/(LN(2)/25)*Calculateur!CG123*Calculateur!CI123*VLOOKUP('Données projet'!$B$12,Paramètres!$A$1:$I$89,3,0)*0.475*44/12</f>
        <v>31.203583578635989</v>
      </c>
      <c r="CM123" s="23">
        <f>EXP(-LN(2)/2)*CM122+(1-EXP(-LN(2)/2))/(LN(2)/2)*CG123*CJ123*VLOOKUP('Données projet'!$B$12,Paramètres!$A$1:$I$89,3,0)*0.475*44/12</f>
        <v>1.2125241585963962E-4</v>
      </c>
      <c r="CN123" s="24">
        <f t="shared" si="66"/>
        <v>108.2103281134966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252.10592533338991</v>
      </c>
      <c r="CZ123" s="62">
        <f t="shared" si="96"/>
        <v>272.71831345325313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28.127847009584986</v>
      </c>
      <c r="DH123" s="23">
        <f>EXP(-LN(2)/2)*DH122+(1-EXP(-LN(2)/2))/(LN(2)/2)*DB123*DE123*VLOOKUP('Données projet'!$B$13,Paramètres!$A$1:$I$89,3,0)*0.475*44/12</f>
        <v>1.5748988545028297E-8</v>
      </c>
      <c r="DI123" s="24">
        <f t="shared" si="69"/>
        <v>28.127847025333974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423.0896575168394</v>
      </c>
      <c r="DU123" s="62">
        <f t="shared" si="98"/>
        <v>305.98537395014284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69.024517659938013</v>
      </c>
      <c r="EB123" s="23">
        <f>EXP(-LN(2)/25)*EB122+(1-EXP(-LN(2)/25))/(LN(2)/25)*Calculateur!DW123*Calculateur!DY123*VLOOKUP('Données projet'!$B$14,Paramètres!$A$1:$I$89,3,0)*0.475*44/12</f>
        <v>59.008279891784611</v>
      </c>
      <c r="EC123" s="23">
        <f>EXP(-LN(2)/2)*EC122+(1-EXP(-LN(2)/2))/(LN(2)/2)*DW123*DZ123*VLOOKUP('Données projet'!$B$14,Paramètres!$A$1:$I$89,3,0)*0.475*44/12</f>
        <v>3.0876372031651754E-9</v>
      </c>
      <c r="ED123" s="24">
        <f t="shared" si="72"/>
        <v>128.03279755481029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2.2737367544323206E-13</v>
      </c>
      <c r="EK123" s="18">
        <f>EJ123*VLOOKUP('Données projet'!$B$15,Paramètres!$A$1:$I$89,3,0)*VLOOKUP('Données projet'!$B$15,Paramètres!$A$1:$I$89,5,0)</f>
        <v>1.3596945791505279E-13</v>
      </c>
      <c r="EL123" s="14">
        <f t="shared" si="99"/>
        <v>1.9708830566360721E-12</v>
      </c>
      <c r="EM123" s="22">
        <f t="shared" si="73"/>
        <v>3.669434796176543E-12</v>
      </c>
      <c r="EN123" s="62">
        <f t="shared" si="74"/>
        <v>282.10816074348031</v>
      </c>
      <c r="EO123" s="62">
        <f ca="1">AVERAGE(OFFSET($EN$3,0,0,'Données projet'!$E$15+1,1))-AVERAGE(OFFSET($H$3,0,0,'Données projet'!$E$15+1,1))</f>
        <v>281.21543175875604</v>
      </c>
      <c r="EP123" s="62">
        <f t="shared" si="100"/>
        <v>366.68536296857428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29.100455006556114</v>
      </c>
      <c r="EW123" s="23">
        <f>EXP(-LN(2)/25)*EW122+(1-EXP(-LN(2)/25))/(LN(2)/25)*Calculateur!ER123*Calculateur!ET123*VLOOKUP('Données projet'!$B$15,Paramètres!$A$1:$I$89,3,0)*0.475*44/12</f>
        <v>6.1250799861496246</v>
      </c>
      <c r="EX123" s="23">
        <f>EXP(-LN(2)/2)*EX122+(1-EXP(-LN(2)/2))/(LN(2)/2)*ER123*EU123*VLOOKUP('Données projet'!$B$15,Paramètres!$A$1:$I$89,3,0)*0.475*44/12</f>
        <v>4.8587532520040392E-9</v>
      </c>
      <c r="EY123" s="24">
        <f t="shared" si="75"/>
        <v>35.225534997564495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2.2737367544323206E-13</v>
      </c>
      <c r="FF123" s="18">
        <f>FE123*VLOOKUP('Données projet'!$B$16,Paramètres!$A$1:$I$89,3,0)*VLOOKUP('Données projet'!$B$16,Paramètres!$A$1:$I$89,5,0)</f>
        <v>1.2710188457276673E-13</v>
      </c>
      <c r="FG123" s="14">
        <f t="shared" si="101"/>
        <v>1.856866851063998E-12</v>
      </c>
      <c r="FH123" s="22">
        <f t="shared" si="76"/>
        <v>3.4554122145673649E-12</v>
      </c>
      <c r="FI123" s="62">
        <f t="shared" si="77"/>
        <v>282.10816074348008</v>
      </c>
      <c r="FJ123" s="62">
        <f ca="1">AVERAGE(OFFSET($FI$3,0,0,'Données projet'!$E$16+1,1))-AVERAGE(OFFSET($H$3,0,0,'Données projet'!$E$16+1,1))</f>
        <v>280.9225643428145</v>
      </c>
      <c r="FK123" s="62">
        <f t="shared" si="102"/>
        <v>236.89414218053955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91.03242019509284</v>
      </c>
      <c r="FR123" s="23">
        <f>EXP(-LN(2)/25)*FR122+(1-EXP(-LN(2)/25))/(LN(2)/25)*Calculateur!FM123*Calculateur!FO123*VLOOKUP('Données projet'!$B$16,Paramètres!$A$1:$I$89,3,0)*0.475*44/12</f>
        <v>19.603600893450036</v>
      </c>
      <c r="FS123" s="23">
        <f>EXP(-LN(2)/2)*FS122+(1-EXP(-LN(2)/2))/(LN(2)/2)*FM123*FP123*VLOOKUP('Données projet'!$B$16,Paramètres!$A$1:$I$89,3,0)*0.475*44/12</f>
        <v>1.2789986726012214E-10</v>
      </c>
      <c r="FT123" s="24">
        <f t="shared" si="78"/>
        <v>110.63602108867077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-5.6843418860808015E-13</v>
      </c>
      <c r="GA123" s="18">
        <f>FZ123*VLOOKUP('Données projet'!$B$17,Paramètres!$A$1:$I$89,3,0)*VLOOKUP('Données projet'!$B$17,Paramètres!$A$1:$I$89,5,0)</f>
        <v>-2.5124791136477147E-13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325.67421864225201</v>
      </c>
      <c r="GF123" s="62">
        <f t="shared" si="104"/>
        <v>542.01920418736745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58.915277610500212</v>
      </c>
      <c r="GM123" s="23">
        <f>EXP(-LN(2)/25)*GM122+(1-EXP(-LN(2)/25))/(LN(2)/25)*Calculateur!GH123*Calculateur!GJ123*VLOOKUP('Données projet'!$B$17,Paramètres!$A$1:$I$89,3,0)*0.475*44/12</f>
        <v>22.97521995404389</v>
      </c>
      <c r="GN123" s="23">
        <f>EXP(-LN(2)/2)*GN122+(1-EXP(-LN(2)/2))/(LN(2)/2)*GH123*GK123*VLOOKUP('Données projet'!$B$17,Paramètres!$A$1:$I$89,3,0)*0.475*44/12</f>
        <v>1.3026985743719062E-10</v>
      </c>
      <c r="GO123" s="23">
        <f t="shared" si="81"/>
        <v>81.890497564674376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>
        <f>VLOOKUP(A123,'Données projet'!$A$269:$I$289,2,0)</f>
        <v>152.35</v>
      </c>
      <c r="GS123" s="13">
        <f>VLOOKUP(A123,'Données projet'!$A$269:$I$289,9,0)</f>
        <v>2.8086666666666664</v>
      </c>
      <c r="GT123" s="13">
        <f t="array" ref="GT123">INDEX(GS:GS,MIN(IF(ISNUMBER(GS123:GS319),ROW(GS123:GS319),"")))</f>
        <v>2.8086666666666664</v>
      </c>
      <c r="GU123" s="13">
        <f>IF('Données projet'!$A$270&gt;35,GU122+GT123-HC122,IF(A123&lt;'Données projet'!$A$270,$GR$205^A123,IF(A123='Données projet'!$A$270,'Données projet'!$B$270,GU122+GT123-HC122)))</f>
        <v>152.34999999999974</v>
      </c>
      <c r="GV123" s="18">
        <f>GU123*VLOOKUP('Données projet'!$B$18,Paramètres!$A$1:$I$89,3,0)*VLOOKUP('Données projet'!$B$18,Paramètres!$A$1:$I$89,5,0)</f>
        <v>154.48289999999974</v>
      </c>
      <c r="GW123" s="14">
        <f t="shared" si="105"/>
        <v>39.595588146297047</v>
      </c>
      <c r="GX123" s="22">
        <f t="shared" si="82"/>
        <v>338.02003352146693</v>
      </c>
      <c r="GY123" s="62">
        <f t="shared" si="83"/>
        <v>620.12819426494355</v>
      </c>
      <c r="GZ123" s="62">
        <f ca="1">AVERAGE(OFFSET($GY$3,0,0,'Données projet'!$E$18+1,1))-AVERAGE(OFFSET($H$3,0,0,'Données projet'!$E$18+1,1))</f>
        <v>220.89224520315713</v>
      </c>
      <c r="HA123" s="62">
        <f t="shared" si="106"/>
        <v>141.82763623159096</v>
      </c>
      <c r="HB123" s="16">
        <f>IF(ISNA(VLOOKUP(A123,'Données projet'!$A$269:$I$289,3,0)),0,VLOOKUP(A123,'Données projet'!$A$269:$I$289,3,0))</f>
        <v>14</v>
      </c>
      <c r="HC123" s="16">
        <f>IF(ISNA(VLOOKUP(A123,'Données projet'!$A$269:$I$289,4,0)),0,VLOOKUP(A123,'Données projet'!$A$269:$I$289,4,0))</f>
        <v>152.35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-2.8421709430404007E-14</v>
      </c>
      <c r="O124" s="14">
        <f>N124*VLOOKUP('Données projet'!$B$9,Paramètres!$A$1:$I$89,3,0)*VLOOKUP('Données projet'!$B$9,Paramètres!$A$1:$I$89,5,0)</f>
        <v>-2.7489477361086758E-14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84.959354125980269</v>
      </c>
      <c r="T124" s="62">
        <f t="shared" si="88"/>
        <v>89.658970210276806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3.7855914613642709</v>
      </c>
      <c r="AB124" s="23">
        <f>EXP(-LN(2)/2)*AB123+(1-EXP(-LN(2)/2))/(LN(2)/2)*V124*Y124*VLOOKUP('Données projet'!$B$9,Paramètres!$A$1:$I$89,3,0)*0.475*44/12</f>
        <v>6.893476794581069E-8</v>
      </c>
      <c r="AC124" s="24">
        <f t="shared" si="57"/>
        <v>3.7855915302990391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12.027399999999998</v>
      </c>
      <c r="AI124" s="14">
        <f>IF('Données projet'!$A$62&gt;35,AI123+AH124-AQ123,IF(A124&lt;'Données projet'!$A$62,$AF$205^A124,IF(A124='Données projet'!$A$62,'Données projet'!$B$62,AI123+AH124-AQ123)))</f>
        <v>647.05339999999933</v>
      </c>
      <c r="AJ124" s="14">
        <f>AI124*VLOOKUP('Données projet'!$B$10,Paramètres!$A$1:$I$89,3,0)*VLOOKUP('Données projet'!$B$10,Paramètres!$A$1:$I$89,5,0)</f>
        <v>615.73601543999939</v>
      </c>
      <c r="AK124" s="14">
        <f t="shared" si="89"/>
        <v>134.35724665679575</v>
      </c>
      <c r="AL124" s="22">
        <f t="shared" si="58"/>
        <v>1306.4124314852513</v>
      </c>
      <c r="AM124" s="62">
        <f t="shared" si="59"/>
        <v>1588.7153238774358</v>
      </c>
      <c r="AN124" s="62">
        <f ca="1">AVERAGE(OFFSET($AM$3,0,0,'Données projet'!$E$10+1,1))-AVERAGE(OFFSET($H$3,0,0,'Données projet'!$E$10+1,1))</f>
        <v>592.76231355549089</v>
      </c>
      <c r="AO124" s="62">
        <f t="shared" si="90"/>
        <v>200.66895551079014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25.699179631162519</v>
      </c>
      <c r="AV124" s="23">
        <f>EXP(-LN(2)/25)*AV123+(1-EXP(-LN(2)/25))/(LN(2)/25)*Calculateur!AQ124*Calculateur!AS124*VLOOKUP('Données projet'!$B$10,Paramètres!$A$1:$I$89,3,0)*0.475*44/12</f>
        <v>12.243413462261781</v>
      </c>
      <c r="AW124" s="23">
        <f>EXP(-LN(2)/2)*AW123+(1-EXP(-LN(2)/2))/(LN(2)/2)*AQ124*AT124*VLOOKUP('Données projet'!$B$10,Paramètres!$A$1:$I$89,3,0)*0.475*44/12</f>
        <v>8.4684258891830834E-9</v>
      </c>
      <c r="AX124" s="23">
        <f t="shared" si="60"/>
        <v>37.942593101892726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4.4930000000000003</v>
      </c>
      <c r="BD124" s="13">
        <f>IF('Données projet'!$A$88&gt;35,BD123+BC124-BL123,IF(A124&lt;'Données projet'!$A$88,$BA$205^A124,IF(A124='Données projet'!$A$88,'Données projet'!$B$88,BD123+BC124-BL123)))</f>
        <v>204.06299999999979</v>
      </c>
      <c r="BE124" s="14">
        <f>BD124*VLOOKUP('Données projet'!$B$11,Paramètres!$A$1:$I$89,3,0)*VLOOKUP('Données projet'!$B$11,Paramètres!$A$1:$I$89,5,0)</f>
        <v>184.6362023999998</v>
      </c>
      <c r="BF124" s="14">
        <f t="shared" si="91"/>
        <v>46.352124192193813</v>
      </c>
      <c r="BG124" s="22">
        <f t="shared" si="61"/>
        <v>402.30466881473723</v>
      </c>
      <c r="BH124" s="62">
        <f t="shared" si="62"/>
        <v>684.60756120692167</v>
      </c>
      <c r="BI124" s="62">
        <f ca="1">AVERAGE(OFFSET($BH$3,0,0,'Données projet'!$E$11+1,1))-AVERAGE(OFFSET($H$3,0,0,'Données projet'!$E$11+1,1))</f>
        <v>316.71836722354374</v>
      </c>
      <c r="BJ124" s="62">
        <f t="shared" si="92"/>
        <v>164.34067012996618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33.927026250696379</v>
      </c>
      <c r="BQ124" s="23">
        <f>EXP(-LN(2)/25)*BQ123+(1-EXP(-LN(2)/25))/(LN(2)/25)*Calculateur!BL124*Calculateur!BN124*VLOOKUP('Données projet'!$B$11,Paramètres!$A$1:$I$89,3,0)*0.475*44/12</f>
        <v>3.8759846745231119</v>
      </c>
      <c r="BR124" s="23">
        <f>EXP(-LN(2)/2)*BR123+(1-EXP(-LN(2)/2))/(LN(2)/2)*BL124*BO124*VLOOKUP('Données projet'!$B$11,Paramètres!$A$1:$I$89,3,0)*0.475*44/12</f>
        <v>5.4710557197998584E-10</v>
      </c>
      <c r="BS124" s="24">
        <f t="shared" si="63"/>
        <v>37.803010925766593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2.8421709430404007E-14</v>
      </c>
      <c r="BZ124" s="14">
        <f>BY124*VLOOKUP('Données projet'!$B$12,Paramètres!$A$1:$I$89,3,0)*VLOOKUP('Données projet'!$B$12,Paramètres!$A$1:$I$89,5,0)</f>
        <v>3.2366642699344085E-14</v>
      </c>
      <c r="CA124" s="14">
        <f t="shared" si="93"/>
        <v>5.5446527398450045E-13</v>
      </c>
      <c r="CB124" s="22">
        <f t="shared" si="64"/>
        <v>1.0220655882243624E-12</v>
      </c>
      <c r="CC124" s="62">
        <f t="shared" si="65"/>
        <v>282.30289239218541</v>
      </c>
      <c r="CD124" s="62">
        <f ca="1">AVERAGE(OFFSET($CC$3,0,0,'Données projet'!$E$12+1,1))-AVERAGE(OFFSET($H$3,0,0,'Données projet'!$E$12+1,1))</f>
        <v>454.9779384236806</v>
      </c>
      <c r="CE124" s="62">
        <f t="shared" si="94"/>
        <v>379.32753348721906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75.496570369278373</v>
      </c>
      <c r="CL124" s="23">
        <f>EXP(-LN(2)/25)*CL123+(1-EXP(-LN(2)/25))/(LN(2)/25)*Calculateur!CG124*Calculateur!CI124*VLOOKUP('Données projet'!$B$12,Paramètres!$A$1:$I$89,3,0)*0.475*44/12</f>
        <v>30.350319944753043</v>
      </c>
      <c r="CM124" s="23">
        <f>EXP(-LN(2)/2)*CM123+(1-EXP(-LN(2)/2))/(LN(2)/2)*CG124*CJ124*VLOOKUP('Données projet'!$B$12,Paramètres!$A$1:$I$89,3,0)*0.475*44/12</f>
        <v>8.5738405489602465E-5</v>
      </c>
      <c r="CN124" s="24">
        <f t="shared" si="66"/>
        <v>105.8469760524369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252.10592533338991</v>
      </c>
      <c r="CZ124" s="62">
        <f t="shared" si="96"/>
        <v>272.71831345325313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27.358689553928699</v>
      </c>
      <c r="DH124" s="23">
        <f>EXP(-LN(2)/2)*DH123+(1-EXP(-LN(2)/2))/(LN(2)/2)*DB124*DE124*VLOOKUP('Données projet'!$B$13,Paramètres!$A$1:$I$89,3,0)*0.475*44/12</f>
        <v>1.1136216597018767E-8</v>
      </c>
      <c r="DI124" s="24">
        <f t="shared" si="69"/>
        <v>27.358689565064914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423.0896575168394</v>
      </c>
      <c r="DU124" s="62">
        <f t="shared" si="98"/>
        <v>305.98537395014284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67.670988969425295</v>
      </c>
      <c r="EB124" s="23">
        <f>EXP(-LN(2)/25)*EB123+(1-EXP(-LN(2)/25))/(LN(2)/25)*Calculateur!DW124*Calculateur!DY124*VLOOKUP('Données projet'!$B$14,Paramètres!$A$1:$I$89,3,0)*0.475*44/12</f>
        <v>57.394695375033187</v>
      </c>
      <c r="EC124" s="23">
        <f>EXP(-LN(2)/2)*EC123+(1-EXP(-LN(2)/2))/(LN(2)/2)*DW124*DZ124*VLOOKUP('Données projet'!$B$14,Paramètres!$A$1:$I$89,3,0)*0.475*44/12</f>
        <v>2.1832892042019613E-9</v>
      </c>
      <c r="ED124" s="24">
        <f t="shared" si="72"/>
        <v>125.06568434664176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2.2737367544323206E-13</v>
      </c>
      <c r="EK124" s="18">
        <f>EJ124*VLOOKUP('Données projet'!$B$15,Paramètres!$A$1:$I$89,3,0)*VLOOKUP('Données projet'!$B$15,Paramètres!$A$1:$I$89,5,0)</f>
        <v>1.3596945791505279E-13</v>
      </c>
      <c r="EL124" s="14">
        <f t="shared" si="99"/>
        <v>1.9708830566360721E-12</v>
      </c>
      <c r="EM124" s="22">
        <f t="shared" si="73"/>
        <v>3.669434796176543E-12</v>
      </c>
      <c r="EN124" s="62">
        <f t="shared" si="74"/>
        <v>282.30289239218808</v>
      </c>
      <c r="EO124" s="62">
        <f ca="1">AVERAGE(OFFSET($EN$3,0,0,'Données projet'!$E$15+1,1))-AVERAGE(OFFSET($H$3,0,0,'Données projet'!$E$15+1,1))</f>
        <v>281.21543175875604</v>
      </c>
      <c r="EP124" s="62">
        <f t="shared" si="100"/>
        <v>366.68536296857428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28.529812833402481</v>
      </c>
      <c r="EW124" s="23">
        <f>EXP(-LN(2)/25)*EW123+(1-EXP(-LN(2)/25))/(LN(2)/25)*Calculateur!ER124*Calculateur!ET124*VLOOKUP('Données projet'!$B$15,Paramètres!$A$1:$I$89,3,0)*0.475*44/12</f>
        <v>5.9575893518244056</v>
      </c>
      <c r="EX124" s="23">
        <f>EXP(-LN(2)/2)*EX123+(1-EXP(-LN(2)/2))/(LN(2)/2)*ER124*EU124*VLOOKUP('Données projet'!$B$15,Paramètres!$A$1:$I$89,3,0)*0.475*44/12</f>
        <v>3.4356573726042464E-9</v>
      </c>
      <c r="EY124" s="24">
        <f t="shared" si="75"/>
        <v>34.487402188662543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2.2737367544323206E-13</v>
      </c>
      <c r="FF124" s="18">
        <f>FE124*VLOOKUP('Données projet'!$B$16,Paramètres!$A$1:$I$89,3,0)*VLOOKUP('Données projet'!$B$16,Paramètres!$A$1:$I$89,5,0)</f>
        <v>1.2710188457276673E-13</v>
      </c>
      <c r="FG124" s="14">
        <f t="shared" si="101"/>
        <v>1.856866851063998E-12</v>
      </c>
      <c r="FH124" s="22">
        <f t="shared" si="76"/>
        <v>3.4554122145673649E-12</v>
      </c>
      <c r="FI124" s="62">
        <f t="shared" si="77"/>
        <v>282.30289239218786</v>
      </c>
      <c r="FJ124" s="62">
        <f ca="1">AVERAGE(OFFSET($FI$3,0,0,'Données projet'!$E$16+1,1))-AVERAGE(OFFSET($H$3,0,0,'Données projet'!$E$16+1,1))</f>
        <v>280.9225643428145</v>
      </c>
      <c r="FK124" s="62">
        <f t="shared" si="102"/>
        <v>236.89414218053955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89.247329959360826</v>
      </c>
      <c r="FR124" s="23">
        <f>EXP(-LN(2)/25)*FR123+(1-EXP(-LN(2)/25))/(LN(2)/25)*Calculateur!FM124*Calculateur!FO124*VLOOKUP('Données projet'!$B$16,Paramètres!$A$1:$I$89,3,0)*0.475*44/12</f>
        <v>19.067539396110078</v>
      </c>
      <c r="FS124" s="23">
        <f>EXP(-LN(2)/2)*FS123+(1-EXP(-LN(2)/2))/(LN(2)/2)*FM124*FP124*VLOOKUP('Données projet'!$B$16,Paramètres!$A$1:$I$89,3,0)*0.475*44/12</f>
        <v>9.0438863452491663E-11</v>
      </c>
      <c r="FT124" s="24">
        <f t="shared" si="78"/>
        <v>108.31486935556134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-5.6843418860808015E-13</v>
      </c>
      <c r="GA124" s="18">
        <f>FZ124*VLOOKUP('Données projet'!$B$17,Paramètres!$A$1:$I$89,3,0)*VLOOKUP('Données projet'!$B$17,Paramètres!$A$1:$I$89,5,0)</f>
        <v>-2.5124791136477147E-13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325.67421864225201</v>
      </c>
      <c r="GF124" s="62">
        <f t="shared" si="104"/>
        <v>542.01920418736745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57.759984951329379</v>
      </c>
      <c r="GM124" s="23">
        <f>EXP(-LN(2)/25)*GM123+(1-EXP(-LN(2)/25))/(LN(2)/25)*Calculateur!GH124*Calculateur!GJ124*VLOOKUP('Données projet'!$B$17,Paramètres!$A$1:$I$89,3,0)*0.475*44/12</f>
        <v>22.346961356186252</v>
      </c>
      <c r="GN124" s="23">
        <f>EXP(-LN(2)/2)*GN123+(1-EXP(-LN(2)/2))/(LN(2)/2)*GH124*GK124*VLOOKUP('Données projet'!$B$17,Paramètres!$A$1:$I$89,3,0)*0.475*44/12</f>
        <v>9.2114699578042288E-11</v>
      </c>
      <c r="GO124" s="23">
        <f t="shared" si="81"/>
        <v>80.106946307607743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-2.5579538487363607E-13</v>
      </c>
      <c r="GV124" s="18">
        <f>GU124*VLOOKUP('Données projet'!$B$18,Paramètres!$A$1:$I$89,3,0)*VLOOKUP('Données projet'!$B$18,Paramètres!$A$1:$I$89,5,0)</f>
        <v>-2.5937652026186701E-13</v>
      </c>
      <c r="GW124" s="14" t="e">
        <f t="shared" si="105"/>
        <v>#NUM!</v>
      </c>
      <c r="GX124" s="22" t="e">
        <f t="shared" si="82"/>
        <v>#NUM!</v>
      </c>
      <c r="GY124" s="62" t="e">
        <f t="shared" si="83"/>
        <v>#NUM!</v>
      </c>
      <c r="GZ124" s="62">
        <f ca="1">AVERAGE(OFFSET($GY$3,0,0,'Données projet'!$E$18+1,1))-AVERAGE(OFFSET($H$3,0,0,'Données projet'!$E$18+1,1))</f>
        <v>220.89224520315713</v>
      </c>
      <c r="HA124" s="62">
        <f t="shared" si="106"/>
        <v>141.82763623159096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-2.8421709430404007E-14</v>
      </c>
      <c r="O125" s="14">
        <f>N125*VLOOKUP('Données projet'!$B$9,Paramètres!$A$1:$I$89,3,0)*VLOOKUP('Données projet'!$B$9,Paramètres!$A$1:$I$89,5,0)</f>
        <v>-2.7489477361086758E-14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84.959354125980269</v>
      </c>
      <c r="T125" s="62">
        <f t="shared" si="88"/>
        <v>89.658970210276806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3.682074263777662</v>
      </c>
      <c r="AB125" s="23">
        <f>EXP(-LN(2)/2)*AB124+(1-EXP(-LN(2)/2))/(LN(2)/2)*V125*Y125*VLOOKUP('Données projet'!$B$9,Paramètres!$A$1:$I$89,3,0)*0.475*44/12</f>
        <v>4.874424187400379E-8</v>
      </c>
      <c r="AC125" s="24">
        <f t="shared" si="57"/>
        <v>3.682074312521904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12.027399999999998</v>
      </c>
      <c r="AI125" s="14">
        <f>IF('Données projet'!$A$62&gt;35,AI124+AH125-AQ124,IF(A125&lt;'Données projet'!$A$62,$AF$205^A125,IF(A125='Données projet'!$A$62,'Données projet'!$B$62,AI124+AH125-AQ124)))</f>
        <v>659.08079999999927</v>
      </c>
      <c r="AJ125" s="14">
        <f>AI125*VLOOKUP('Données projet'!$B$10,Paramètres!$A$1:$I$89,3,0)*VLOOKUP('Données projet'!$B$10,Paramètres!$A$1:$I$89,5,0)</f>
        <v>627.18128927999931</v>
      </c>
      <c r="AK125" s="14">
        <f t="shared" si="89"/>
        <v>136.5616018417501</v>
      </c>
      <c r="AL125" s="22">
        <f t="shared" si="58"/>
        <v>1330.1855353703802</v>
      </c>
      <c r="AM125" s="62">
        <f t="shared" si="59"/>
        <v>1612.6797812525219</v>
      </c>
      <c r="AN125" s="62">
        <f ca="1">AVERAGE(OFFSET($AM$3,0,0,'Données projet'!$E$10+1,1))-AVERAGE(OFFSET($H$3,0,0,'Données projet'!$E$10+1,1))</f>
        <v>592.76231355549089</v>
      </c>
      <c r="AO125" s="62">
        <f t="shared" si="90"/>
        <v>200.66895551079014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25.195234393547224</v>
      </c>
      <c r="AV125" s="23">
        <f>EXP(-LN(2)/25)*AV124+(1-EXP(-LN(2)/25))/(LN(2)/25)*Calculateur!AQ125*Calculateur!AS125*VLOOKUP('Données projet'!$B$10,Paramètres!$A$1:$I$89,3,0)*0.475*44/12</f>
        <v>11.908616677283101</v>
      </c>
      <c r="AW125" s="23">
        <f>EXP(-LN(2)/2)*AW124+(1-EXP(-LN(2)/2))/(LN(2)/2)*AQ125*AT125*VLOOKUP('Données projet'!$B$10,Paramètres!$A$1:$I$89,3,0)*0.475*44/12</f>
        <v>5.9880813722170769E-9</v>
      </c>
      <c r="AX125" s="23">
        <f t="shared" si="60"/>
        <v>37.103851076818408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4.4930000000000003</v>
      </c>
      <c r="BD125" s="13">
        <f>IF('Données projet'!$A$88&gt;35,BD124+BC125-BL124,IF(A125&lt;'Données projet'!$A$88,$BA$205^A125,IF(A125='Données projet'!$A$88,'Données projet'!$B$88,BD124+BC125-BL124)))</f>
        <v>208.55599999999978</v>
      </c>
      <c r="BE125" s="14">
        <f>BD125*VLOOKUP('Données projet'!$B$11,Paramètres!$A$1:$I$89,3,0)*VLOOKUP('Données projet'!$B$11,Paramètres!$A$1:$I$89,5,0)</f>
        <v>188.70146879999982</v>
      </c>
      <c r="BF125" s="14">
        <f t="shared" si="91"/>
        <v>47.252751556428066</v>
      </c>
      <c r="BG125" s="22">
        <f t="shared" si="61"/>
        <v>410.95360045411189</v>
      </c>
      <c r="BH125" s="62">
        <f t="shared" si="62"/>
        <v>693.44784633625363</v>
      </c>
      <c r="BI125" s="62">
        <f ca="1">AVERAGE(OFFSET($BH$3,0,0,'Données projet'!$E$11+1,1))-AVERAGE(OFFSET($H$3,0,0,'Données projet'!$E$11+1,1))</f>
        <v>316.71836722354374</v>
      </c>
      <c r="BJ125" s="62">
        <f t="shared" si="92"/>
        <v>164.34067012996618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33.261737959362925</v>
      </c>
      <c r="BQ125" s="23">
        <f>EXP(-LN(2)/25)*BQ124+(1-EXP(-LN(2)/25))/(LN(2)/25)*Calculateur!BL125*Calculateur!BN125*VLOOKUP('Données projet'!$B$11,Paramètres!$A$1:$I$89,3,0)*0.475*44/12</f>
        <v>3.7699956697691022</v>
      </c>
      <c r="BR125" s="23">
        <f>EXP(-LN(2)/2)*BR124+(1-EXP(-LN(2)/2))/(LN(2)/2)*BL125*BO125*VLOOKUP('Données projet'!$B$11,Paramètres!$A$1:$I$89,3,0)*0.475*44/12</f>
        <v>3.8686205997199277E-10</v>
      </c>
      <c r="BS125" s="24">
        <f t="shared" si="63"/>
        <v>37.031733629518889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2.8421709430404007E-14</v>
      </c>
      <c r="BZ125" s="14">
        <f>BY125*VLOOKUP('Données projet'!$B$12,Paramètres!$A$1:$I$89,3,0)*VLOOKUP('Données projet'!$B$12,Paramètres!$A$1:$I$89,5,0)</f>
        <v>3.2366642699344085E-14</v>
      </c>
      <c r="CA125" s="14">
        <f t="shared" si="93"/>
        <v>5.5446527398450045E-13</v>
      </c>
      <c r="CB125" s="22">
        <f t="shared" si="64"/>
        <v>1.0220655882243624E-12</v>
      </c>
      <c r="CC125" s="62">
        <f t="shared" si="65"/>
        <v>282.49424588214282</v>
      </c>
      <c r="CD125" s="62">
        <f ca="1">AVERAGE(OFFSET($CC$3,0,0,'Données projet'!$E$12+1,1))-AVERAGE(OFFSET($H$3,0,0,'Données projet'!$E$12+1,1))</f>
        <v>454.9779384236806</v>
      </c>
      <c r="CE125" s="62">
        <f t="shared" si="94"/>
        <v>379.32753348721906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74.016128672697846</v>
      </c>
      <c r="CL125" s="23">
        <f>EXP(-LN(2)/25)*CL124+(1-EXP(-LN(2)/25))/(LN(2)/25)*Calculateur!CG125*Calculateur!CI125*VLOOKUP('Données projet'!$B$12,Paramètres!$A$1:$I$89,3,0)*0.475*44/12</f>
        <v>29.520388849809812</v>
      </c>
      <c r="CM125" s="23">
        <f>EXP(-LN(2)/2)*CM124+(1-EXP(-LN(2)/2))/(LN(2)/2)*CG125*CJ125*VLOOKUP('Données projet'!$B$12,Paramètres!$A$1:$I$89,3,0)*0.475*44/12</f>
        <v>6.0626207929819818E-5</v>
      </c>
      <c r="CN125" s="24">
        <f t="shared" si="66"/>
        <v>103.53657814871559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252.10592533338991</v>
      </c>
      <c r="CZ125" s="62">
        <f t="shared" si="96"/>
        <v>272.71831345325313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26.610564749345563</v>
      </c>
      <c r="DH125" s="23">
        <f>EXP(-LN(2)/2)*DH124+(1-EXP(-LN(2)/2))/(LN(2)/2)*DB125*DE125*VLOOKUP('Données projet'!$B$13,Paramètres!$A$1:$I$89,3,0)*0.475*44/12</f>
        <v>7.8744942725141484E-9</v>
      </c>
      <c r="DI125" s="24">
        <f t="shared" si="69"/>
        <v>26.610564757220057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423.0896575168394</v>
      </c>
      <c r="DU125" s="62">
        <f t="shared" si="98"/>
        <v>305.98537395014284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66.344002150962552</v>
      </c>
      <c r="EB125" s="23">
        <f>EXP(-LN(2)/25)*EB124+(1-EXP(-LN(2)/25))/(LN(2)/25)*Calculateur!DW125*Calculateur!DY125*VLOOKUP('Données projet'!$B$14,Paramètres!$A$1:$I$89,3,0)*0.475*44/12</f>
        <v>55.825234411747054</v>
      </c>
      <c r="EC125" s="23">
        <f>EXP(-LN(2)/2)*EC124+(1-EXP(-LN(2)/2))/(LN(2)/2)*DW125*DZ125*VLOOKUP('Données projet'!$B$14,Paramètres!$A$1:$I$89,3,0)*0.475*44/12</f>
        <v>1.5438186015825877E-9</v>
      </c>
      <c r="ED125" s="24">
        <f t="shared" si="72"/>
        <v>122.16923656425344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2.2737367544323206E-13</v>
      </c>
      <c r="EK125" s="18">
        <f>EJ125*VLOOKUP('Données projet'!$B$15,Paramètres!$A$1:$I$89,3,0)*VLOOKUP('Données projet'!$B$15,Paramètres!$A$1:$I$89,5,0)</f>
        <v>1.3596945791505279E-13</v>
      </c>
      <c r="EL125" s="14">
        <f t="shared" si="99"/>
        <v>1.9708830566360721E-12</v>
      </c>
      <c r="EM125" s="22">
        <f t="shared" si="73"/>
        <v>3.669434796176543E-12</v>
      </c>
      <c r="EN125" s="62">
        <f t="shared" si="74"/>
        <v>282.49424588214549</v>
      </c>
      <c r="EO125" s="62">
        <f ca="1">AVERAGE(OFFSET($EN$3,0,0,'Données projet'!$E$15+1,1))-AVERAGE(OFFSET($H$3,0,0,'Données projet'!$E$15+1,1))</f>
        <v>281.21543175875604</v>
      </c>
      <c r="EP125" s="62">
        <f t="shared" si="100"/>
        <v>366.68536296857428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27.970360605207034</v>
      </c>
      <c r="EW125" s="23">
        <f>EXP(-LN(2)/25)*EW124+(1-EXP(-LN(2)/25))/(LN(2)/25)*Calculateur!ER125*Calculateur!ET125*VLOOKUP('Données projet'!$B$15,Paramètres!$A$1:$I$89,3,0)*0.475*44/12</f>
        <v>5.7946787577027594</v>
      </c>
      <c r="EX125" s="23">
        <f>EXP(-LN(2)/2)*EX124+(1-EXP(-LN(2)/2))/(LN(2)/2)*ER125*EU125*VLOOKUP('Données projet'!$B$15,Paramètres!$A$1:$I$89,3,0)*0.475*44/12</f>
        <v>2.4293766260020196E-9</v>
      </c>
      <c r="EY125" s="24">
        <f t="shared" si="75"/>
        <v>33.76503936533917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2.2737367544323206E-13</v>
      </c>
      <c r="FF125" s="18">
        <f>FE125*VLOOKUP('Données projet'!$B$16,Paramètres!$A$1:$I$89,3,0)*VLOOKUP('Données projet'!$B$16,Paramètres!$A$1:$I$89,5,0)</f>
        <v>1.2710188457276673E-13</v>
      </c>
      <c r="FG125" s="14">
        <f t="shared" si="101"/>
        <v>1.856866851063998E-12</v>
      </c>
      <c r="FH125" s="22">
        <f t="shared" si="76"/>
        <v>3.4554122145673649E-12</v>
      </c>
      <c r="FI125" s="62">
        <f t="shared" si="77"/>
        <v>282.49424588214526</v>
      </c>
      <c r="FJ125" s="62">
        <f ca="1">AVERAGE(OFFSET($FI$3,0,0,'Données projet'!$E$16+1,1))-AVERAGE(OFFSET($H$3,0,0,'Données projet'!$E$16+1,1))</f>
        <v>280.9225643428145</v>
      </c>
      <c r="FK125" s="62">
        <f t="shared" si="102"/>
        <v>236.89414218053955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87.497244254353973</v>
      </c>
      <c r="FR125" s="23">
        <f>EXP(-LN(2)/25)*FR124+(1-EXP(-LN(2)/25))/(LN(2)/25)*Calculateur!FM125*Calculateur!FO125*VLOOKUP('Données projet'!$B$16,Paramètres!$A$1:$I$89,3,0)*0.475*44/12</f>
        <v>18.546136528605132</v>
      </c>
      <c r="FS125" s="23">
        <f>EXP(-LN(2)/2)*FS124+(1-EXP(-LN(2)/2))/(LN(2)/2)*FM125*FP125*VLOOKUP('Données projet'!$B$16,Paramètres!$A$1:$I$89,3,0)*0.475*44/12</f>
        <v>6.3949933630061071E-11</v>
      </c>
      <c r="FT125" s="24">
        <f t="shared" si="78"/>
        <v>106.04338078302305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-5.6843418860808015E-13</v>
      </c>
      <c r="GA125" s="18">
        <f>FZ125*VLOOKUP('Données projet'!$B$17,Paramètres!$A$1:$I$89,3,0)*VLOOKUP('Données projet'!$B$17,Paramètres!$A$1:$I$89,5,0)</f>
        <v>-2.5124791136477147E-13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325.67421864225201</v>
      </c>
      <c r="GF125" s="62">
        <f t="shared" si="104"/>
        <v>542.01920418736745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56.627346876545943</v>
      </c>
      <c r="GM125" s="23">
        <f>EXP(-LN(2)/25)*GM124+(1-EXP(-LN(2)/25))/(LN(2)/25)*Calculateur!GH125*Calculateur!GJ125*VLOOKUP('Données projet'!$B$17,Paramètres!$A$1:$I$89,3,0)*0.475*44/12</f>
        <v>21.735882522725717</v>
      </c>
      <c r="GN125" s="23">
        <f>EXP(-LN(2)/2)*GN124+(1-EXP(-LN(2)/2))/(LN(2)/2)*GH125*GK125*VLOOKUP('Données projet'!$B$17,Paramètres!$A$1:$I$89,3,0)*0.475*44/12</f>
        <v>6.5134928718595308E-11</v>
      </c>
      <c r="GO125" s="23">
        <f t="shared" si="81"/>
        <v>78.363229399336788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-2.5579538487363607E-13</v>
      </c>
      <c r="GV125" s="18">
        <f>GU125*VLOOKUP('Données projet'!$B$18,Paramètres!$A$1:$I$89,3,0)*VLOOKUP('Données projet'!$B$18,Paramètres!$A$1:$I$89,5,0)</f>
        <v>-2.5937652026186701E-13</v>
      </c>
      <c r="GW125" s="14" t="e">
        <f t="shared" si="105"/>
        <v>#NUM!</v>
      </c>
      <c r="GX125" s="22" t="e">
        <f t="shared" si="82"/>
        <v>#NUM!</v>
      </c>
      <c r="GY125" s="62" t="e">
        <f t="shared" si="83"/>
        <v>#NUM!</v>
      </c>
      <c r="GZ125" s="62">
        <f ca="1">AVERAGE(OFFSET($GY$3,0,0,'Données projet'!$E$18+1,1))-AVERAGE(OFFSET($H$3,0,0,'Données projet'!$E$18+1,1))</f>
        <v>220.89224520315713</v>
      </c>
      <c r="HA125" s="62">
        <f t="shared" si="106"/>
        <v>141.82763623159096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-2.8421709430404007E-14</v>
      </c>
      <c r="O126" s="14">
        <f>N126*VLOOKUP('Données projet'!$B$9,Paramètres!$A$1:$I$89,3,0)*VLOOKUP('Données projet'!$B$9,Paramètres!$A$1:$I$89,5,0)</f>
        <v>-2.7489477361086758E-14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84.959354125980269</v>
      </c>
      <c r="T126" s="62">
        <f t="shared" si="88"/>
        <v>89.658970210276806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3.5813877494027917</v>
      </c>
      <c r="AB126" s="23">
        <f>EXP(-LN(2)/2)*AB125+(1-EXP(-LN(2)/2))/(LN(2)/2)*V126*Y126*VLOOKUP('Données projet'!$B$9,Paramètres!$A$1:$I$89,3,0)*0.475*44/12</f>
        <v>3.4467383972905345E-8</v>
      </c>
      <c r="AC126" s="24">
        <f t="shared" si="57"/>
        <v>3.5813877838701758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12.027399999999998</v>
      </c>
      <c r="AI126" s="14">
        <f>IF('Données projet'!$A$62&gt;35,AI125+AH126-AQ125,IF(A126&lt;'Données projet'!$A$62,$AF$205^A126,IF(A126='Données projet'!$A$62,'Données projet'!$B$62,AI125+AH126-AQ125)))</f>
        <v>671.10819999999921</v>
      </c>
      <c r="AJ126" s="14">
        <f>AI126*VLOOKUP('Données projet'!$B$10,Paramètres!$A$1:$I$89,3,0)*VLOOKUP('Données projet'!$B$10,Paramètres!$A$1:$I$89,5,0)</f>
        <v>638.62656311999922</v>
      </c>
      <c r="AK126" s="14">
        <f t="shared" si="89"/>
        <v>138.76127933108538</v>
      </c>
      <c r="AL126" s="22">
        <f t="shared" si="58"/>
        <v>1353.9504922689723</v>
      </c>
      <c r="AM126" s="62">
        <f t="shared" si="59"/>
        <v>1636.632772085823</v>
      </c>
      <c r="AN126" s="62">
        <f ca="1">AVERAGE(OFFSET($AM$3,0,0,'Données projet'!$E$10+1,1))-AVERAGE(OFFSET($H$3,0,0,'Données projet'!$E$10+1,1))</f>
        <v>592.76231355549089</v>
      </c>
      <c r="AO126" s="62">
        <f t="shared" si="90"/>
        <v>200.66895551079014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24.701171214665322</v>
      </c>
      <c r="AV126" s="23">
        <f>EXP(-LN(2)/25)*AV125+(1-EXP(-LN(2)/25))/(LN(2)/25)*Calculateur!AQ126*Calculateur!AS126*VLOOKUP('Données projet'!$B$10,Paramètres!$A$1:$I$89,3,0)*0.475*44/12</f>
        <v>11.582974927995862</v>
      </c>
      <c r="AW126" s="23">
        <f>EXP(-LN(2)/2)*AW125+(1-EXP(-LN(2)/2))/(LN(2)/2)*AQ126*AT126*VLOOKUP('Données projet'!$B$10,Paramètres!$A$1:$I$89,3,0)*0.475*44/12</f>
        <v>4.2342129445915417E-9</v>
      </c>
      <c r="AX126" s="23">
        <f t="shared" si="60"/>
        <v>36.284146146895395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4.4930000000000003</v>
      </c>
      <c r="BD126" s="13">
        <f>IF('Données projet'!$A$88&gt;35,BD125+BC126-BL125,IF(A126&lt;'Données projet'!$A$88,$BA$205^A126,IF(A126='Données projet'!$A$88,'Données projet'!$B$88,BD125+BC126-BL125)))</f>
        <v>213.04899999999978</v>
      </c>
      <c r="BE126" s="14">
        <f>BD126*VLOOKUP('Données projet'!$B$11,Paramètres!$A$1:$I$89,3,0)*VLOOKUP('Données projet'!$B$11,Paramètres!$A$1:$I$89,5,0)</f>
        <v>192.7667351999998</v>
      </c>
      <c r="BF126" s="14">
        <f t="shared" si="91"/>
        <v>48.151123108451436</v>
      </c>
      <c r="BG126" s="22">
        <f t="shared" si="61"/>
        <v>419.59860322055255</v>
      </c>
      <c r="BH126" s="62">
        <f t="shared" si="62"/>
        <v>702.28088303740321</v>
      </c>
      <c r="BI126" s="62">
        <f ca="1">AVERAGE(OFFSET($BH$3,0,0,'Données projet'!$E$11+1,1))-AVERAGE(OFFSET($H$3,0,0,'Données projet'!$E$11+1,1))</f>
        <v>316.71836722354374</v>
      </c>
      <c r="BJ126" s="62">
        <f t="shared" si="92"/>
        <v>164.34067012996618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32.609495565636735</v>
      </c>
      <c r="BQ126" s="23">
        <f>EXP(-LN(2)/25)*BQ125+(1-EXP(-LN(2)/25))/(LN(2)/25)*Calculateur!BL126*Calculateur!BN126*VLOOKUP('Données projet'!$B$11,Paramètres!$A$1:$I$89,3,0)*0.475*44/12</f>
        <v>3.6669049399238101</v>
      </c>
      <c r="BR126" s="23">
        <f>EXP(-LN(2)/2)*BR125+(1-EXP(-LN(2)/2))/(LN(2)/2)*BL126*BO126*VLOOKUP('Données projet'!$B$11,Paramètres!$A$1:$I$89,3,0)*0.475*44/12</f>
        <v>2.7355278598999292E-10</v>
      </c>
      <c r="BS126" s="24">
        <f t="shared" si="63"/>
        <v>36.276400505834097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2.8421709430404007E-14</v>
      </c>
      <c r="BZ126" s="14">
        <f>BY126*VLOOKUP('Données projet'!$B$12,Paramètres!$A$1:$I$89,3,0)*VLOOKUP('Données projet'!$B$12,Paramètres!$A$1:$I$89,5,0)</f>
        <v>3.2366642699344085E-14</v>
      </c>
      <c r="CA126" s="14">
        <f t="shared" si="93"/>
        <v>5.5446527398450045E-13</v>
      </c>
      <c r="CB126" s="22">
        <f t="shared" si="64"/>
        <v>1.0220655882243624E-12</v>
      </c>
      <c r="CC126" s="62">
        <f t="shared" si="65"/>
        <v>282.68227981685169</v>
      </c>
      <c r="CD126" s="62">
        <f ca="1">AVERAGE(OFFSET($CC$3,0,0,'Données projet'!$E$12+1,1))-AVERAGE(OFFSET($H$3,0,0,'Données projet'!$E$12+1,1))</f>
        <v>454.9779384236806</v>
      </c>
      <c r="CE126" s="62">
        <f t="shared" si="94"/>
        <v>379.32753348721906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72.564717534807002</v>
      </c>
      <c r="CL126" s="23">
        <f>EXP(-LN(2)/25)*CL125+(1-EXP(-LN(2)/25))/(LN(2)/25)*Calculateur!CG126*Calculateur!CI126*VLOOKUP('Données projet'!$B$12,Paramètres!$A$1:$I$89,3,0)*0.475*44/12</f>
        <v>28.713152264301982</v>
      </c>
      <c r="CM126" s="23">
        <f>EXP(-LN(2)/2)*CM125+(1-EXP(-LN(2)/2))/(LN(2)/2)*CG126*CJ126*VLOOKUP('Données projet'!$B$12,Paramètres!$A$1:$I$89,3,0)*0.475*44/12</f>
        <v>4.2869202744801239E-5</v>
      </c>
      <c r="CN126" s="24">
        <f t="shared" si="66"/>
        <v>101.27791266831173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252.10592533338991</v>
      </c>
      <c r="CZ126" s="62">
        <f t="shared" si="96"/>
        <v>272.71831345325313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25.882897456885928</v>
      </c>
      <c r="DH126" s="23">
        <f>EXP(-LN(2)/2)*DH125+(1-EXP(-LN(2)/2))/(LN(2)/2)*DB126*DE126*VLOOKUP('Données projet'!$B$13,Paramètres!$A$1:$I$89,3,0)*0.475*44/12</f>
        <v>5.5681082985093837E-9</v>
      </c>
      <c r="DI126" s="24">
        <f t="shared" si="69"/>
        <v>25.882897462454036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423.0896575168394</v>
      </c>
      <c r="DU126" s="62">
        <f t="shared" si="98"/>
        <v>305.98537395014284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65.043036734627819</v>
      </c>
      <c r="EB126" s="23">
        <f>EXP(-LN(2)/25)*EB125+(1-EXP(-LN(2)/25))/(LN(2)/25)*Calculateur!DW126*Calculateur!DY126*VLOOKUP('Données projet'!$B$14,Paramètres!$A$1:$I$89,3,0)*0.475*44/12</f>
        <v>54.298690441036342</v>
      </c>
      <c r="EC126" s="23">
        <f>EXP(-LN(2)/2)*EC125+(1-EXP(-LN(2)/2))/(LN(2)/2)*DW126*DZ126*VLOOKUP('Données projet'!$B$14,Paramètres!$A$1:$I$89,3,0)*0.475*44/12</f>
        <v>1.0916446021009806E-9</v>
      </c>
      <c r="ED126" s="24">
        <f t="shared" si="72"/>
        <v>119.34172717675581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2.2737367544323206E-13</v>
      </c>
      <c r="EK126" s="18">
        <f>EJ126*VLOOKUP('Données projet'!$B$15,Paramètres!$A$1:$I$89,3,0)*VLOOKUP('Données projet'!$B$15,Paramètres!$A$1:$I$89,5,0)</f>
        <v>1.3596945791505279E-13</v>
      </c>
      <c r="EL126" s="14">
        <f t="shared" si="99"/>
        <v>1.9708830566360721E-12</v>
      </c>
      <c r="EM126" s="22">
        <f t="shared" si="73"/>
        <v>3.669434796176543E-12</v>
      </c>
      <c r="EN126" s="62">
        <f t="shared" si="74"/>
        <v>282.68227981685436</v>
      </c>
      <c r="EO126" s="62">
        <f ca="1">AVERAGE(OFFSET($EN$3,0,0,'Données projet'!$E$15+1,1))-AVERAGE(OFFSET($H$3,0,0,'Données projet'!$E$15+1,1))</f>
        <v>281.21543175875604</v>
      </c>
      <c r="EP126" s="62">
        <f t="shared" si="100"/>
        <v>366.68536296857428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27.421878893974334</v>
      </c>
      <c r="EW126" s="23">
        <f>EXP(-LN(2)/25)*EW125+(1-EXP(-LN(2)/25))/(LN(2)/25)*Calculateur!ER126*Calculateur!ET126*VLOOKUP('Données projet'!$B$15,Paramètres!$A$1:$I$89,3,0)*0.475*44/12</f>
        <v>5.6362229623444655</v>
      </c>
      <c r="EX126" s="23">
        <f>EXP(-LN(2)/2)*EX125+(1-EXP(-LN(2)/2))/(LN(2)/2)*ER126*EU126*VLOOKUP('Données projet'!$B$15,Paramètres!$A$1:$I$89,3,0)*0.475*44/12</f>
        <v>1.7178286863021232E-9</v>
      </c>
      <c r="EY126" s="24">
        <f t="shared" si="75"/>
        <v>33.058101858036629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2.2737367544323206E-13</v>
      </c>
      <c r="FF126" s="18">
        <f>FE126*VLOOKUP('Données projet'!$B$16,Paramètres!$A$1:$I$89,3,0)*VLOOKUP('Données projet'!$B$16,Paramètres!$A$1:$I$89,5,0)</f>
        <v>1.2710188457276673E-13</v>
      </c>
      <c r="FG126" s="14">
        <f t="shared" si="101"/>
        <v>1.856866851063998E-12</v>
      </c>
      <c r="FH126" s="22">
        <f t="shared" si="76"/>
        <v>3.4554122145673649E-12</v>
      </c>
      <c r="FI126" s="62">
        <f t="shared" si="77"/>
        <v>282.68227981685413</v>
      </c>
      <c r="FJ126" s="62">
        <f ca="1">AVERAGE(OFFSET($FI$3,0,0,'Données projet'!$E$16+1,1))-AVERAGE(OFFSET($H$3,0,0,'Données projet'!$E$16+1,1))</f>
        <v>280.9225643428145</v>
      </c>
      <c r="FK126" s="62">
        <f t="shared" si="102"/>
        <v>236.89414218053955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85.781476662575429</v>
      </c>
      <c r="FR126" s="23">
        <f>EXP(-LN(2)/25)*FR125+(1-EXP(-LN(2)/25))/(LN(2)/25)*Calculateur!FM126*Calculateur!FO126*VLOOKUP('Données projet'!$B$16,Paramètres!$A$1:$I$89,3,0)*0.475*44/12</f>
        <v>18.038991449931491</v>
      </c>
      <c r="FS126" s="23">
        <f>EXP(-LN(2)/2)*FS125+(1-EXP(-LN(2)/2))/(LN(2)/2)*FM126*FP126*VLOOKUP('Données projet'!$B$16,Paramètres!$A$1:$I$89,3,0)*0.475*44/12</f>
        <v>4.5219431726245832E-11</v>
      </c>
      <c r="FT126" s="24">
        <f t="shared" si="78"/>
        <v>103.82046811255213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-5.6843418860808015E-13</v>
      </c>
      <c r="GA126" s="18">
        <f>FZ126*VLOOKUP('Données projet'!$B$17,Paramètres!$A$1:$I$89,3,0)*VLOOKUP('Données projet'!$B$17,Paramètres!$A$1:$I$89,5,0)</f>
        <v>-2.5124791136477147E-13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325.67421864225201</v>
      </c>
      <c r="GF126" s="62">
        <f t="shared" si="104"/>
        <v>542.01920418736745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55.516919143568003</v>
      </c>
      <c r="GM126" s="23">
        <f>EXP(-LN(2)/25)*GM125+(1-EXP(-LN(2)/25))/(LN(2)/25)*Calculateur!GH126*Calculateur!GJ126*VLOOKUP('Données projet'!$B$17,Paramètres!$A$1:$I$89,3,0)*0.475*44/12</f>
        <v>21.1415136721014</v>
      </c>
      <c r="GN126" s="23">
        <f>EXP(-LN(2)/2)*GN125+(1-EXP(-LN(2)/2))/(LN(2)/2)*GH126*GK126*VLOOKUP('Données projet'!$B$17,Paramètres!$A$1:$I$89,3,0)*0.475*44/12</f>
        <v>4.6057349789021144E-11</v>
      </c>
      <c r="GO126" s="23">
        <f t="shared" si="81"/>
        <v>76.658432815715457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-2.5579538487363607E-13</v>
      </c>
      <c r="GV126" s="18">
        <f>GU126*VLOOKUP('Données projet'!$B$18,Paramètres!$A$1:$I$89,3,0)*VLOOKUP('Données projet'!$B$18,Paramètres!$A$1:$I$89,5,0)</f>
        <v>-2.5937652026186701E-13</v>
      </c>
      <c r="GW126" s="14" t="e">
        <f t="shared" si="105"/>
        <v>#NUM!</v>
      </c>
      <c r="GX126" s="22" t="e">
        <f t="shared" si="82"/>
        <v>#NUM!</v>
      </c>
      <c r="GY126" s="62" t="e">
        <f t="shared" si="83"/>
        <v>#NUM!</v>
      </c>
      <c r="GZ126" s="62">
        <f ca="1">AVERAGE(OFFSET($GY$3,0,0,'Données projet'!$E$18+1,1))-AVERAGE(OFFSET($H$3,0,0,'Données projet'!$E$18+1,1))</f>
        <v>220.89224520315713</v>
      </c>
      <c r="HA126" s="62">
        <f t="shared" si="106"/>
        <v>141.82763623159096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-2.8421709430404007E-14</v>
      </c>
      <c r="O127" s="14">
        <f>N127*VLOOKUP('Données projet'!$B$9,Paramètres!$A$1:$I$89,3,0)*VLOOKUP('Données projet'!$B$9,Paramètres!$A$1:$I$89,5,0)</f>
        <v>-2.7489477361086758E-14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84.959354125980269</v>
      </c>
      <c r="T127" s="62">
        <f t="shared" si="88"/>
        <v>89.658970210276806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3.4834545130583758</v>
      </c>
      <c r="AB127" s="23">
        <f>EXP(-LN(2)/2)*AB126+(1-EXP(-LN(2)/2))/(LN(2)/2)*V127*Y127*VLOOKUP('Données projet'!$B$9,Paramètres!$A$1:$I$89,3,0)*0.475*44/12</f>
        <v>2.4372120937001895E-8</v>
      </c>
      <c r="AC127" s="24">
        <f t="shared" si="57"/>
        <v>3.4834545374304966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12.027399999999998</v>
      </c>
      <c r="AI127" s="14">
        <f>IF('Données projet'!$A$62&gt;35,AI126+AH127-AQ126,IF(A127&lt;'Données projet'!$A$62,$AF$205^A127,IF(A127='Données projet'!$A$62,'Données projet'!$B$62,AI126+AH127-AQ126)))</f>
        <v>683.13559999999916</v>
      </c>
      <c r="AJ127" s="14">
        <f>AI127*VLOOKUP('Données projet'!$B$10,Paramètres!$A$1:$I$89,3,0)*VLOOKUP('Données projet'!$B$10,Paramètres!$A$1:$I$89,5,0)</f>
        <v>650.07183695999925</v>
      </c>
      <c r="AK127" s="14">
        <f t="shared" si="89"/>
        <v>140.9563726276767</v>
      </c>
      <c r="AL127" s="22">
        <f t="shared" si="58"/>
        <v>1377.7074650318689</v>
      </c>
      <c r="AM127" s="62">
        <f t="shared" si="59"/>
        <v>1660.5745168150422</v>
      </c>
      <c r="AN127" s="62">
        <f ca="1">AVERAGE(OFFSET($AM$3,0,0,'Données projet'!$E$10+1,1))-AVERAGE(OFFSET($H$3,0,0,'Données projet'!$E$10+1,1))</f>
        <v>592.76231355549089</v>
      </c>
      <c r="AO127" s="62">
        <f t="shared" si="90"/>
        <v>200.66895551079014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24.216796313372509</v>
      </c>
      <c r="AV127" s="23">
        <f>EXP(-LN(2)/25)*AV126+(1-EXP(-LN(2)/25))/(LN(2)/25)*Calculateur!AQ127*Calculateur!AS127*VLOOKUP('Données projet'!$B$10,Paramètres!$A$1:$I$89,3,0)*0.475*44/12</f>
        <v>11.266237869467636</v>
      </c>
      <c r="AW127" s="23">
        <f>EXP(-LN(2)/2)*AW126+(1-EXP(-LN(2)/2))/(LN(2)/2)*AQ127*AT127*VLOOKUP('Données projet'!$B$10,Paramètres!$A$1:$I$89,3,0)*0.475*44/12</f>
        <v>2.9940406861085384E-9</v>
      </c>
      <c r="AX127" s="23">
        <f t="shared" si="60"/>
        <v>35.483034185834185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4.4930000000000003</v>
      </c>
      <c r="BD127" s="13">
        <f>IF('Données projet'!$A$88&gt;35,BD126+BC127-BL126,IF(A127&lt;'Données projet'!$A$88,$BA$205^A127,IF(A127='Données projet'!$A$88,'Données projet'!$B$88,BD126+BC127-BL126)))</f>
        <v>217.54199999999977</v>
      </c>
      <c r="BE127" s="14">
        <f>BD127*VLOOKUP('Données projet'!$B$11,Paramètres!$A$1:$I$89,3,0)*VLOOKUP('Données projet'!$B$11,Paramètres!$A$1:$I$89,5,0)</f>
        <v>196.83200159999978</v>
      </c>
      <c r="BF127" s="14">
        <f t="shared" si="91"/>
        <v>49.047291901485821</v>
      </c>
      <c r="BG127" s="22">
        <f t="shared" si="61"/>
        <v>428.2397695150874</v>
      </c>
      <c r="BH127" s="62">
        <f t="shared" si="62"/>
        <v>711.10682129826068</v>
      </c>
      <c r="BI127" s="62">
        <f ca="1">AVERAGE(OFFSET($BH$3,0,0,'Données projet'!$E$11+1,1))-AVERAGE(OFFSET($H$3,0,0,'Données projet'!$E$11+1,1))</f>
        <v>316.71836722354374</v>
      </c>
      <c r="BJ127" s="62">
        <f t="shared" si="92"/>
        <v>164.34067012996618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31.970043247422936</v>
      </c>
      <c r="BQ127" s="23">
        <f>EXP(-LN(2)/25)*BQ126+(1-EXP(-LN(2)/25))/(LN(2)/25)*Calculateur!BL127*Calculateur!BN127*VLOOKUP('Données projet'!$B$11,Paramètres!$A$1:$I$89,3,0)*0.475*44/12</f>
        <v>3.5666332315074434</v>
      </c>
      <c r="BR127" s="23">
        <f>EXP(-LN(2)/2)*BR126+(1-EXP(-LN(2)/2))/(LN(2)/2)*BL127*BO127*VLOOKUP('Données projet'!$B$11,Paramètres!$A$1:$I$89,3,0)*0.475*44/12</f>
        <v>1.9343102998599639E-10</v>
      </c>
      <c r="BS127" s="24">
        <f t="shared" si="63"/>
        <v>35.536676479123813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2.8421709430404007E-14</v>
      </c>
      <c r="BZ127" s="14">
        <f>BY127*VLOOKUP('Données projet'!$B$12,Paramètres!$A$1:$I$89,3,0)*VLOOKUP('Données projet'!$B$12,Paramètres!$A$1:$I$89,5,0)</f>
        <v>3.2366642699344085E-14</v>
      </c>
      <c r="CA127" s="14">
        <f t="shared" si="93"/>
        <v>5.5446527398450045E-13</v>
      </c>
      <c r="CB127" s="22">
        <f t="shared" si="64"/>
        <v>1.0220655882243624E-12</v>
      </c>
      <c r="CC127" s="62">
        <f t="shared" si="65"/>
        <v>282.86705178317436</v>
      </c>
      <c r="CD127" s="62">
        <f ca="1">AVERAGE(OFFSET($CC$3,0,0,'Données projet'!$E$12+1,1))-AVERAGE(OFFSET($H$3,0,0,'Données projet'!$E$12+1,1))</f>
        <v>454.9779384236806</v>
      </c>
      <c r="CE127" s="62">
        <f t="shared" si="94"/>
        <v>379.32753348721906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71.141767684056816</v>
      </c>
      <c r="CL127" s="23">
        <f>EXP(-LN(2)/25)*CL126+(1-EXP(-LN(2)/25))/(LN(2)/25)*Calculateur!CG127*Calculateur!CI127*VLOOKUP('Données projet'!$B$12,Paramètres!$A$1:$I$89,3,0)*0.475*44/12</f>
        <v>27.927989605675592</v>
      </c>
      <c r="CM127" s="23">
        <f>EXP(-LN(2)/2)*CM126+(1-EXP(-LN(2)/2))/(LN(2)/2)*CG127*CJ127*VLOOKUP('Données projet'!$B$12,Paramètres!$A$1:$I$89,3,0)*0.475*44/12</f>
        <v>3.0313103964909916E-5</v>
      </c>
      <c r="CN127" s="24">
        <f t="shared" si="66"/>
        <v>99.069787602836371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252.10592533338991</v>
      </c>
      <c r="CZ127" s="62">
        <f t="shared" si="96"/>
        <v>272.71831345325313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25.175128264804961</v>
      </c>
      <c r="DH127" s="23">
        <f>EXP(-LN(2)/2)*DH126+(1-EXP(-LN(2)/2))/(LN(2)/2)*DB127*DE127*VLOOKUP('Données projet'!$B$13,Paramètres!$A$1:$I$89,3,0)*0.475*44/12</f>
        <v>3.9372471362570742E-9</v>
      </c>
      <c r="DI127" s="24">
        <f t="shared" si="69"/>
        <v>25.17512826874221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423.0896575168394</v>
      </c>
      <c r="DU127" s="62">
        <f t="shared" si="98"/>
        <v>305.98537395014284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63.767582456596855</v>
      </c>
      <c r="EB127" s="23">
        <f>EXP(-LN(2)/25)*EB126+(1-EXP(-LN(2)/25))/(LN(2)/25)*Calculateur!DW127*Calculateur!DY127*VLOOKUP('Données projet'!$B$14,Paramètres!$A$1:$I$89,3,0)*0.475*44/12</f>
        <v>52.813889895482177</v>
      </c>
      <c r="EC127" s="23">
        <f>EXP(-LN(2)/2)*EC126+(1-EXP(-LN(2)/2))/(LN(2)/2)*DW127*DZ127*VLOOKUP('Données projet'!$B$14,Paramètres!$A$1:$I$89,3,0)*0.475*44/12</f>
        <v>7.7190930079129386E-10</v>
      </c>
      <c r="ED127" s="24">
        <f t="shared" si="72"/>
        <v>116.58147235285094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2.2737367544323206E-13</v>
      </c>
      <c r="EK127" s="18">
        <f>EJ127*VLOOKUP('Données projet'!$B$15,Paramètres!$A$1:$I$89,3,0)*VLOOKUP('Données projet'!$B$15,Paramètres!$A$1:$I$89,5,0)</f>
        <v>1.3596945791505279E-13</v>
      </c>
      <c r="EL127" s="14">
        <f t="shared" si="99"/>
        <v>1.9708830566360721E-12</v>
      </c>
      <c r="EM127" s="22">
        <f t="shared" si="73"/>
        <v>3.669434796176543E-12</v>
      </c>
      <c r="EN127" s="62">
        <f t="shared" si="74"/>
        <v>282.86705178317703</v>
      </c>
      <c r="EO127" s="62">
        <f ca="1">AVERAGE(OFFSET($EN$3,0,0,'Données projet'!$E$15+1,1))-AVERAGE(OFFSET($H$3,0,0,'Données projet'!$E$15+1,1))</f>
        <v>281.21543175875604</v>
      </c>
      <c r="EP127" s="62">
        <f t="shared" si="100"/>
        <v>366.68536296857428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26.884152574558097</v>
      </c>
      <c r="EW127" s="23">
        <f>EXP(-LN(2)/25)*EW126+(1-EXP(-LN(2)/25))/(LN(2)/25)*Calculateur!ER127*Calculateur!ET127*VLOOKUP('Données projet'!$B$15,Paramètres!$A$1:$I$89,3,0)*0.475*44/12</f>
        <v>5.4821001490430721</v>
      </c>
      <c r="EX127" s="23">
        <f>EXP(-LN(2)/2)*EX126+(1-EXP(-LN(2)/2))/(LN(2)/2)*ER127*EU127*VLOOKUP('Données projet'!$B$15,Paramètres!$A$1:$I$89,3,0)*0.475*44/12</f>
        <v>1.2146883130010098E-9</v>
      </c>
      <c r="EY127" s="24">
        <f t="shared" si="75"/>
        <v>32.366252724815858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2.2737367544323206E-13</v>
      </c>
      <c r="FF127" s="18">
        <f>FE127*VLOOKUP('Données projet'!$B$16,Paramètres!$A$1:$I$89,3,0)*VLOOKUP('Données projet'!$B$16,Paramètres!$A$1:$I$89,5,0)</f>
        <v>1.2710188457276673E-13</v>
      </c>
      <c r="FG127" s="14">
        <f t="shared" si="101"/>
        <v>1.856866851063998E-12</v>
      </c>
      <c r="FH127" s="22">
        <f t="shared" si="76"/>
        <v>3.4554122145673649E-12</v>
      </c>
      <c r="FI127" s="62">
        <f t="shared" si="77"/>
        <v>282.86705178317681</v>
      </c>
      <c r="FJ127" s="62">
        <f ca="1">AVERAGE(OFFSET($FI$3,0,0,'Données projet'!$E$16+1,1))-AVERAGE(OFFSET($H$3,0,0,'Données projet'!$E$16+1,1))</f>
        <v>280.9225643428145</v>
      </c>
      <c r="FK127" s="62">
        <f t="shared" si="102"/>
        <v>236.89414218053955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84.099354226756773</v>
      </c>
      <c r="FR127" s="23">
        <f>EXP(-LN(2)/25)*FR126+(1-EXP(-LN(2)/25))/(LN(2)/25)*Calculateur!FM127*Calculateur!FO127*VLOOKUP('Données projet'!$B$16,Paramètres!$A$1:$I$89,3,0)*0.475*44/12</f>
        <v>17.545714280103784</v>
      </c>
      <c r="FS127" s="23">
        <f>EXP(-LN(2)/2)*FS126+(1-EXP(-LN(2)/2))/(LN(2)/2)*FM127*FP127*VLOOKUP('Données projet'!$B$16,Paramètres!$A$1:$I$89,3,0)*0.475*44/12</f>
        <v>3.1974966815030536E-11</v>
      </c>
      <c r="FT127" s="24">
        <f t="shared" si="78"/>
        <v>101.64506850689253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-5.6843418860808015E-13</v>
      </c>
      <c r="GA127" s="18">
        <f>FZ127*VLOOKUP('Données projet'!$B$17,Paramètres!$A$1:$I$89,3,0)*VLOOKUP('Données projet'!$B$17,Paramètres!$A$1:$I$89,5,0)</f>
        <v>-2.5124791136477147E-13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325.67421864225201</v>
      </c>
      <c r="GF127" s="62">
        <f t="shared" si="104"/>
        <v>542.01920418736745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54.428266221139722</v>
      </c>
      <c r="GM127" s="23">
        <f>EXP(-LN(2)/25)*GM126+(1-EXP(-LN(2)/25))/(LN(2)/25)*Calculateur!GH127*Calculateur!GJ127*VLOOKUP('Données projet'!$B$17,Paramètres!$A$1:$I$89,3,0)*0.475*44/12</f>
        <v>20.563397868953903</v>
      </c>
      <c r="GN127" s="23">
        <f>EXP(-LN(2)/2)*GN126+(1-EXP(-LN(2)/2))/(LN(2)/2)*GH127*GK127*VLOOKUP('Données projet'!$B$17,Paramètres!$A$1:$I$89,3,0)*0.475*44/12</f>
        <v>3.2567464359297654E-11</v>
      </c>
      <c r="GO127" s="23">
        <f t="shared" si="81"/>
        <v>74.991664090126193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-2.5579538487363607E-13</v>
      </c>
      <c r="GV127" s="18">
        <f>GU127*VLOOKUP('Données projet'!$B$18,Paramètres!$A$1:$I$89,3,0)*VLOOKUP('Données projet'!$B$18,Paramètres!$A$1:$I$89,5,0)</f>
        <v>-2.5937652026186701E-13</v>
      </c>
      <c r="GW127" s="14" t="e">
        <f t="shared" si="105"/>
        <v>#NUM!</v>
      </c>
      <c r="GX127" s="22" t="e">
        <f t="shared" si="82"/>
        <v>#NUM!</v>
      </c>
      <c r="GY127" s="62" t="e">
        <f t="shared" si="83"/>
        <v>#NUM!</v>
      </c>
      <c r="GZ127" s="62">
        <f ca="1">AVERAGE(OFFSET($GY$3,0,0,'Données projet'!$E$18+1,1))-AVERAGE(OFFSET($H$3,0,0,'Données projet'!$E$18+1,1))</f>
        <v>220.89224520315713</v>
      </c>
      <c r="HA127" s="62">
        <f t="shared" si="106"/>
        <v>141.82763623159096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-2.8421709430404007E-14</v>
      </c>
      <c r="O128" s="14">
        <f>N128*VLOOKUP('Données projet'!$B$9,Paramètres!$A$1:$I$89,3,0)*VLOOKUP('Données projet'!$B$9,Paramètres!$A$1:$I$89,5,0)</f>
        <v>-2.7489477361086758E-14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84.959354125980269</v>
      </c>
      <c r="T128" s="62">
        <f t="shared" si="88"/>
        <v>89.658970210276806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3.3881992662118834</v>
      </c>
      <c r="AB128" s="23">
        <f>EXP(-LN(2)/2)*AB127+(1-EXP(-LN(2)/2))/(LN(2)/2)*V128*Y128*VLOOKUP('Données projet'!$B$9,Paramètres!$A$1:$I$89,3,0)*0.475*44/12</f>
        <v>1.7233691986452673E-8</v>
      </c>
      <c r="AC128" s="24">
        <f t="shared" si="57"/>
        <v>3.3881992834455752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12.027399999999998</v>
      </c>
      <c r="AI128" s="14">
        <f>IF('Données projet'!$A$62&gt;35,AI127+AH128-AQ127,IF(A128&lt;'Données projet'!$A$62,$AF$205^A128,IF(A128='Données projet'!$A$62,'Données projet'!$B$62,AI127+AH128-AQ127)))</f>
        <v>695.1629999999991</v>
      </c>
      <c r="AJ128" s="14">
        <f>AI128*VLOOKUP('Données projet'!$B$10,Paramètres!$A$1:$I$89,3,0)*VLOOKUP('Données projet'!$B$10,Paramètres!$A$1:$I$89,5,0)</f>
        <v>661.51711079999916</v>
      </c>
      <c r="AK128" s="14">
        <f t="shared" si="89"/>
        <v>143.14697175335291</v>
      </c>
      <c r="AL128" s="22">
        <f t="shared" si="58"/>
        <v>1401.456610447088</v>
      </c>
      <c r="AM128" s="62">
        <f t="shared" si="59"/>
        <v>1684.5052288160564</v>
      </c>
      <c r="AN128" s="62">
        <f ca="1">AVERAGE(OFFSET($AM$3,0,0,'Données projet'!$E$10+1,1))-AVERAGE(OFFSET($H$3,0,0,'Données projet'!$E$10+1,1))</f>
        <v>592.76231355549089</v>
      </c>
      <c r="AO128" s="62">
        <f t="shared" si="90"/>
        <v>200.66895551079014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23.741919708454532</v>
      </c>
      <c r="AV128" s="23">
        <f>EXP(-LN(2)/25)*AV127+(1-EXP(-LN(2)/25))/(LN(2)/25)*Calculateur!AQ128*Calculateur!AS128*VLOOKUP('Données projet'!$B$10,Paramètres!$A$1:$I$89,3,0)*0.475*44/12</f>
        <v>10.958162002461343</v>
      </c>
      <c r="AW128" s="23">
        <f>EXP(-LN(2)/2)*AW127+(1-EXP(-LN(2)/2))/(LN(2)/2)*AQ128*AT128*VLOOKUP('Données projet'!$B$10,Paramètres!$A$1:$I$89,3,0)*0.475*44/12</f>
        <v>2.1171064722957709E-9</v>
      </c>
      <c r="AX128" s="23">
        <f t="shared" si="60"/>
        <v>34.700081713032979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4.4930000000000003</v>
      </c>
      <c r="BD128" s="13">
        <f>IF('Données projet'!$A$88&gt;35,BD127+BC128-BL127,IF(A128&lt;'Données projet'!$A$88,$BA$205^A128,IF(A128='Données projet'!$A$88,'Données projet'!$B$88,BD127+BC128-BL127)))</f>
        <v>222.03499999999977</v>
      </c>
      <c r="BE128" s="14">
        <f>BD128*VLOOKUP('Données projet'!$B$11,Paramètres!$A$1:$I$89,3,0)*VLOOKUP('Données projet'!$B$11,Paramètres!$A$1:$I$89,5,0)</f>
        <v>200.8972679999998</v>
      </c>
      <c r="BF128" s="14">
        <f t="shared" si="91"/>
        <v>49.941308672032768</v>
      </c>
      <c r="BG128" s="22">
        <f t="shared" si="61"/>
        <v>436.87718770379001</v>
      </c>
      <c r="BH128" s="62">
        <f t="shared" si="62"/>
        <v>719.92580607275852</v>
      </c>
      <c r="BI128" s="62">
        <f ca="1">AVERAGE(OFFSET($BH$3,0,0,'Données projet'!$E$11+1,1))-AVERAGE(OFFSET($H$3,0,0,'Données projet'!$E$11+1,1))</f>
        <v>316.71836722354374</v>
      </c>
      <c r="BJ128" s="62">
        <f t="shared" si="92"/>
        <v>164.34067012996618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31.343130199141907</v>
      </c>
      <c r="BQ128" s="23">
        <f>EXP(-LN(2)/25)*BQ127+(1-EXP(-LN(2)/25))/(LN(2)/25)*Calculateur!BL128*Calculateur!BN128*VLOOKUP('Données projet'!$B$11,Paramètres!$A$1:$I$89,3,0)*0.475*44/12</f>
        <v>3.4691034582307823</v>
      </c>
      <c r="BR128" s="23">
        <f>EXP(-LN(2)/2)*BR127+(1-EXP(-LN(2)/2))/(LN(2)/2)*BL128*BO128*VLOOKUP('Données projet'!$B$11,Paramètres!$A$1:$I$89,3,0)*0.475*44/12</f>
        <v>1.3677639299499646E-10</v>
      </c>
      <c r="BS128" s="24">
        <f t="shared" si="63"/>
        <v>34.812233657509466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2.8421709430404007E-14</v>
      </c>
      <c r="BZ128" s="14">
        <f>BY128*VLOOKUP('Données projet'!$B$12,Paramètres!$A$1:$I$89,3,0)*VLOOKUP('Données projet'!$B$12,Paramètres!$A$1:$I$89,5,0)</f>
        <v>3.2366642699344085E-14</v>
      </c>
      <c r="CA128" s="14">
        <f t="shared" si="93"/>
        <v>5.5446527398450045E-13</v>
      </c>
      <c r="CB128" s="22">
        <f t="shared" si="64"/>
        <v>1.0220655882243624E-12</v>
      </c>
      <c r="CC128" s="62">
        <f t="shared" si="65"/>
        <v>283.04861836896953</v>
      </c>
      <c r="CD128" s="62">
        <f ca="1">AVERAGE(OFFSET($CC$3,0,0,'Données projet'!$E$12+1,1))-AVERAGE(OFFSET($H$3,0,0,'Données projet'!$E$12+1,1))</f>
        <v>454.9779384236806</v>
      </c>
      <c r="CE128" s="62">
        <f t="shared" si="94"/>
        <v>379.32753348721906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69.74672101196613</v>
      </c>
      <c r="CL128" s="23">
        <f>EXP(-LN(2)/25)*CL127+(1-EXP(-LN(2)/25))/(LN(2)/25)*Calculateur!CG128*Calculateur!CI128*VLOOKUP('Données projet'!$B$12,Paramètres!$A$1:$I$89,3,0)*0.475*44/12</f>
        <v>27.164297261239248</v>
      </c>
      <c r="CM128" s="23">
        <f>EXP(-LN(2)/2)*CM127+(1-EXP(-LN(2)/2))/(LN(2)/2)*CG128*CJ128*VLOOKUP('Données projet'!$B$12,Paramètres!$A$1:$I$89,3,0)*0.475*44/12</f>
        <v>2.1434601372400623E-5</v>
      </c>
      <c r="CN128" s="24">
        <f t="shared" si="66"/>
        <v>96.911039707806751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252.10592533338991</v>
      </c>
      <c r="CZ128" s="62">
        <f t="shared" si="96"/>
        <v>272.71831345325313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24.486713058501412</v>
      </c>
      <c r="DH128" s="23">
        <f>EXP(-LN(2)/2)*DH127+(1-EXP(-LN(2)/2))/(LN(2)/2)*DB128*DE128*VLOOKUP('Données projet'!$B$13,Paramètres!$A$1:$I$89,3,0)*0.475*44/12</f>
        <v>2.7840541492546919E-9</v>
      </c>
      <c r="DI128" s="24">
        <f t="shared" si="69"/>
        <v>24.486713061285467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423.0896575168394</v>
      </c>
      <c r="DU128" s="62">
        <f t="shared" si="98"/>
        <v>305.98537395014284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62.517139059007789</v>
      </c>
      <c r="EB128" s="23">
        <f>EXP(-LN(2)/25)*EB127+(1-EXP(-LN(2)/25))/(LN(2)/25)*Calculateur!DW128*Calculateur!DY128*VLOOKUP('Données projet'!$B$14,Paramètres!$A$1:$I$89,3,0)*0.475*44/12</f>
        <v>51.369691298928458</v>
      </c>
      <c r="EC128" s="23">
        <f>EXP(-LN(2)/2)*EC127+(1-EXP(-LN(2)/2))/(LN(2)/2)*DW128*DZ128*VLOOKUP('Données projet'!$B$14,Paramètres!$A$1:$I$89,3,0)*0.475*44/12</f>
        <v>5.4582230105049032E-10</v>
      </c>
      <c r="ED128" s="24">
        <f t="shared" si="72"/>
        <v>113.88683035848207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2.2737367544323206E-13</v>
      </c>
      <c r="EK128" s="18">
        <f>EJ128*VLOOKUP('Données projet'!$B$15,Paramètres!$A$1:$I$89,3,0)*VLOOKUP('Données projet'!$B$15,Paramètres!$A$1:$I$89,5,0)</f>
        <v>1.3596945791505279E-13</v>
      </c>
      <c r="EL128" s="14">
        <f t="shared" si="99"/>
        <v>1.9708830566360721E-12</v>
      </c>
      <c r="EM128" s="22">
        <f t="shared" si="73"/>
        <v>3.669434796176543E-12</v>
      </c>
      <c r="EN128" s="62">
        <f t="shared" si="74"/>
        <v>283.0486183689722</v>
      </c>
      <c r="EO128" s="62">
        <f ca="1">AVERAGE(OFFSET($EN$3,0,0,'Données projet'!$E$15+1,1))-AVERAGE(OFFSET($H$3,0,0,'Données projet'!$E$15+1,1))</f>
        <v>281.21543175875604</v>
      </c>
      <c r="EP128" s="62">
        <f t="shared" si="100"/>
        <v>366.68536296857428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26.356970740284943</v>
      </c>
      <c r="EW128" s="23">
        <f>EXP(-LN(2)/25)*EW127+(1-EXP(-LN(2)/25))/(LN(2)/25)*Calculateur!ER128*Calculateur!ET128*VLOOKUP('Données projet'!$B$15,Paramètres!$A$1:$I$89,3,0)*0.475*44/12</f>
        <v>5.3321918321763722</v>
      </c>
      <c r="EX128" s="23">
        <f>EXP(-LN(2)/2)*EX127+(1-EXP(-LN(2)/2))/(LN(2)/2)*ER128*EU128*VLOOKUP('Données projet'!$B$15,Paramètres!$A$1:$I$89,3,0)*0.475*44/12</f>
        <v>8.589143431510616E-10</v>
      </c>
      <c r="EY128" s="24">
        <f t="shared" si="75"/>
        <v>31.689162573320228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2.2737367544323206E-13</v>
      </c>
      <c r="FF128" s="18">
        <f>FE128*VLOOKUP('Données projet'!$B$16,Paramètres!$A$1:$I$89,3,0)*VLOOKUP('Données projet'!$B$16,Paramètres!$A$1:$I$89,5,0)</f>
        <v>1.2710188457276673E-13</v>
      </c>
      <c r="FG128" s="14">
        <f t="shared" si="101"/>
        <v>1.856866851063998E-12</v>
      </c>
      <c r="FH128" s="22">
        <f t="shared" si="76"/>
        <v>3.4554122145673649E-12</v>
      </c>
      <c r="FI128" s="62">
        <f t="shared" si="77"/>
        <v>283.04861836897197</v>
      </c>
      <c r="FJ128" s="62">
        <f ca="1">AVERAGE(OFFSET($FI$3,0,0,'Données projet'!$E$16+1,1))-AVERAGE(OFFSET($H$3,0,0,'Données projet'!$E$16+1,1))</f>
        <v>280.9225643428145</v>
      </c>
      <c r="FK128" s="62">
        <f t="shared" si="102"/>
        <v>236.89414218053955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82.450217185911143</v>
      </c>
      <c r="FR128" s="23">
        <f>EXP(-LN(2)/25)*FR127+(1-EXP(-LN(2)/25))/(LN(2)/25)*Calculateur!FM128*Calculateur!FO128*VLOOKUP('Données projet'!$B$16,Paramètres!$A$1:$I$89,3,0)*0.475*44/12</f>
        <v>17.065925800425333</v>
      </c>
      <c r="FS128" s="23">
        <f>EXP(-LN(2)/2)*FS127+(1-EXP(-LN(2)/2))/(LN(2)/2)*FM128*FP128*VLOOKUP('Données projet'!$B$16,Paramètres!$A$1:$I$89,3,0)*0.475*44/12</f>
        <v>2.2609715863122916E-11</v>
      </c>
      <c r="FT128" s="24">
        <f t="shared" si="78"/>
        <v>99.516142986359085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-5.6843418860808015E-13</v>
      </c>
      <c r="GA128" s="18">
        <f>FZ128*VLOOKUP('Données projet'!$B$17,Paramètres!$A$1:$I$89,3,0)*VLOOKUP('Données projet'!$B$17,Paramètres!$A$1:$I$89,5,0)</f>
        <v>-2.5124791136477147E-13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325.67421864225201</v>
      </c>
      <c r="GF128" s="62">
        <f t="shared" si="104"/>
        <v>542.01920418736745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53.360961118507539</v>
      </c>
      <c r="GM128" s="23">
        <f>EXP(-LN(2)/25)*GM127+(1-EXP(-LN(2)/25))/(LN(2)/25)*Calculateur!GH128*Calculateur!GJ128*VLOOKUP('Données projet'!$B$17,Paramètres!$A$1:$I$89,3,0)*0.475*44/12</f>
        <v>20.001090672845262</v>
      </c>
      <c r="GN128" s="23">
        <f>EXP(-LN(2)/2)*GN127+(1-EXP(-LN(2)/2))/(LN(2)/2)*GH128*GK128*VLOOKUP('Données projet'!$B$17,Paramètres!$A$1:$I$89,3,0)*0.475*44/12</f>
        <v>2.3028674894510572E-11</v>
      </c>
      <c r="GO128" s="23">
        <f t="shared" si="81"/>
        <v>73.362051791375819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-2.5579538487363607E-13</v>
      </c>
      <c r="GV128" s="18">
        <f>GU128*VLOOKUP('Données projet'!$B$18,Paramètres!$A$1:$I$89,3,0)*VLOOKUP('Données projet'!$B$18,Paramètres!$A$1:$I$89,5,0)</f>
        <v>-2.5937652026186701E-13</v>
      </c>
      <c r="GW128" s="14" t="e">
        <f t="shared" si="105"/>
        <v>#NUM!</v>
      </c>
      <c r="GX128" s="22" t="e">
        <f t="shared" si="82"/>
        <v>#NUM!</v>
      </c>
      <c r="GY128" s="62" t="e">
        <f t="shared" si="83"/>
        <v>#NUM!</v>
      </c>
      <c r="GZ128" s="62">
        <f ca="1">AVERAGE(OFFSET($GY$3,0,0,'Données projet'!$E$18+1,1))-AVERAGE(OFFSET($H$3,0,0,'Données projet'!$E$18+1,1))</f>
        <v>220.89224520315713</v>
      </c>
      <c r="HA128" s="62">
        <f t="shared" si="106"/>
        <v>141.82763623159096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-2.8421709430404007E-14</v>
      </c>
      <c r="O129" s="14">
        <f>N129*VLOOKUP('Données projet'!$B$9,Paramètres!$A$1:$I$89,3,0)*VLOOKUP('Données projet'!$B$9,Paramètres!$A$1:$I$89,5,0)</f>
        <v>-2.7489477361086758E-14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84.959354125980269</v>
      </c>
      <c r="T129" s="62">
        <f t="shared" si="88"/>
        <v>89.658970210276806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3.295548779099664</v>
      </c>
      <c r="AB129" s="23">
        <f>EXP(-LN(2)/2)*AB128+(1-EXP(-LN(2)/2))/(LN(2)/2)*V129*Y129*VLOOKUP('Données projet'!$B$9,Paramètres!$A$1:$I$89,3,0)*0.475*44/12</f>
        <v>1.2186060468500948E-8</v>
      </c>
      <c r="AC129" s="24">
        <f t="shared" si="57"/>
        <v>3.2955487912857246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12.027399999999998</v>
      </c>
      <c r="AI129" s="14">
        <f>IF('Données projet'!$A$62&gt;35,AI128+AH129-AQ128,IF(A129&lt;'Données projet'!$A$62,$AF$205^A129,IF(A129='Données projet'!$A$62,'Données projet'!$B$62,AI128+AH129-AQ128)))</f>
        <v>707.19039999999904</v>
      </c>
      <c r="AJ129" s="14">
        <f>AI129*VLOOKUP('Données projet'!$B$10,Paramètres!$A$1:$I$89,3,0)*VLOOKUP('Données projet'!$B$10,Paramètres!$A$1:$I$89,5,0)</f>
        <v>672.96238463999919</v>
      </c>
      <c r="AK129" s="14">
        <f t="shared" si="89"/>
        <v>145.33316343643858</v>
      </c>
      <c r="AL129" s="22">
        <f t="shared" si="58"/>
        <v>1425.1980795664622</v>
      </c>
      <c r="AM129" s="62">
        <f t="shared" si="59"/>
        <v>1708.4251147468844</v>
      </c>
      <c r="AN129" s="62">
        <f ca="1">AVERAGE(OFFSET($AM$3,0,0,'Données projet'!$E$10+1,1))-AVERAGE(OFFSET($H$3,0,0,'Données projet'!$E$10+1,1))</f>
        <v>592.76231355549089</v>
      </c>
      <c r="AO129" s="62">
        <f t="shared" si="90"/>
        <v>200.66895551079014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23.276355144112866</v>
      </c>
      <c r="AV129" s="23">
        <f>EXP(-LN(2)/25)*AV128+(1-EXP(-LN(2)/25))/(LN(2)/25)*Calculateur!AQ129*Calculateur!AS129*VLOOKUP('Données projet'!$B$10,Paramètres!$A$1:$I$89,3,0)*0.475*44/12</f>
        <v>10.658510486239344</v>
      </c>
      <c r="AW129" s="23">
        <f>EXP(-LN(2)/2)*AW128+(1-EXP(-LN(2)/2))/(LN(2)/2)*AQ129*AT129*VLOOKUP('Données projet'!$B$10,Paramètres!$A$1:$I$89,3,0)*0.475*44/12</f>
        <v>1.4970203430542692E-9</v>
      </c>
      <c r="AX129" s="23">
        <f t="shared" si="60"/>
        <v>33.934865631849227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4.4930000000000003</v>
      </c>
      <c r="BD129" s="13">
        <f>IF('Données projet'!$A$88&gt;35,BD128+BC129-BL128,IF(A129&lt;'Données projet'!$A$88,$BA$205^A129,IF(A129='Données projet'!$A$88,'Données projet'!$B$88,BD128+BC129-BL128)))</f>
        <v>226.52799999999976</v>
      </c>
      <c r="BE129" s="14">
        <f>BD129*VLOOKUP('Données projet'!$B$11,Paramètres!$A$1:$I$89,3,0)*VLOOKUP('Données projet'!$B$11,Paramètres!$A$1:$I$89,5,0)</f>
        <v>204.96253439999975</v>
      </c>
      <c r="BF129" s="14">
        <f t="shared" si="91"/>
        <v>50.833221985839025</v>
      </c>
      <c r="BG129" s="22">
        <f t="shared" si="61"/>
        <v>445.51094237200255</v>
      </c>
      <c r="BH129" s="62">
        <f t="shared" si="62"/>
        <v>728.73797755242481</v>
      </c>
      <c r="BI129" s="62">
        <f ca="1">AVERAGE(OFFSET($BH$3,0,0,'Données projet'!$E$11+1,1))-AVERAGE(OFFSET($H$3,0,0,'Données projet'!$E$11+1,1))</f>
        <v>316.71836722354374</v>
      </c>
      <c r="BJ129" s="62">
        <f t="shared" si="92"/>
        <v>164.34067012996618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30.728510533358467</v>
      </c>
      <c r="BQ129" s="23">
        <f>EXP(-LN(2)/25)*BQ128+(1-EXP(-LN(2)/25))/(LN(2)/25)*Calculateur!BL129*Calculateur!BN129*VLOOKUP('Données projet'!$B$11,Paramètres!$A$1:$I$89,3,0)*0.475*44/12</f>
        <v>3.3742406417332393</v>
      </c>
      <c r="BR129" s="23">
        <f>EXP(-LN(2)/2)*BR128+(1-EXP(-LN(2)/2))/(LN(2)/2)*BL129*BO129*VLOOKUP('Données projet'!$B$11,Paramètres!$A$1:$I$89,3,0)*0.475*44/12</f>
        <v>9.6715514992998193E-11</v>
      </c>
      <c r="BS129" s="24">
        <f t="shared" si="63"/>
        <v>34.102751175188416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2.8421709430404007E-14</v>
      </c>
      <c r="BZ129" s="14">
        <f>BY129*VLOOKUP('Données projet'!$B$12,Paramètres!$A$1:$I$89,3,0)*VLOOKUP('Données projet'!$B$12,Paramètres!$A$1:$I$89,5,0)</f>
        <v>3.2366642699344085E-14</v>
      </c>
      <c r="CA129" s="14">
        <f t="shared" si="93"/>
        <v>5.5446527398450045E-13</v>
      </c>
      <c r="CB129" s="22">
        <f t="shared" si="64"/>
        <v>1.0220655882243624E-12</v>
      </c>
      <c r="CC129" s="62">
        <f t="shared" si="65"/>
        <v>283.22703518042323</v>
      </c>
      <c r="CD129" s="62">
        <f ca="1">AVERAGE(OFFSET($CC$3,0,0,'Données projet'!$E$12+1,1))-AVERAGE(OFFSET($H$3,0,0,'Données projet'!$E$12+1,1))</f>
        <v>454.9779384236806</v>
      </c>
      <c r="CE129" s="62">
        <f t="shared" si="94"/>
        <v>379.32753348721906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68.379030354220689</v>
      </c>
      <c r="CL129" s="23">
        <f>EXP(-LN(2)/25)*CL128+(1-EXP(-LN(2)/25))/(LN(2)/25)*Calculateur!CG129*Calculateur!CI129*VLOOKUP('Données projet'!$B$12,Paramètres!$A$1:$I$89,3,0)*0.475*44/12</f>
        <v>26.421488124122352</v>
      </c>
      <c r="CM129" s="23">
        <f>EXP(-LN(2)/2)*CM128+(1-EXP(-LN(2)/2))/(LN(2)/2)*CG129*CJ129*VLOOKUP('Données projet'!$B$12,Paramètres!$A$1:$I$89,3,0)*0.475*44/12</f>
        <v>1.515655198245496E-5</v>
      </c>
      <c r="CN129" s="24">
        <f t="shared" si="66"/>
        <v>94.800533634895018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252.10592533338991</v>
      </c>
      <c r="CZ129" s="62">
        <f t="shared" si="96"/>
        <v>272.71831345325313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23.817122602216415</v>
      </c>
      <c r="DH129" s="23">
        <f>EXP(-LN(2)/2)*DH128+(1-EXP(-LN(2)/2))/(LN(2)/2)*DB129*DE129*VLOOKUP('Données projet'!$B$13,Paramètres!$A$1:$I$89,3,0)*0.475*44/12</f>
        <v>1.9686235681285371E-9</v>
      </c>
      <c r="DI129" s="24">
        <f t="shared" si="69"/>
        <v>23.817122604185037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423.0896575168394</v>
      </c>
      <c r="DU129" s="62">
        <f t="shared" si="98"/>
        <v>305.98537395014284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61.291216093750279</v>
      </c>
      <c r="EB129" s="23">
        <f>EXP(-LN(2)/25)*EB128+(1-EXP(-LN(2)/25))/(LN(2)/25)*Calculateur!DW129*Calculateur!DY129*VLOOKUP('Données projet'!$B$14,Paramètres!$A$1:$I$89,3,0)*0.475*44/12</f>
        <v>49.9649843889446</v>
      </c>
      <c r="EC129" s="23">
        <f>EXP(-LN(2)/2)*EC128+(1-EXP(-LN(2)/2))/(LN(2)/2)*DW129*DZ129*VLOOKUP('Données projet'!$B$14,Paramètres!$A$1:$I$89,3,0)*0.475*44/12</f>
        <v>3.8595465039564693E-10</v>
      </c>
      <c r="ED129" s="24">
        <f t="shared" si="72"/>
        <v>111.25620048308083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2.2737367544323206E-13</v>
      </c>
      <c r="EK129" s="18">
        <f>EJ129*VLOOKUP('Données projet'!$B$15,Paramètres!$A$1:$I$89,3,0)*VLOOKUP('Données projet'!$B$15,Paramètres!$A$1:$I$89,5,0)</f>
        <v>1.3596945791505279E-13</v>
      </c>
      <c r="EL129" s="14">
        <f t="shared" si="99"/>
        <v>1.9708830566360721E-12</v>
      </c>
      <c r="EM129" s="22">
        <f t="shared" si="73"/>
        <v>3.669434796176543E-12</v>
      </c>
      <c r="EN129" s="62">
        <f t="shared" si="74"/>
        <v>283.2270351804259</v>
      </c>
      <c r="EO129" s="62">
        <f ca="1">AVERAGE(OFFSET($EN$3,0,0,'Données projet'!$E$15+1,1))-AVERAGE(OFFSET($H$3,0,0,'Données projet'!$E$15+1,1))</f>
        <v>281.21543175875604</v>
      </c>
      <c r="EP129" s="62">
        <f t="shared" si="100"/>
        <v>366.68536296857428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25.840126620232716</v>
      </c>
      <c r="EW129" s="23">
        <f>EXP(-LN(2)/25)*EW128+(1-EXP(-LN(2)/25))/(LN(2)/25)*Calculateur!ER129*Calculateur!ET129*VLOOKUP('Données projet'!$B$15,Paramètres!$A$1:$I$89,3,0)*0.475*44/12</f>
        <v>5.1863827661177275</v>
      </c>
      <c r="EX129" s="23">
        <f>EXP(-LN(2)/2)*EX128+(1-EXP(-LN(2)/2))/(LN(2)/2)*ER129*EU129*VLOOKUP('Données projet'!$B$15,Paramètres!$A$1:$I$89,3,0)*0.475*44/12</f>
        <v>6.073441565005049E-10</v>
      </c>
      <c r="EY129" s="24">
        <f t="shared" si="75"/>
        <v>31.026509386957787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2.2737367544323206E-13</v>
      </c>
      <c r="FF129" s="18">
        <f>FE129*VLOOKUP('Données projet'!$B$16,Paramètres!$A$1:$I$89,3,0)*VLOOKUP('Données projet'!$B$16,Paramètres!$A$1:$I$89,5,0)</f>
        <v>1.2710188457276673E-13</v>
      </c>
      <c r="FG129" s="14">
        <f t="shared" si="101"/>
        <v>1.856866851063998E-12</v>
      </c>
      <c r="FH129" s="22">
        <f t="shared" si="76"/>
        <v>3.4554122145673649E-12</v>
      </c>
      <c r="FI129" s="62">
        <f t="shared" si="77"/>
        <v>283.22703518042567</v>
      </c>
      <c r="FJ129" s="62">
        <f ca="1">AVERAGE(OFFSET($FI$3,0,0,'Données projet'!$E$16+1,1))-AVERAGE(OFFSET($H$3,0,0,'Données projet'!$E$16+1,1))</f>
        <v>280.9225643428145</v>
      </c>
      <c r="FK129" s="62">
        <f t="shared" si="102"/>
        <v>236.89414218053955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80.833418716562221</v>
      </c>
      <c r="FR129" s="23">
        <f>EXP(-LN(2)/25)*FR128+(1-EXP(-LN(2)/25))/(LN(2)/25)*Calculateur!FM129*Calculateur!FO129*VLOOKUP('Données projet'!$B$16,Paramètres!$A$1:$I$89,3,0)*0.475*44/12</f>
        <v>16.599257161954668</v>
      </c>
      <c r="FS129" s="23">
        <f>EXP(-LN(2)/2)*FS128+(1-EXP(-LN(2)/2))/(LN(2)/2)*FM129*FP129*VLOOKUP('Données projet'!$B$16,Paramètres!$A$1:$I$89,3,0)*0.475*44/12</f>
        <v>1.5987483407515268E-11</v>
      </c>
      <c r="FT129" s="24">
        <f t="shared" si="78"/>
        <v>97.432675878532876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-5.6843418860808015E-13</v>
      </c>
      <c r="GA129" s="18">
        <f>FZ129*VLOOKUP('Données projet'!$B$17,Paramètres!$A$1:$I$89,3,0)*VLOOKUP('Données projet'!$B$17,Paramètres!$A$1:$I$89,5,0)</f>
        <v>-2.5124791136477147E-13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325.67421864225201</v>
      </c>
      <c r="GF129" s="62">
        <f t="shared" si="104"/>
        <v>542.01920418736745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52.314585217946146</v>
      </c>
      <c r="GM129" s="23">
        <f>EXP(-LN(2)/25)*GM128+(1-EXP(-LN(2)/25))/(LN(2)/25)*Calculateur!GH129*Calculateur!GJ129*VLOOKUP('Données projet'!$B$17,Paramètres!$A$1:$I$89,3,0)*0.475*44/12</f>
        <v>19.454159796584662</v>
      </c>
      <c r="GN129" s="23">
        <f>EXP(-LN(2)/2)*GN128+(1-EXP(-LN(2)/2))/(LN(2)/2)*GH129*GK129*VLOOKUP('Données projet'!$B$17,Paramètres!$A$1:$I$89,3,0)*0.475*44/12</f>
        <v>1.6283732179648827E-11</v>
      </c>
      <c r="GO129" s="23">
        <f t="shared" si="81"/>
        <v>71.768745014547093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-2.5579538487363607E-13</v>
      </c>
      <c r="GV129" s="18">
        <f>GU129*VLOOKUP('Données projet'!$B$18,Paramètres!$A$1:$I$89,3,0)*VLOOKUP('Données projet'!$B$18,Paramètres!$A$1:$I$89,5,0)</f>
        <v>-2.5937652026186701E-13</v>
      </c>
      <c r="GW129" s="14" t="e">
        <f t="shared" si="105"/>
        <v>#NUM!</v>
      </c>
      <c r="GX129" s="22" t="e">
        <f t="shared" si="82"/>
        <v>#NUM!</v>
      </c>
      <c r="GY129" s="62" t="e">
        <f t="shared" si="83"/>
        <v>#NUM!</v>
      </c>
      <c r="GZ129" s="62">
        <f ca="1">AVERAGE(OFFSET($GY$3,0,0,'Données projet'!$E$18+1,1))-AVERAGE(OFFSET($H$3,0,0,'Données projet'!$E$18+1,1))</f>
        <v>220.89224520315713</v>
      </c>
      <c r="HA129" s="62">
        <f t="shared" si="106"/>
        <v>141.82763623159096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-2.8421709430404007E-14</v>
      </c>
      <c r="O130" s="14">
        <f>N130*VLOOKUP('Données projet'!$B$9,Paramètres!$A$1:$I$89,3,0)*VLOOKUP('Données projet'!$B$9,Paramètres!$A$1:$I$89,5,0)</f>
        <v>-2.7489477361086758E-14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84.959354125980269</v>
      </c>
      <c r="T130" s="62">
        <f t="shared" si="88"/>
        <v>89.658970210276806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3.2054318244298057</v>
      </c>
      <c r="AB130" s="23">
        <f>EXP(-LN(2)/2)*AB129+(1-EXP(-LN(2)/2))/(LN(2)/2)*V130*Y130*VLOOKUP('Données projet'!$B$9,Paramètres!$A$1:$I$89,3,0)*0.475*44/12</f>
        <v>8.6168459932263363E-9</v>
      </c>
      <c r="AC130" s="24">
        <f t="shared" si="57"/>
        <v>3.2054318330466516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12.027399999999998</v>
      </c>
      <c r="AI130" s="14">
        <f>IF('Données projet'!$A$62&gt;35,AI129+AH130-AQ129,IF(A130&lt;'Données projet'!$A$62,$AF$205^A130,IF(A130='Données projet'!$A$62,'Données projet'!$B$62,AI129+AH130-AQ129)))</f>
        <v>719.21779999999899</v>
      </c>
      <c r="AJ130" s="14">
        <f>AI130*VLOOKUP('Données projet'!$B$10,Paramètres!$A$1:$I$89,3,0)*VLOOKUP('Données projet'!$B$10,Paramètres!$A$1:$I$89,5,0)</f>
        <v>684.40765847999899</v>
      </c>
      <c r="AK130" s="14">
        <f t="shared" si="89"/>
        <v>147.51503128617529</v>
      </c>
      <c r="AL130" s="22">
        <f t="shared" si="58"/>
        <v>1448.9320180094201</v>
      </c>
      <c r="AM130" s="62">
        <f t="shared" si="59"/>
        <v>1732.3343748684974</v>
      </c>
      <c r="AN130" s="62">
        <f ca="1">AVERAGE(OFFSET($AM$3,0,0,'Données projet'!$E$10+1,1))-AVERAGE(OFFSET($H$3,0,0,'Données projet'!$E$10+1,1))</f>
        <v>592.76231355549089</v>
      </c>
      <c r="AO130" s="62">
        <f t="shared" si="90"/>
        <v>200.66895551079014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22.819920016911595</v>
      </c>
      <c r="AV130" s="23">
        <f>EXP(-LN(2)/25)*AV129+(1-EXP(-LN(2)/25))/(LN(2)/25)*Calculateur!AQ130*Calculateur!AS130*VLOOKUP('Données projet'!$B$10,Paramètres!$A$1:$I$89,3,0)*0.475*44/12</f>
        <v>10.367052956486422</v>
      </c>
      <c r="AW130" s="23">
        <f>EXP(-LN(2)/2)*AW129+(1-EXP(-LN(2)/2))/(LN(2)/2)*AQ130*AT130*VLOOKUP('Données projet'!$B$10,Paramètres!$A$1:$I$89,3,0)*0.475*44/12</f>
        <v>1.0585532361478854E-9</v>
      </c>
      <c r="AX130" s="23">
        <f t="shared" si="60"/>
        <v>33.186972974456566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4.4930000000000003</v>
      </c>
      <c r="BD130" s="13">
        <f>IF('Données projet'!$A$88&gt;35,BD129+BC130-BL129,IF(A130&lt;'Données projet'!$A$88,$BA$205^A130,IF(A130='Données projet'!$A$88,'Données projet'!$B$88,BD129+BC130-BL129)))</f>
        <v>231.02099999999976</v>
      </c>
      <c r="BE130" s="14">
        <f>BD130*VLOOKUP('Données projet'!$B$11,Paramètres!$A$1:$I$89,3,0)*VLOOKUP('Données projet'!$B$11,Paramètres!$A$1:$I$89,5,0)</f>
        <v>209.02780079999977</v>
      </c>
      <c r="BF130" s="14">
        <f t="shared" si="91"/>
        <v>51.723078371953768</v>
      </c>
      <c r="BG130" s="22">
        <f t="shared" si="61"/>
        <v>454.14111455781909</v>
      </c>
      <c r="BH130" s="62">
        <f t="shared" si="62"/>
        <v>737.54347141689652</v>
      </c>
      <c r="BI130" s="62">
        <f ca="1">AVERAGE(OFFSET($BH$3,0,0,'Données projet'!$E$11+1,1))-AVERAGE(OFFSET($H$3,0,0,'Données projet'!$E$11+1,1))</f>
        <v>316.71836722354374</v>
      </c>
      <c r="BJ130" s="62">
        <f t="shared" si="92"/>
        <v>164.34067012996618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30.125943184340059</v>
      </c>
      <c r="BQ130" s="23">
        <f>EXP(-LN(2)/25)*BQ129+(1-EXP(-LN(2)/25))/(LN(2)/25)*Calculateur!BL130*Calculateur!BN130*VLOOKUP('Données projet'!$B$11,Paramètres!$A$1:$I$89,3,0)*0.475*44/12</f>
        <v>3.2819718539414406</v>
      </c>
      <c r="BR130" s="23">
        <f>EXP(-LN(2)/2)*BR129+(1-EXP(-LN(2)/2))/(LN(2)/2)*BL130*BO130*VLOOKUP('Données projet'!$B$11,Paramètres!$A$1:$I$89,3,0)*0.475*44/12</f>
        <v>6.838819649749823E-11</v>
      </c>
      <c r="BS130" s="24">
        <f t="shared" si="63"/>
        <v>33.407915038349891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2.8421709430404007E-14</v>
      </c>
      <c r="BZ130" s="14">
        <f>BY130*VLOOKUP('Données projet'!$B$12,Paramètres!$A$1:$I$89,3,0)*VLOOKUP('Données projet'!$B$12,Paramètres!$A$1:$I$89,5,0)</f>
        <v>3.2366642699344085E-14</v>
      </c>
      <c r="CA130" s="14">
        <f t="shared" si="93"/>
        <v>5.5446527398450045E-13</v>
      </c>
      <c r="CB130" s="22">
        <f t="shared" si="64"/>
        <v>1.0220655882243624E-12</v>
      </c>
      <c r="CC130" s="62">
        <f t="shared" si="65"/>
        <v>283.40235685907845</v>
      </c>
      <c r="CD130" s="62">
        <f ca="1">AVERAGE(OFFSET($CC$3,0,0,'Données projet'!$E$12+1,1))-AVERAGE(OFFSET($H$3,0,0,'Données projet'!$E$12+1,1))</f>
        <v>454.9779384236806</v>
      </c>
      <c r="CE130" s="62">
        <f t="shared" si="94"/>
        <v>379.32753348721906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67.038159276064704</v>
      </c>
      <c r="CL130" s="23">
        <f>EXP(-LN(2)/25)*CL129+(1-EXP(-LN(2)/25))/(LN(2)/25)*Calculateur!CG130*Calculateur!CI130*VLOOKUP('Données projet'!$B$12,Paramètres!$A$1:$I$89,3,0)*0.475*44/12</f>
        <v>25.698991141922551</v>
      </c>
      <c r="CM130" s="23">
        <f>EXP(-LN(2)/2)*CM129+(1-EXP(-LN(2)/2))/(LN(2)/2)*CG130*CJ130*VLOOKUP('Données projet'!$B$12,Paramètres!$A$1:$I$89,3,0)*0.475*44/12</f>
        <v>1.0717300686200313E-5</v>
      </c>
      <c r="CN130" s="24">
        <f t="shared" si="66"/>
        <v>92.737161135287934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252.10592533338991</v>
      </c>
      <c r="CZ130" s="62">
        <f t="shared" si="96"/>
        <v>272.71831345325313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23.165842132170763</v>
      </c>
      <c r="DH130" s="23">
        <f>EXP(-LN(2)/2)*DH129+(1-EXP(-LN(2)/2))/(LN(2)/2)*DB130*DE130*VLOOKUP('Données projet'!$B$13,Paramètres!$A$1:$I$89,3,0)*0.475*44/12</f>
        <v>1.3920270746273459E-9</v>
      </c>
      <c r="DI130" s="24">
        <f t="shared" si="69"/>
        <v>23.165842133562791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423.0896575168394</v>
      </c>
      <c r="DU130" s="62">
        <f t="shared" si="98"/>
        <v>305.98537395014284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60.089332730102292</v>
      </c>
      <c r="EB130" s="23">
        <f>EXP(-LN(2)/25)*EB129+(1-EXP(-LN(2)/25))/(LN(2)/25)*Calculateur!DW130*Calculateur!DY130*VLOOKUP('Données projet'!$B$14,Paramètres!$A$1:$I$89,3,0)*0.475*44/12</f>
        <v>48.598689263284577</v>
      </c>
      <c r="EC130" s="23">
        <f>EXP(-LN(2)/2)*EC129+(1-EXP(-LN(2)/2))/(LN(2)/2)*DW130*DZ130*VLOOKUP('Données projet'!$B$14,Paramètres!$A$1:$I$89,3,0)*0.475*44/12</f>
        <v>2.7291115052524516E-10</v>
      </c>
      <c r="ED130" s="24">
        <f t="shared" si="72"/>
        <v>108.68802199365977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2.2737367544323206E-13</v>
      </c>
      <c r="EK130" s="18">
        <f>EJ130*VLOOKUP('Données projet'!$B$15,Paramètres!$A$1:$I$89,3,0)*VLOOKUP('Données projet'!$B$15,Paramètres!$A$1:$I$89,5,0)</f>
        <v>1.3596945791505279E-13</v>
      </c>
      <c r="EL130" s="14">
        <f t="shared" si="99"/>
        <v>1.9708830566360721E-12</v>
      </c>
      <c r="EM130" s="22">
        <f t="shared" si="73"/>
        <v>3.669434796176543E-12</v>
      </c>
      <c r="EN130" s="62">
        <f t="shared" si="74"/>
        <v>283.40235685908112</v>
      </c>
      <c r="EO130" s="62">
        <f ca="1">AVERAGE(OFFSET($EN$3,0,0,'Données projet'!$E$15+1,1))-AVERAGE(OFFSET($H$3,0,0,'Données projet'!$E$15+1,1))</f>
        <v>281.21543175875604</v>
      </c>
      <c r="EP130" s="62">
        <f t="shared" si="100"/>
        <v>366.68536296857428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25.333417498130931</v>
      </c>
      <c r="EW130" s="23">
        <f>EXP(-LN(2)/25)*EW129+(1-EXP(-LN(2)/25))/(LN(2)/25)*Calculateur!ER130*Calculateur!ET130*VLOOKUP('Données projet'!$B$15,Paramètres!$A$1:$I$89,3,0)*0.475*44/12</f>
        <v>5.0445608566382223</v>
      </c>
      <c r="EX130" s="23">
        <f>EXP(-LN(2)/2)*EX129+(1-EXP(-LN(2)/2))/(LN(2)/2)*ER130*EU130*VLOOKUP('Données projet'!$B$15,Paramètres!$A$1:$I$89,3,0)*0.475*44/12</f>
        <v>4.294571715755308E-10</v>
      </c>
      <c r="EY130" s="24">
        <f t="shared" si="75"/>
        <v>30.377978355198611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2.2737367544323206E-13</v>
      </c>
      <c r="FF130" s="18">
        <f>FE130*VLOOKUP('Données projet'!$B$16,Paramètres!$A$1:$I$89,3,0)*VLOOKUP('Données projet'!$B$16,Paramètres!$A$1:$I$89,5,0)</f>
        <v>1.2710188457276673E-13</v>
      </c>
      <c r="FG130" s="14">
        <f t="shared" si="101"/>
        <v>1.856866851063998E-12</v>
      </c>
      <c r="FH130" s="22">
        <f t="shared" si="76"/>
        <v>3.4554122145673649E-12</v>
      </c>
      <c r="FI130" s="62">
        <f t="shared" si="77"/>
        <v>283.4023568590809</v>
      </c>
      <c r="FJ130" s="62">
        <f ca="1">AVERAGE(OFFSET($FI$3,0,0,'Données projet'!$E$16+1,1))-AVERAGE(OFFSET($H$3,0,0,'Données projet'!$E$16+1,1))</f>
        <v>280.9225643428145</v>
      </c>
      <c r="FK130" s="62">
        <f t="shared" si="102"/>
        <v>236.89414218053955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79.248324679047542</v>
      </c>
      <c r="FR130" s="23">
        <f>EXP(-LN(2)/25)*FR129+(1-EXP(-LN(2)/25))/(LN(2)/25)*Calculateur!FM130*Calculateur!FO130*VLOOKUP('Données projet'!$B$16,Paramètres!$A$1:$I$89,3,0)*0.475*44/12</f>
        <v>16.145349601944023</v>
      </c>
      <c r="FS130" s="23">
        <f>EXP(-LN(2)/2)*FS129+(1-EXP(-LN(2)/2))/(LN(2)/2)*FM130*FP130*VLOOKUP('Données projet'!$B$16,Paramètres!$A$1:$I$89,3,0)*0.475*44/12</f>
        <v>1.1304857931561458E-11</v>
      </c>
      <c r="FT130" s="24">
        <f t="shared" si="78"/>
        <v>95.393674281002873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-5.6843418860808015E-13</v>
      </c>
      <c r="GA130" s="18">
        <f>FZ130*VLOOKUP('Données projet'!$B$17,Paramètres!$A$1:$I$89,3,0)*VLOOKUP('Données projet'!$B$17,Paramètres!$A$1:$I$89,5,0)</f>
        <v>-2.5124791136477147E-13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325.67421864225201</v>
      </c>
      <c r="GF130" s="62">
        <f t="shared" si="104"/>
        <v>542.01920418736745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51.288728110568478</v>
      </c>
      <c r="GM130" s="23">
        <f>EXP(-LN(2)/25)*GM129+(1-EXP(-LN(2)/25))/(LN(2)/25)*Calculateur!GH130*Calculateur!GJ130*VLOOKUP('Données projet'!$B$17,Paramètres!$A$1:$I$89,3,0)*0.475*44/12</f>
        <v>18.922184773897254</v>
      </c>
      <c r="GN130" s="23">
        <f>EXP(-LN(2)/2)*GN129+(1-EXP(-LN(2)/2))/(LN(2)/2)*GH130*GK130*VLOOKUP('Données projet'!$B$17,Paramètres!$A$1:$I$89,3,0)*0.475*44/12</f>
        <v>1.1514337447255286E-11</v>
      </c>
      <c r="GO130" s="23">
        <f t="shared" si="81"/>
        <v>70.210912884477239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-2.5579538487363607E-13</v>
      </c>
      <c r="GV130" s="18">
        <f>GU130*VLOOKUP('Données projet'!$B$18,Paramètres!$A$1:$I$89,3,0)*VLOOKUP('Données projet'!$B$18,Paramètres!$A$1:$I$89,5,0)</f>
        <v>-2.5937652026186701E-13</v>
      </c>
      <c r="GW130" s="14" t="e">
        <f t="shared" si="105"/>
        <v>#NUM!</v>
      </c>
      <c r="GX130" s="22" t="e">
        <f t="shared" si="82"/>
        <v>#NUM!</v>
      </c>
      <c r="GY130" s="62" t="e">
        <f t="shared" si="83"/>
        <v>#NUM!</v>
      </c>
      <c r="GZ130" s="62">
        <f ca="1">AVERAGE(OFFSET($GY$3,0,0,'Données projet'!$E$18+1,1))-AVERAGE(OFFSET($H$3,0,0,'Données projet'!$E$18+1,1))</f>
        <v>220.89224520315713</v>
      </c>
      <c r="HA130" s="62">
        <f t="shared" si="106"/>
        <v>141.82763623159096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-2.8421709430404007E-14</v>
      </c>
      <c r="O131" s="14">
        <f>N131*VLOOKUP('Données projet'!$B$9,Paramètres!$A$1:$I$89,3,0)*VLOOKUP('Données projet'!$B$9,Paramètres!$A$1:$I$89,5,0)</f>
        <v>-2.7489477361086758E-14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84.959354125980269</v>
      </c>
      <c r="T131" s="62">
        <f t="shared" si="88"/>
        <v>89.658970210276806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3.1177791226244391</v>
      </c>
      <c r="AB131" s="23">
        <f>EXP(-LN(2)/2)*AB130+(1-EXP(-LN(2)/2))/(LN(2)/2)*V131*Y131*VLOOKUP('Données projet'!$B$9,Paramètres!$A$1:$I$89,3,0)*0.475*44/12</f>
        <v>6.0930302342504738E-9</v>
      </c>
      <c r="AC131" s="24">
        <f t="shared" si="57"/>
        <v>3.1177791287174692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12.027399999999998</v>
      </c>
      <c r="AI131" s="14">
        <f>IF('Données projet'!$A$62&gt;35,AI130+AH131-AQ130,IF(A131&lt;'Données projet'!$A$62,$AF$205^A131,IF(A131='Données projet'!$A$62,'Données projet'!$B$62,AI130+AH131-AQ130)))</f>
        <v>731.24519999999893</v>
      </c>
      <c r="AJ131" s="14">
        <f>AI131*VLOOKUP('Données projet'!$B$10,Paramètres!$A$1:$I$89,3,0)*VLOOKUP('Données projet'!$B$10,Paramètres!$A$1:$I$89,5,0)</f>
        <v>695.85293231999901</v>
      </c>
      <c r="AK131" s="14">
        <f t="shared" si="89"/>
        <v>149.69265595514506</v>
      </c>
      <c r="AL131" s="22">
        <f t="shared" si="58"/>
        <v>1472.6585662458758</v>
      </c>
      <c r="AM131" s="62">
        <f t="shared" si="59"/>
        <v>1756.2332033444443</v>
      </c>
      <c r="AN131" s="62">
        <f ca="1">AVERAGE(OFFSET($AM$3,0,0,'Données projet'!$E$10+1,1))-AVERAGE(OFFSET($H$3,0,0,'Données projet'!$E$10+1,1))</f>
        <v>592.76231355549089</v>
      </c>
      <c r="AO131" s="62">
        <f t="shared" si="90"/>
        <v>200.66895551079014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22.372435304156806</v>
      </c>
      <c r="AV131" s="23">
        <f>EXP(-LN(2)/25)*AV130+(1-EXP(-LN(2)/25))/(LN(2)/25)*Calculateur!AQ131*Calculateur!AS131*VLOOKUP('Données projet'!$B$10,Paramètres!$A$1:$I$89,3,0)*0.475*44/12</f>
        <v>10.08356534821168</v>
      </c>
      <c r="AW131" s="23">
        <f>EXP(-LN(2)/2)*AW130+(1-EXP(-LN(2)/2))/(LN(2)/2)*AQ131*AT131*VLOOKUP('Données projet'!$B$10,Paramètres!$A$1:$I$89,3,0)*0.475*44/12</f>
        <v>7.4851017152713461E-10</v>
      </c>
      <c r="AX131" s="23">
        <f t="shared" si="60"/>
        <v>32.456000653116995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4.4930000000000003</v>
      </c>
      <c r="BD131" s="13">
        <f>IF('Données projet'!$A$88&gt;35,BD130+BC131-BL130,IF(A131&lt;'Données projet'!$A$88,$BA$205^A131,IF(A131='Données projet'!$A$88,'Données projet'!$B$88,BD130+BC131-BL130)))</f>
        <v>235.51399999999975</v>
      </c>
      <c r="BE131" s="14">
        <f>BD131*VLOOKUP('Données projet'!$B$11,Paramètres!$A$1:$I$89,3,0)*VLOOKUP('Données projet'!$B$11,Paramètres!$A$1:$I$89,5,0)</f>
        <v>213.09306719999978</v>
      </c>
      <c r="BF131" s="14">
        <f t="shared" si="91"/>
        <v>52.610922446062609</v>
      </c>
      <c r="BG131" s="22">
        <f t="shared" si="61"/>
        <v>462.76778196689196</v>
      </c>
      <c r="BH131" s="62">
        <f t="shared" si="62"/>
        <v>746.34241906546049</v>
      </c>
      <c r="BI131" s="62">
        <f ca="1">AVERAGE(OFFSET($BH$3,0,0,'Données projet'!$E$11+1,1))-AVERAGE(OFFSET($H$3,0,0,'Données projet'!$E$11+1,1))</f>
        <v>316.71836722354374</v>
      </c>
      <c r="BJ131" s="62">
        <f t="shared" si="92"/>
        <v>164.34067012996618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29.53519181350611</v>
      </c>
      <c r="BQ131" s="23">
        <f>EXP(-LN(2)/25)*BQ130+(1-EXP(-LN(2)/25))/(LN(2)/25)*Calculateur!BL131*Calculateur!BN131*VLOOKUP('Données projet'!$B$11,Paramètres!$A$1:$I$89,3,0)*0.475*44/12</f>
        <v>3.192226161004013</v>
      </c>
      <c r="BR131" s="23">
        <f>EXP(-LN(2)/2)*BR130+(1-EXP(-LN(2)/2))/(LN(2)/2)*BL131*BO131*VLOOKUP('Données projet'!$B$11,Paramètres!$A$1:$I$89,3,0)*0.475*44/12</f>
        <v>4.8357757496499096E-11</v>
      </c>
      <c r="BS131" s="24">
        <f t="shared" si="63"/>
        <v>32.727417974558485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2.8421709430404007E-14</v>
      </c>
      <c r="BZ131" s="14">
        <f>BY131*VLOOKUP('Données projet'!$B$12,Paramètres!$A$1:$I$89,3,0)*VLOOKUP('Données projet'!$B$12,Paramètres!$A$1:$I$89,5,0)</f>
        <v>3.2366642699344085E-14</v>
      </c>
      <c r="CA131" s="14">
        <f t="shared" si="93"/>
        <v>5.5446527398450045E-13</v>
      </c>
      <c r="CB131" s="22">
        <f t="shared" si="64"/>
        <v>1.0220655882243624E-12</v>
      </c>
      <c r="CC131" s="62">
        <f t="shared" si="65"/>
        <v>283.57463709856955</v>
      </c>
      <c r="CD131" s="62">
        <f ca="1">AVERAGE(OFFSET($CC$3,0,0,'Données projet'!$E$12+1,1))-AVERAGE(OFFSET($H$3,0,0,'Données projet'!$E$12+1,1))</f>
        <v>454.9779384236806</v>
      </c>
      <c r="CE131" s="62">
        <f t="shared" si="94"/>
        <v>379.32753348721906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65.723581861900755</v>
      </c>
      <c r="CL131" s="23">
        <f>EXP(-LN(2)/25)*CL130+(1-EXP(-LN(2)/25))/(LN(2)/25)*Calculateur!CG131*Calculateur!CI131*VLOOKUP('Données projet'!$B$12,Paramètres!$A$1:$I$89,3,0)*0.475*44/12</f>
        <v>24.99625087769547</v>
      </c>
      <c r="CM131" s="23">
        <f>EXP(-LN(2)/2)*CM130+(1-EXP(-LN(2)/2))/(LN(2)/2)*CG131*CJ131*VLOOKUP('Données projet'!$B$12,Paramètres!$A$1:$I$89,3,0)*0.475*44/12</f>
        <v>7.5782759912274806E-6</v>
      </c>
      <c r="CN131" s="24">
        <f t="shared" si="66"/>
        <v>90.719840317872226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252.10592533338991</v>
      </c>
      <c r="CZ131" s="62">
        <f t="shared" si="96"/>
        <v>272.71831345325313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22.532370960827862</v>
      </c>
      <c r="DH131" s="23">
        <f>EXP(-LN(2)/2)*DH130+(1-EXP(-LN(2)/2))/(LN(2)/2)*DB131*DE131*VLOOKUP('Données projet'!$B$13,Paramètres!$A$1:$I$89,3,0)*0.475*44/12</f>
        <v>9.8431178406426855E-10</v>
      </c>
      <c r="DI131" s="24">
        <f t="shared" si="69"/>
        <v>22.532370961812173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423.0896575168394</v>
      </c>
      <c r="DU131" s="62">
        <f t="shared" si="98"/>
        <v>305.98537395014284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58.91101756613898</v>
      </c>
      <c r="EB131" s="23">
        <f>EXP(-LN(2)/25)*EB130+(1-EXP(-LN(2)/25))/(LN(2)/25)*Calculateur!DW131*Calculateur!DY131*VLOOKUP('Données projet'!$B$14,Paramètres!$A$1:$I$89,3,0)*0.475*44/12</f>
        <v>47.269755549686067</v>
      </c>
      <c r="EC131" s="23">
        <f>EXP(-LN(2)/2)*EC130+(1-EXP(-LN(2)/2))/(LN(2)/2)*DW131*DZ131*VLOOKUP('Données projet'!$B$14,Paramètres!$A$1:$I$89,3,0)*0.475*44/12</f>
        <v>1.9297732519782346E-10</v>
      </c>
      <c r="ED131" s="24">
        <f t="shared" si="72"/>
        <v>106.18077311601803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2.2737367544323206E-13</v>
      </c>
      <c r="EK131" s="18">
        <f>EJ131*VLOOKUP('Données projet'!$B$15,Paramètres!$A$1:$I$89,3,0)*VLOOKUP('Données projet'!$B$15,Paramètres!$A$1:$I$89,5,0)</f>
        <v>1.3596945791505279E-13</v>
      </c>
      <c r="EL131" s="14">
        <f t="shared" si="99"/>
        <v>1.9708830566360721E-12</v>
      </c>
      <c r="EM131" s="22">
        <f t="shared" si="73"/>
        <v>3.669434796176543E-12</v>
      </c>
      <c r="EN131" s="62">
        <f t="shared" si="74"/>
        <v>283.57463709857223</v>
      </c>
      <c r="EO131" s="62">
        <f ca="1">AVERAGE(OFFSET($EN$3,0,0,'Données projet'!$E$15+1,1))-AVERAGE(OFFSET($H$3,0,0,'Données projet'!$E$15+1,1))</f>
        <v>281.21543175875604</v>
      </c>
      <c r="EP131" s="62">
        <f t="shared" si="100"/>
        <v>366.68536296857428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24.836644632851513</v>
      </c>
      <c r="EW131" s="23">
        <f>EXP(-LN(2)/25)*EW130+(1-EXP(-LN(2)/25))/(LN(2)/25)*Calculateur!ER131*Calculateur!ET131*VLOOKUP('Données projet'!$B$15,Paramètres!$A$1:$I$89,3,0)*0.475*44/12</f>
        <v>4.9066170747315239</v>
      </c>
      <c r="EX131" s="23">
        <f>EXP(-LN(2)/2)*EX130+(1-EXP(-LN(2)/2))/(LN(2)/2)*ER131*EU131*VLOOKUP('Données projet'!$B$15,Paramètres!$A$1:$I$89,3,0)*0.475*44/12</f>
        <v>3.0367207825025245E-10</v>
      </c>
      <c r="EY131" s="24">
        <f t="shared" si="75"/>
        <v>29.74326170788671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2.2737367544323206E-13</v>
      </c>
      <c r="FF131" s="18">
        <f>FE131*VLOOKUP('Données projet'!$B$16,Paramètres!$A$1:$I$89,3,0)*VLOOKUP('Données projet'!$B$16,Paramètres!$A$1:$I$89,5,0)</f>
        <v>1.2710188457276673E-13</v>
      </c>
      <c r="FG131" s="14">
        <f t="shared" si="101"/>
        <v>1.856866851063998E-12</v>
      </c>
      <c r="FH131" s="22">
        <f t="shared" si="76"/>
        <v>3.4554122145673649E-12</v>
      </c>
      <c r="FI131" s="62">
        <f t="shared" si="77"/>
        <v>283.574637098572</v>
      </c>
      <c r="FJ131" s="62">
        <f ca="1">AVERAGE(OFFSET($FI$3,0,0,'Données projet'!$E$16+1,1))-AVERAGE(OFFSET($H$3,0,0,'Données projet'!$E$16+1,1))</f>
        <v>280.9225643428145</v>
      </c>
      <c r="FK131" s="62">
        <f t="shared" si="102"/>
        <v>236.89414218053955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77.694313368796614</v>
      </c>
      <c r="FR131" s="23">
        <f>EXP(-LN(2)/25)*FR130+(1-EXP(-LN(2)/25))/(LN(2)/25)*Calculateur!FM131*Calculateur!FO131*VLOOKUP('Données projet'!$B$16,Paramètres!$A$1:$I$89,3,0)*0.475*44/12</f>
        <v>15.703854168031828</v>
      </c>
      <c r="FS131" s="23">
        <f>EXP(-LN(2)/2)*FS130+(1-EXP(-LN(2)/2))/(LN(2)/2)*FM131*FP131*VLOOKUP('Données projet'!$B$16,Paramètres!$A$1:$I$89,3,0)*0.475*44/12</f>
        <v>7.9937417037576339E-12</v>
      </c>
      <c r="FT131" s="24">
        <f t="shared" si="78"/>
        <v>93.398167536836439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-5.6843418860808015E-13</v>
      </c>
      <c r="GA131" s="18">
        <f>FZ131*VLOOKUP('Données projet'!$B$17,Paramètres!$A$1:$I$89,3,0)*VLOOKUP('Données projet'!$B$17,Paramètres!$A$1:$I$89,5,0)</f>
        <v>-2.5124791136477147E-13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325.67421864225201</v>
      </c>
      <c r="GF131" s="62">
        <f t="shared" si="104"/>
        <v>542.01920418736745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50.282987435355437</v>
      </c>
      <c r="GM131" s="23">
        <f>EXP(-LN(2)/25)*GM130+(1-EXP(-LN(2)/25))/(LN(2)/25)*Calculateur!GH131*Calculateur!GJ131*VLOOKUP('Données projet'!$B$17,Paramètres!$A$1:$I$89,3,0)*0.475*44/12</f>
        <v>18.404756636180583</v>
      </c>
      <c r="GN131" s="23">
        <f>EXP(-LN(2)/2)*GN130+(1-EXP(-LN(2)/2))/(LN(2)/2)*GH131*GK131*VLOOKUP('Données projet'!$B$17,Paramètres!$A$1:$I$89,3,0)*0.475*44/12</f>
        <v>8.1418660898244136E-12</v>
      </c>
      <c r="GO131" s="23">
        <f t="shared" si="81"/>
        <v>68.687744071544159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-2.5579538487363607E-13</v>
      </c>
      <c r="GV131" s="18">
        <f>GU131*VLOOKUP('Données projet'!$B$18,Paramètres!$A$1:$I$89,3,0)*VLOOKUP('Données projet'!$B$18,Paramètres!$A$1:$I$89,5,0)</f>
        <v>-2.5937652026186701E-13</v>
      </c>
      <c r="GW131" s="14" t="e">
        <f t="shared" si="105"/>
        <v>#NUM!</v>
      </c>
      <c r="GX131" s="22" t="e">
        <f t="shared" si="82"/>
        <v>#NUM!</v>
      </c>
      <c r="GY131" s="62" t="e">
        <f t="shared" si="83"/>
        <v>#NUM!</v>
      </c>
      <c r="GZ131" s="62">
        <f ca="1">AVERAGE(OFFSET($GY$3,0,0,'Données projet'!$E$18+1,1))-AVERAGE(OFFSET($H$3,0,0,'Données projet'!$E$18+1,1))</f>
        <v>220.89224520315713</v>
      </c>
      <c r="HA131" s="62">
        <f t="shared" si="106"/>
        <v>141.82763623159096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-2.8421709430404007E-14</v>
      </c>
      <c r="O132" s="14">
        <f>N132*VLOOKUP('Données projet'!$B$9,Paramètres!$A$1:$I$89,3,0)*VLOOKUP('Données projet'!$B$9,Paramètres!$A$1:$I$89,5,0)</f>
        <v>-2.7489477361086758E-14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84.959354125980269</v>
      </c>
      <c r="T132" s="62">
        <f t="shared" si="88"/>
        <v>89.658970210276806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3.0325232885593953</v>
      </c>
      <c r="AB132" s="23">
        <f>EXP(-LN(2)/2)*AB131+(1-EXP(-LN(2)/2))/(LN(2)/2)*V132*Y132*VLOOKUP('Données projet'!$B$9,Paramètres!$A$1:$I$89,3,0)*0.475*44/12</f>
        <v>4.3084229966131681E-9</v>
      </c>
      <c r="AC132" s="24">
        <f t="shared" ref="AC132:AC153" si="111">SUM(Z132:AB132)</f>
        <v>3.0325232928678183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12.027399999999998</v>
      </c>
      <c r="AI132" s="14">
        <f>IF('Données projet'!$A$62&gt;35,AI131+AH132-AQ131,IF(A132&lt;'Données projet'!$A$62,$AF$205^A132,IF(A132='Données projet'!$A$62,'Données projet'!$B$62,AI131+AH132-AQ131)))</f>
        <v>743.27259999999887</v>
      </c>
      <c r="AJ132" s="14">
        <f>AI132*VLOOKUP('Données projet'!$B$10,Paramètres!$A$1:$I$89,3,0)*VLOOKUP('Données projet'!$B$10,Paramètres!$A$1:$I$89,5,0)</f>
        <v>707.29820615999893</v>
      </c>
      <c r="AK132" s="14">
        <f t="shared" si="89"/>
        <v>151.86611529070601</v>
      </c>
      <c r="AL132" s="22">
        <f t="shared" ref="AL132:AL153" si="112">(AJ132+AK132)*0.475*44/12</f>
        <v>1496.3778598599777</v>
      </c>
      <c r="AM132" s="62">
        <f t="shared" ref="AM132:AM195" si="113">AL132+(AD132+AE132)*44/12</f>
        <v>1780.1217885210431</v>
      </c>
      <c r="AN132" s="62">
        <f ca="1">AVERAGE(OFFSET($AM$3,0,0,'Données projet'!$E$10+1,1))-AVERAGE(OFFSET($H$3,0,0,'Données projet'!$E$10+1,1))</f>
        <v>592.76231355549089</v>
      </c>
      <c r="AO132" s="62">
        <f t="shared" si="90"/>
        <v>200.66895551079014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21.933725493680413</v>
      </c>
      <c r="AV132" s="23">
        <f>EXP(-LN(2)/25)*AV131+(1-EXP(-LN(2)/25))/(LN(2)/25)*Calculateur!AQ132*Calculateur!AS132*VLOOKUP('Données projet'!$B$10,Paramètres!$A$1:$I$89,3,0)*0.475*44/12</f>
        <v>9.8078297234931764</v>
      </c>
      <c r="AW132" s="23">
        <f>EXP(-LN(2)/2)*AW131+(1-EXP(-LN(2)/2))/(LN(2)/2)*AQ132*AT132*VLOOKUP('Données projet'!$B$10,Paramètres!$A$1:$I$89,3,0)*0.475*44/12</f>
        <v>5.2927661807394271E-10</v>
      </c>
      <c r="AX132" s="23">
        <f t="shared" ref="AX132:AX153" si="114">SUM(AU132:AW132)</f>
        <v>31.741555217702867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4.4930000000000003</v>
      </c>
      <c r="BD132" s="13">
        <f>IF('Données projet'!$A$88&gt;35,BD131+BC132-BL131,IF(A132&lt;'Données projet'!$A$88,$BA$205^A132,IF(A132='Données projet'!$A$88,'Données projet'!$B$88,BD131+BC132-BL131)))</f>
        <v>240.00699999999975</v>
      </c>
      <c r="BE132" s="14">
        <f>BD132*VLOOKUP('Données projet'!$B$11,Paramètres!$A$1:$I$89,3,0)*VLOOKUP('Données projet'!$B$11,Paramètres!$A$1:$I$89,5,0)</f>
        <v>217.15833359999979</v>
      </c>
      <c r="BF132" s="14">
        <f t="shared" si="91"/>
        <v>53.496797024144151</v>
      </c>
      <c r="BG132" s="22">
        <f t="shared" ref="BG132:BG153" si="115">(BE132+BF132)*0.475*44/12</f>
        <v>471.39101917038403</v>
      </c>
      <c r="BH132" s="62">
        <f t="shared" ref="BH132:BH195" si="116">BG132+(AY132+AZ132)*44/12</f>
        <v>755.13494783144938</v>
      </c>
      <c r="BI132" s="62">
        <f ca="1">AVERAGE(OFFSET($BH$3,0,0,'Données projet'!$E$11+1,1))-AVERAGE(OFFSET($H$3,0,0,'Données projet'!$E$11+1,1))</f>
        <v>316.71836722354374</v>
      </c>
      <c r="BJ132" s="62">
        <f t="shared" si="92"/>
        <v>164.34067012996618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28.956024716731459</v>
      </c>
      <c r="BQ132" s="23">
        <f>EXP(-LN(2)/25)*BQ131+(1-EXP(-LN(2)/25))/(LN(2)/25)*Calculateur!BL132*Calculateur!BN132*VLOOKUP('Données projet'!$B$11,Paramètres!$A$1:$I$89,3,0)*0.475*44/12</f>
        <v>3.1049345687594805</v>
      </c>
      <c r="BR132" s="23">
        <f>EXP(-LN(2)/2)*BR131+(1-EXP(-LN(2)/2))/(LN(2)/2)*BL132*BO132*VLOOKUP('Données projet'!$B$11,Paramètres!$A$1:$I$89,3,0)*0.475*44/12</f>
        <v>3.4194098248749115E-11</v>
      </c>
      <c r="BS132" s="24">
        <f t="shared" ref="BS132:BS153" si="117">SUM(BP132:BR132)</f>
        <v>32.060959285525129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2.8421709430404007E-14</v>
      </c>
      <c r="BZ132" s="14">
        <f>BY132*VLOOKUP('Données projet'!$B$12,Paramètres!$A$1:$I$89,3,0)*VLOOKUP('Données projet'!$B$12,Paramètres!$A$1:$I$89,5,0)</f>
        <v>3.2366642699344085E-14</v>
      </c>
      <c r="CA132" s="14">
        <f t="shared" si="93"/>
        <v>5.5446527398450045E-13</v>
      </c>
      <c r="CB132" s="22">
        <f t="shared" ref="CB132:CB153" si="118">(BZ132+CA132)*0.475*44/12</f>
        <v>1.0220655882243624E-12</v>
      </c>
      <c r="CC132" s="62">
        <f t="shared" ref="CC132:CC195" si="119">CB132+(BT132+BU132)*44/12</f>
        <v>283.74392866106638</v>
      </c>
      <c r="CD132" s="62">
        <f ca="1">AVERAGE(OFFSET($CC$3,0,0,'Données projet'!$E$12+1,1))-AVERAGE(OFFSET($H$3,0,0,'Données projet'!$E$12+1,1))</f>
        <v>454.9779384236806</v>
      </c>
      <c r="CE132" s="62">
        <f t="shared" si="94"/>
        <v>379.32753348721906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64.434782509015506</v>
      </c>
      <c r="CL132" s="23">
        <f>EXP(-LN(2)/25)*CL131+(1-EXP(-LN(2)/25))/(LN(2)/25)*Calculateur!CG132*Calculateur!CI132*VLOOKUP('Données projet'!$B$12,Paramètres!$A$1:$I$89,3,0)*0.475*44/12</f>
        <v>24.312727082949184</v>
      </c>
      <c r="CM132" s="23">
        <f>EXP(-LN(2)/2)*CM131+(1-EXP(-LN(2)/2))/(LN(2)/2)*CG132*CJ132*VLOOKUP('Données projet'!$B$12,Paramètres!$A$1:$I$89,3,0)*0.475*44/12</f>
        <v>5.3586503431001574E-6</v>
      </c>
      <c r="CN132" s="24">
        <f t="shared" ref="CN132:CN153" si="120">SUM(CK132:CM132)</f>
        <v>88.747514950615027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252.10592533338991</v>
      </c>
      <c r="CZ132" s="62">
        <f t="shared" si="96"/>
        <v>272.71831345325313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21.916222091978135</v>
      </c>
      <c r="DH132" s="23">
        <f>EXP(-LN(2)/2)*DH131+(1-EXP(-LN(2)/2))/(LN(2)/2)*DB132*DE132*VLOOKUP('Données projet'!$B$13,Paramètres!$A$1:$I$89,3,0)*0.475*44/12</f>
        <v>6.9601353731367296E-10</v>
      </c>
      <c r="DI132" s="24">
        <f t="shared" ref="DI132:DI153" si="123">SUM(DF132:DH132)</f>
        <v>21.916222092674147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423.0896575168394</v>
      </c>
      <c r="DU132" s="62">
        <f t="shared" si="98"/>
        <v>305.98537395014284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57.755808443839705</v>
      </c>
      <c r="EB132" s="23">
        <f>EXP(-LN(2)/25)*EB131+(1-EXP(-LN(2)/25))/(LN(2)/25)*Calculateur!DW132*Calculateur!DY132*VLOOKUP('Données projet'!$B$14,Paramètres!$A$1:$I$89,3,0)*0.475*44/12</f>
        <v>45.977161598371495</v>
      </c>
      <c r="EC132" s="23">
        <f>EXP(-LN(2)/2)*EC131+(1-EXP(-LN(2)/2))/(LN(2)/2)*DW132*DZ132*VLOOKUP('Données projet'!$B$14,Paramètres!$A$1:$I$89,3,0)*0.475*44/12</f>
        <v>1.3645557526262258E-10</v>
      </c>
      <c r="ED132" s="24">
        <f t="shared" ref="ED132:ED153" si="126">SUM(EA132:EC132)</f>
        <v>103.73297004234766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2.2737367544323206E-13</v>
      </c>
      <c r="EK132" s="18">
        <f>EJ132*VLOOKUP('Données projet'!$B$15,Paramètres!$A$1:$I$89,3,0)*VLOOKUP('Données projet'!$B$15,Paramètres!$A$1:$I$89,5,0)</f>
        <v>1.3596945791505279E-13</v>
      </c>
      <c r="EL132" s="14">
        <f t="shared" si="99"/>
        <v>1.9708830566360721E-12</v>
      </c>
      <c r="EM132" s="22">
        <f t="shared" ref="EM132:EM153" si="127">(EK132+EL132)*0.475*44/12</f>
        <v>3.669434796176543E-12</v>
      </c>
      <c r="EN132" s="62">
        <f t="shared" ref="EN132:EN195" si="128">EM132+(EE132+EF132)*44/12</f>
        <v>283.74392866106905</v>
      </c>
      <c r="EO132" s="62">
        <f ca="1">AVERAGE(OFFSET($EN$3,0,0,'Données projet'!$E$15+1,1))-AVERAGE(OFFSET($H$3,0,0,'Données projet'!$E$15+1,1))</f>
        <v>281.21543175875604</v>
      </c>
      <c r="EP132" s="62">
        <f t="shared" si="100"/>
        <v>366.68536296857428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24.349613180458697</v>
      </c>
      <c r="EW132" s="23">
        <f>EXP(-LN(2)/25)*EW131+(1-EXP(-LN(2)/25))/(LN(2)/25)*Calculateur!ER132*Calculateur!ET132*VLOOKUP('Données projet'!$B$15,Paramètres!$A$1:$I$89,3,0)*0.475*44/12</f>
        <v>4.7724453727952127</v>
      </c>
      <c r="EX132" s="23">
        <f>EXP(-LN(2)/2)*EX131+(1-EXP(-LN(2)/2))/(LN(2)/2)*ER132*EU132*VLOOKUP('Données projet'!$B$15,Paramètres!$A$1:$I$89,3,0)*0.475*44/12</f>
        <v>2.147285857877654E-10</v>
      </c>
      <c r="EY132" s="24">
        <f t="shared" ref="EY132:EY153" si="129">SUM(EV132:EX132)</f>
        <v>29.122058553468637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2.2737367544323206E-13</v>
      </c>
      <c r="FF132" s="18">
        <f>FE132*VLOOKUP('Données projet'!$B$16,Paramètres!$A$1:$I$89,3,0)*VLOOKUP('Données projet'!$B$16,Paramètres!$A$1:$I$89,5,0)</f>
        <v>1.2710188457276673E-13</v>
      </c>
      <c r="FG132" s="14">
        <f t="shared" si="101"/>
        <v>1.856866851063998E-12</v>
      </c>
      <c r="FH132" s="22">
        <f t="shared" ref="FH132:FH153" si="130">(FF132+FG132)*0.475*44/12</f>
        <v>3.4554122145673649E-12</v>
      </c>
      <c r="FI132" s="62">
        <f t="shared" ref="FI132:FI195" si="131">FH132+(EZ132+FA132)*44/12</f>
        <v>283.74392866106882</v>
      </c>
      <c r="FJ132" s="62">
        <f ca="1">AVERAGE(OFFSET($FI$3,0,0,'Données projet'!$E$16+1,1))-AVERAGE(OFFSET($H$3,0,0,'Données projet'!$E$16+1,1))</f>
        <v>280.9225643428145</v>
      </c>
      <c r="FK132" s="62">
        <f t="shared" si="102"/>
        <v>236.89414218053955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76.170775272486409</v>
      </c>
      <c r="FR132" s="23">
        <f>EXP(-LN(2)/25)*FR131+(1-EXP(-LN(2)/25))/(LN(2)/25)*Calculateur!FM132*Calculateur!FO132*VLOOKUP('Données projet'!$B$16,Paramètres!$A$1:$I$89,3,0)*0.475*44/12</f>
        <v>15.274431449977198</v>
      </c>
      <c r="FS132" s="23">
        <f>EXP(-LN(2)/2)*FS131+(1-EXP(-LN(2)/2))/(LN(2)/2)*FM132*FP132*VLOOKUP('Données projet'!$B$16,Paramètres!$A$1:$I$89,3,0)*0.475*44/12</f>
        <v>5.652428965780729E-12</v>
      </c>
      <c r="FT132" s="24">
        <f t="shared" ref="FT132:FT153" si="132">SUM(FQ132:FS132)</f>
        <v>91.445206722469266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-5.6843418860808015E-13</v>
      </c>
      <c r="GA132" s="18">
        <f>FZ132*VLOOKUP('Données projet'!$B$17,Paramètres!$A$1:$I$89,3,0)*VLOOKUP('Données projet'!$B$17,Paramètres!$A$1:$I$89,5,0)</f>
        <v>-2.5124791136477147E-13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325.67421864225201</v>
      </c>
      <c r="GF132" s="62">
        <f t="shared" si="104"/>
        <v>542.01920418736745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49.296968721342083</v>
      </c>
      <c r="GM132" s="23">
        <f>EXP(-LN(2)/25)*GM131+(1-EXP(-LN(2)/25))/(LN(2)/25)*Calculateur!GH132*Calculateur!GJ132*VLOOKUP('Données projet'!$B$17,Paramètres!$A$1:$I$89,3,0)*0.475*44/12</f>
        <v>17.901477598100136</v>
      </c>
      <c r="GN132" s="23">
        <f>EXP(-LN(2)/2)*GN131+(1-EXP(-LN(2)/2))/(LN(2)/2)*GH132*GK132*VLOOKUP('Données projet'!$B$17,Paramètres!$A$1:$I$89,3,0)*0.475*44/12</f>
        <v>5.757168723627643E-12</v>
      </c>
      <c r="GO132" s="23">
        <f t="shared" ref="GO132:GO153" si="135">SUM(GL132:GN132)</f>
        <v>67.198446319447967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-2.5579538487363607E-13</v>
      </c>
      <c r="GV132" s="18">
        <f>GU132*VLOOKUP('Données projet'!$B$18,Paramètres!$A$1:$I$89,3,0)*VLOOKUP('Données projet'!$B$18,Paramètres!$A$1:$I$89,5,0)</f>
        <v>-2.5937652026186701E-13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2" t="e">
        <f t="shared" ref="GY132:GY195" si="137">GX132+(GP132+GQ132)*44/12</f>
        <v>#NUM!</v>
      </c>
      <c r="GZ132" s="62">
        <f ca="1">AVERAGE(OFFSET($GY$3,0,0,'Données projet'!$E$18+1,1))-AVERAGE(OFFSET($H$3,0,0,'Données projet'!$E$18+1,1))</f>
        <v>220.89224520315713</v>
      </c>
      <c r="HA132" s="62">
        <f t="shared" si="106"/>
        <v>141.82763623159096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-2.8421709430404007E-14</v>
      </c>
      <c r="O133" s="14">
        <f>N133*VLOOKUP('Données projet'!$B$9,Paramètres!$A$1:$I$89,3,0)*VLOOKUP('Données projet'!$B$9,Paramètres!$A$1:$I$89,5,0)</f>
        <v>-2.7489477361086758E-14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84.959354125980269</v>
      </c>
      <c r="T133" s="62">
        <f t="shared" ref="T133:T196" si="142">$T$3</f>
        <v>89.658970210276806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2.9495987797602701</v>
      </c>
      <c r="AB133" s="23">
        <f>EXP(-LN(2)/2)*AB132+(1-EXP(-LN(2)/2))/(LN(2)/2)*V133*Y133*VLOOKUP('Données projet'!$B$9,Paramètres!$A$1:$I$89,3,0)*0.475*44/12</f>
        <v>3.0465151171252369E-9</v>
      </c>
      <c r="AC133" s="24">
        <f t="shared" si="111"/>
        <v>2.9495987828067851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755.3</v>
      </c>
      <c r="AG133" s="13">
        <f>VLOOKUP(A133,'Données projet'!$A$61:$I$81,9,0)</f>
        <v>12.027399999999998</v>
      </c>
      <c r="AH133" s="13">
        <f t="array" ref="AH133">INDEX(AG:AG,MIN(IF(ISNUMBER(AG133:AG329),ROW(AG133:AG329),"")))</f>
        <v>12.027399999999998</v>
      </c>
      <c r="AI133" s="14">
        <f>IF('Données projet'!$A$62&gt;35,AI132+AH133-AQ132,IF(A133&lt;'Données projet'!$A$62,$AF$205^A133,IF(A133='Données projet'!$A$62,'Données projet'!$B$62,AI132+AH133-AQ132)))</f>
        <v>755.29999999999882</v>
      </c>
      <c r="AJ133" s="14">
        <f>AI133*VLOOKUP('Données projet'!$B$10,Paramètres!$A$1:$I$89,3,0)*VLOOKUP('Données projet'!$B$10,Paramètres!$A$1:$I$89,5,0)</f>
        <v>718.74347999999884</v>
      </c>
      <c r="AK133" s="14">
        <f t="shared" ref="AK133:AK153" si="143">EXP(-1.0587+0.8836*LN(AJ133)+0.284)</f>
        <v>154.03548447634628</v>
      </c>
      <c r="AL133" s="22">
        <f t="shared" si="112"/>
        <v>1520.090029796301</v>
      </c>
      <c r="AM133" s="62">
        <f t="shared" si="113"/>
        <v>1804.0003131897331</v>
      </c>
      <c r="AN133" s="62">
        <f ca="1">AVERAGE(OFFSET($AM$3,0,0,'Données projet'!$E$10+1,1))-AVERAGE(OFFSET($H$3,0,0,'Données projet'!$E$10+1,1))</f>
        <v>592.76231355549089</v>
      </c>
      <c r="AO133" s="62">
        <f t="shared" ref="AO133:AO196" si="144">$AO$3</f>
        <v>200.66895551079014</v>
      </c>
      <c r="AP133" s="16">
        <f>IF(ISNA(VLOOKUP(A133,'Données projet'!$A$61:$I$81,3,0)),0,VLOOKUP(A133,'Données projet'!$A$61:$I$81,3,0))</f>
        <v>5</v>
      </c>
      <c r="AQ133" s="16">
        <f>IF(ISNA(VLOOKUP(A133,'Données projet'!$A$61:$I$81,4,0)),0,VLOOKUP(A133,'Données projet'!$A$61:$I$81,4,0))</f>
        <v>755.3</v>
      </c>
      <c r="AR133" s="17">
        <f>IF(ISNA(VLOOKUP(A133,'Données projet'!$A$61:$I$81,5,0)),0%,VLOOKUP(A133,'Données projet'!$A$61:$I$81,5,0)*VLOOKUP('Données projet'!$B$10,Paramètres!$A$1:$I$89,7,0))</f>
        <v>0.30099999999999999</v>
      </c>
      <c r="AS133" s="17">
        <f>IF(ISNA(VLOOKUP(A133,'Données projet'!$A$61:$I$81,6,0)),0%,VLOOKUP(A133,'Données projet'!$A$61:$I$81,6,0)*VLOOKUP('Données projet'!$B$10,Paramètres!$A$1:$I$89,7,0))</f>
        <v>8.6000000000000007E-2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260.66305642935333</v>
      </c>
      <c r="AV133" s="23">
        <f>EXP(-LN(2)/25)*AV132+(1-EXP(-LN(2)/25))/(LN(2)/25)*Calculateur!AQ133*Calculateur!AS133*VLOOKUP('Données projet'!$B$10,Paramètres!$A$1:$I$89,3,0)*0.475*44/12</f>
        <v>77.601855841188225</v>
      </c>
      <c r="AW133" s="23">
        <f>EXP(-LN(2)/2)*AW132+(1-EXP(-LN(2)/2))/(LN(2)/2)*AQ133*AT133*VLOOKUP('Données projet'!$B$10,Paramètres!$A$1:$I$89,3,0)*0.475*44/12</f>
        <v>3.742550857635673E-10</v>
      </c>
      <c r="AX133" s="23">
        <f t="shared" si="114"/>
        <v>338.26491227091583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244.5</v>
      </c>
      <c r="BB133" s="13">
        <f>VLOOKUP(A133,'Données projet'!$A$87:$I$107,9,0)</f>
        <v>4.4930000000000003</v>
      </c>
      <c r="BC133" s="13">
        <f t="array" ref="BC133">INDEX(BB:BB,MIN(IF(ISNUMBER(BB133:BB329),ROW(BB133:BB329),"")))</f>
        <v>4.4930000000000003</v>
      </c>
      <c r="BD133" s="13">
        <f>IF('Données projet'!$A$88&gt;35,BD132+BC133-BL132,IF(A133&lt;'Données projet'!$A$88,$BA$205^A133,IF(A133='Données projet'!$A$88,'Données projet'!$B$88,BD132+BC133-BL132)))</f>
        <v>244.49999999999974</v>
      </c>
      <c r="BE133" s="14">
        <f>BD133*VLOOKUP('Données projet'!$B$11,Paramètres!$A$1:$I$89,3,0)*VLOOKUP('Données projet'!$B$11,Paramètres!$A$1:$I$89,5,0)</f>
        <v>221.22359999999975</v>
      </c>
      <c r="BF133" s="14">
        <f t="shared" ref="BF133:BF153" si="145">EXP(-1.0587+0.8836*LN(BE133)+0.284)</f>
        <v>54.380743227374424</v>
      </c>
      <c r="BG133" s="22">
        <f t="shared" si="115"/>
        <v>480.01089778767664</v>
      </c>
      <c r="BH133" s="62">
        <f t="shared" si="116"/>
        <v>763.92118118110875</v>
      </c>
      <c r="BI133" s="62">
        <f ca="1">AVERAGE(OFFSET($BH$3,0,0,'Données projet'!$E$11+1,1))-AVERAGE(OFFSET($H$3,0,0,'Données projet'!$E$11+1,1))</f>
        <v>316.71836722354374</v>
      </c>
      <c r="BJ133" s="62">
        <f t="shared" ref="BJ133:BJ196" si="146">$BJ$3</f>
        <v>164.34067012996618</v>
      </c>
      <c r="BK133" s="16">
        <f>IF(ISNA(VLOOKUP(A133,'Données projet'!$A$87:$I$107,3,0)),0,VLOOKUP(A133,'Données projet'!$A$87:$I$107,3,0))</f>
        <v>16</v>
      </c>
      <c r="BL133" s="16">
        <f>IF(ISNA(VLOOKUP(A133,'Données projet'!$A$87:$I$107,4,0)),0,VLOOKUP(A133,'Données projet'!$A$87:$I$107,4,0))</f>
        <v>28.9</v>
      </c>
      <c r="BM133" s="17">
        <f>IF(ISNA(VLOOKUP(A133,'Données projet'!$A$87:$I$107,5,0)),0%,VLOOKUP(A133,'Données projet'!$A$87:$I$107,5,0)*VLOOKUP('Données projet'!$B$11,Paramètres!$A$1:$I$89,7,0))</f>
        <v>0.34400000000000003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38.332097318876599</v>
      </c>
      <c r="BQ133" s="23">
        <f>EXP(-LN(2)/25)*BQ132+(1-EXP(-LN(2)/25))/(LN(2)/25)*Calculateur!BL133*Calculateur!BN133*VLOOKUP('Données projet'!$B$11,Paramètres!$A$1:$I$89,3,0)*0.475*44/12</f>
        <v>3.0200299696953401</v>
      </c>
      <c r="BR133" s="23">
        <f>EXP(-LN(2)/2)*BR132+(1-EXP(-LN(2)/2))/(LN(2)/2)*BL133*BO133*VLOOKUP('Données projet'!$B$11,Paramètres!$A$1:$I$89,3,0)*0.475*44/12</f>
        <v>2.4178878748249548E-11</v>
      </c>
      <c r="BS133" s="24">
        <f t="shared" si="117"/>
        <v>41.352127288596115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2.8421709430404007E-14</v>
      </c>
      <c r="BZ133" s="14">
        <f>BY133*VLOOKUP('Données projet'!$B$12,Paramètres!$A$1:$I$89,3,0)*VLOOKUP('Données projet'!$B$12,Paramètres!$A$1:$I$89,5,0)</f>
        <v>3.2366642699344085E-14</v>
      </c>
      <c r="CA133" s="14">
        <f t="shared" ref="CA133:CA153" si="147">EXP(-1.0587+0.8836*LN(BZ133)+0.284)</f>
        <v>5.5446527398450045E-13</v>
      </c>
      <c r="CB133" s="22">
        <f t="shared" si="118"/>
        <v>1.0220655882243624E-12</v>
      </c>
      <c r="CC133" s="62">
        <f t="shared" si="119"/>
        <v>283.91028339343313</v>
      </c>
      <c r="CD133" s="62">
        <f ca="1">AVERAGE(OFFSET($CC$3,0,0,'Données projet'!$E$12+1,1))-AVERAGE(OFFSET($H$3,0,0,'Données projet'!$E$12+1,1))</f>
        <v>454.9779384236806</v>
      </c>
      <c r="CE133" s="62">
        <f t="shared" ref="CE133:CE196" si="148">$CE$3</f>
        <v>379.32753348721906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63.171255725350356</v>
      </c>
      <c r="CL133" s="23">
        <f>EXP(-LN(2)/25)*CL132+(1-EXP(-LN(2)/25))/(LN(2)/25)*Calculateur!CG133*Calculateur!CI133*VLOOKUP('Données projet'!$B$12,Paramètres!$A$1:$I$89,3,0)*0.475*44/12</f>
        <v>23.647894282315189</v>
      </c>
      <c r="CM133" s="23">
        <f>EXP(-LN(2)/2)*CM132+(1-EXP(-LN(2)/2))/(LN(2)/2)*CG133*CJ133*VLOOKUP('Données projet'!$B$12,Paramètres!$A$1:$I$89,3,0)*0.475*44/12</f>
        <v>3.7891379956137412E-6</v>
      </c>
      <c r="CN133" s="24">
        <f t="shared" si="120"/>
        <v>86.819153796803533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252.10592533338991</v>
      </c>
      <c r="CZ133" s="62">
        <f t="shared" ref="CZ133:CZ196" si="150">$CZ$3</f>
        <v>272.71831345325313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21.316921846348961</v>
      </c>
      <c r="DH133" s="23">
        <f>EXP(-LN(2)/2)*DH132+(1-EXP(-LN(2)/2))/(LN(2)/2)*DB133*DE133*VLOOKUP('Données projet'!$B$13,Paramètres!$A$1:$I$89,3,0)*0.475*44/12</f>
        <v>4.9215589203213428E-10</v>
      </c>
      <c r="DI133" s="24">
        <f t="shared" si="123"/>
        <v>21.316921846841119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423.0896575168394</v>
      </c>
      <c r="DU133" s="62">
        <f t="shared" ref="DU133:DU196" si="152">$DU$3</f>
        <v>305.98537395014284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56.623252267820725</v>
      </c>
      <c r="EB133" s="23">
        <f>EXP(-LN(2)/25)*EB132+(1-EXP(-LN(2)/25))/(LN(2)/25)*Calculateur!DW133*Calculateur!DY133*VLOOKUP('Données projet'!$B$14,Paramètres!$A$1:$I$89,3,0)*0.475*44/12</f>
        <v>44.719913696630179</v>
      </c>
      <c r="EC133" s="23">
        <f>EXP(-LN(2)/2)*EC132+(1-EXP(-LN(2)/2))/(LN(2)/2)*DW133*DZ133*VLOOKUP('Données projet'!$B$14,Paramètres!$A$1:$I$89,3,0)*0.475*44/12</f>
        <v>9.6488662598911732E-11</v>
      </c>
      <c r="ED133" s="24">
        <f t="shared" si="126"/>
        <v>101.3431659645474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2.2737367544323206E-13</v>
      </c>
      <c r="EK133" s="18">
        <f>EJ133*VLOOKUP('Données projet'!$B$15,Paramètres!$A$1:$I$89,3,0)*VLOOKUP('Données projet'!$B$15,Paramètres!$A$1:$I$89,5,0)</f>
        <v>1.3596945791505279E-13</v>
      </c>
      <c r="EL133" s="14">
        <f t="shared" ref="EL133:EL153" si="153">EXP(-1.0587+0.8836*LN(EK133)+0.284)</f>
        <v>1.9708830566360721E-12</v>
      </c>
      <c r="EM133" s="22">
        <f t="shared" si="127"/>
        <v>3.669434796176543E-12</v>
      </c>
      <c r="EN133" s="62">
        <f t="shared" si="128"/>
        <v>283.9102833934358</v>
      </c>
      <c r="EO133" s="62">
        <f ca="1">AVERAGE(OFFSET($EN$3,0,0,'Données projet'!$E$15+1,1))-AVERAGE(OFFSET($H$3,0,0,'Données projet'!$E$15+1,1))</f>
        <v>281.21543175875604</v>
      </c>
      <c r="EP133" s="62">
        <f t="shared" ref="EP133:EP196" si="154">$EP$3</f>
        <v>366.68536296857428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23.872132117787448</v>
      </c>
      <c r="EW133" s="23">
        <f>EXP(-LN(2)/25)*EW132+(1-EXP(-LN(2)/25))/(LN(2)/25)*Calculateur!ER133*Calculateur!ET133*VLOOKUP('Données projet'!$B$15,Paramètres!$A$1:$I$89,3,0)*0.475*44/12</f>
        <v>4.6419426031041331</v>
      </c>
      <c r="EX133" s="23">
        <f>EXP(-LN(2)/2)*EX132+(1-EXP(-LN(2)/2))/(LN(2)/2)*ER133*EU133*VLOOKUP('Données projet'!$B$15,Paramètres!$A$1:$I$89,3,0)*0.475*44/12</f>
        <v>1.5183603912512623E-10</v>
      </c>
      <c r="EY133" s="24">
        <f t="shared" si="129"/>
        <v>28.514074721043418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2.2737367544323206E-13</v>
      </c>
      <c r="FF133" s="18">
        <f>FE133*VLOOKUP('Données projet'!$B$16,Paramètres!$A$1:$I$89,3,0)*VLOOKUP('Données projet'!$B$16,Paramètres!$A$1:$I$89,5,0)</f>
        <v>1.2710188457276673E-13</v>
      </c>
      <c r="FG133" s="14">
        <f t="shared" ref="FG133:FG153" si="155">EXP(-1.0587+0.8836*LN(FF133)+0.284)</f>
        <v>1.856866851063998E-12</v>
      </c>
      <c r="FH133" s="22">
        <f t="shared" si="130"/>
        <v>3.4554122145673649E-12</v>
      </c>
      <c r="FI133" s="62">
        <f t="shared" si="131"/>
        <v>283.91028339343558</v>
      </c>
      <c r="FJ133" s="62">
        <f ca="1">AVERAGE(OFFSET($FI$3,0,0,'Données projet'!$E$16+1,1))-AVERAGE(OFFSET($H$3,0,0,'Données projet'!$E$16+1,1))</f>
        <v>280.9225643428145</v>
      </c>
      <c r="FK133" s="62">
        <f t="shared" ref="FK133:FK196" si="156">$FK$3</f>
        <v>236.89414218053955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74.677112828978366</v>
      </c>
      <c r="FR133" s="23">
        <f>EXP(-LN(2)/25)*FR132+(1-EXP(-LN(2)/25))/(LN(2)/25)*Calculateur!FM133*Calculateur!FO133*VLOOKUP('Données projet'!$B$16,Paramètres!$A$1:$I$89,3,0)*0.475*44/12</f>
        <v>14.856751318730133</v>
      </c>
      <c r="FS133" s="23">
        <f>EXP(-LN(2)/2)*FS132+(1-EXP(-LN(2)/2))/(LN(2)/2)*FM133*FP133*VLOOKUP('Données projet'!$B$16,Paramètres!$A$1:$I$89,3,0)*0.475*44/12</f>
        <v>3.996870851878817E-12</v>
      </c>
      <c r="FT133" s="24">
        <f t="shared" si="132"/>
        <v>89.533864147712492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-5.6843418860808015E-13</v>
      </c>
      <c r="GA133" s="18">
        <f>FZ133*VLOOKUP('Données projet'!$B$17,Paramètres!$A$1:$I$89,3,0)*VLOOKUP('Données projet'!$B$17,Paramètres!$A$1:$I$89,5,0)</f>
        <v>-2.5124791136477147E-13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325.67421864225201</v>
      </c>
      <c r="GF133" s="62">
        <f t="shared" ref="GF133:GF196" si="158">$GF$3</f>
        <v>542.01920418736745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48.330285232898497</v>
      </c>
      <c r="GM133" s="23">
        <f>EXP(-LN(2)/25)*GM132+(1-EXP(-LN(2)/25))/(LN(2)/25)*Calculateur!GH133*Calculateur!GJ133*VLOOKUP('Données projet'!$B$17,Paramètres!$A$1:$I$89,3,0)*0.475*44/12</f>
        <v>17.411960751782296</v>
      </c>
      <c r="GN133" s="23">
        <f>EXP(-LN(2)/2)*GN132+(1-EXP(-LN(2)/2))/(LN(2)/2)*GH133*GK133*VLOOKUP('Données projet'!$B$17,Paramètres!$A$1:$I$89,3,0)*0.475*44/12</f>
        <v>4.0709330449122068E-12</v>
      </c>
      <c r="GO133" s="23">
        <f t="shared" si="135"/>
        <v>65.742245984684857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-2.5579538487363607E-13</v>
      </c>
      <c r="GV133" s="18">
        <f>GU133*VLOOKUP('Données projet'!$B$18,Paramètres!$A$1:$I$89,3,0)*VLOOKUP('Données projet'!$B$18,Paramètres!$A$1:$I$89,5,0)</f>
        <v>-2.5937652026186701E-13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2" t="e">
        <f t="shared" si="137"/>
        <v>#NUM!</v>
      </c>
      <c r="GZ133" s="62">
        <f ca="1">AVERAGE(OFFSET($GY$3,0,0,'Données projet'!$E$18+1,1))-AVERAGE(OFFSET($H$3,0,0,'Données projet'!$E$18+1,1))</f>
        <v>220.89224520315713</v>
      </c>
      <c r="HA133" s="62">
        <f t="shared" ref="HA133:HA196" si="160">$HA$3</f>
        <v>141.82763623159096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-2.8421709430404007E-14</v>
      </c>
      <c r="O134" s="14">
        <f>N134*VLOOKUP('Données projet'!$B$9,Paramètres!$A$1:$I$89,3,0)*VLOOKUP('Données projet'!$B$9,Paramètres!$A$1:$I$89,5,0)</f>
        <v>-2.7489477361086758E-14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84.959354125980269</v>
      </c>
      <c r="T134" s="62">
        <f t="shared" si="142"/>
        <v>89.658970210276806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2.8689418460150669</v>
      </c>
      <c r="AB134" s="23">
        <f>EXP(-LN(2)/2)*AB133+(1-EXP(-LN(2)/2))/(LN(2)/2)*V134*Y134*VLOOKUP('Données projet'!$B$9,Paramètres!$A$1:$I$89,3,0)*0.475*44/12</f>
        <v>2.1542114983065841E-9</v>
      </c>
      <c r="AC134" s="24">
        <f t="shared" si="111"/>
        <v>2.8689418481692783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-1.1368683772161603E-12</v>
      </c>
      <c r="AJ134" s="14">
        <f>AI134*VLOOKUP('Données projet'!$B$10,Paramètres!$A$1:$I$89,3,0)*VLOOKUP('Données projet'!$B$10,Paramètres!$A$1:$I$89,5,0)</f>
        <v>-1.0818439477588981E-12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592.76231355549089</v>
      </c>
      <c r="AO134" s="62">
        <f t="shared" si="144"/>
        <v>200.66895551079014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255.55161288153931</v>
      </c>
      <c r="AV134" s="23">
        <f>EXP(-LN(2)/25)*AV133+(1-EXP(-LN(2)/25))/(LN(2)/25)*Calculateur!AQ134*Calculateur!AS134*VLOOKUP('Données projet'!$B$10,Paramètres!$A$1:$I$89,3,0)*0.475*44/12</f>
        <v>75.479829012306695</v>
      </c>
      <c r="AW134" s="23">
        <f>EXP(-LN(2)/2)*AW133+(1-EXP(-LN(2)/2))/(LN(2)/2)*AQ134*AT134*VLOOKUP('Données projet'!$B$10,Paramètres!$A$1:$I$89,3,0)*0.475*44/12</f>
        <v>2.6463830903697136E-10</v>
      </c>
      <c r="AX134" s="23">
        <f t="shared" si="114"/>
        <v>331.03144189411069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4.5060000000000029</v>
      </c>
      <c r="BD134" s="13">
        <f>IF('Données projet'!$A$88&gt;35,BD133+BC134-BL133,IF(A134&lt;'Données projet'!$A$88,$BA$205^A134,IF(A134='Données projet'!$A$88,'Données projet'!$B$88,BD133+BC134-BL133)))</f>
        <v>220.10599999999974</v>
      </c>
      <c r="BE134" s="14">
        <f>BD134*VLOOKUP('Données projet'!$B$11,Paramètres!$A$1:$I$89,3,0)*VLOOKUP('Données projet'!$B$11,Paramètres!$A$1:$I$89,5,0)</f>
        <v>199.15190879999975</v>
      </c>
      <c r="BF134" s="14">
        <f t="shared" si="145"/>
        <v>49.557736877295319</v>
      </c>
      <c r="BG134" s="22">
        <f t="shared" si="115"/>
        <v>433.16929955462223</v>
      </c>
      <c r="BH134" s="62">
        <f t="shared" si="116"/>
        <v>717.24305179772796</v>
      </c>
      <c r="BI134" s="62">
        <f ca="1">AVERAGE(OFFSET($BH$3,0,0,'Données projet'!$E$11+1,1))-AVERAGE(OFFSET($H$3,0,0,'Données projet'!$E$11+1,1))</f>
        <v>316.71836722354374</v>
      </c>
      <c r="BJ134" s="62">
        <f t="shared" si="146"/>
        <v>164.34067012996618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37.580428270724184</v>
      </c>
      <c r="BQ134" s="23">
        <f>EXP(-LN(2)/25)*BQ133+(1-EXP(-LN(2)/25))/(LN(2)/25)*Calculateur!BL134*Calculateur!BN134*VLOOKUP('Données projet'!$B$11,Paramètres!$A$1:$I$89,3,0)*0.475*44/12</f>
        <v>2.9374470913575474</v>
      </c>
      <c r="BR134" s="23">
        <f>EXP(-LN(2)/2)*BR133+(1-EXP(-LN(2)/2))/(LN(2)/2)*BL134*BO134*VLOOKUP('Données projet'!$B$11,Paramètres!$A$1:$I$89,3,0)*0.475*44/12</f>
        <v>1.7097049124374557E-11</v>
      </c>
      <c r="BS134" s="24">
        <f t="shared" si="117"/>
        <v>40.517875362098827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2.8421709430404007E-14</v>
      </c>
      <c r="BZ134" s="14">
        <f>BY134*VLOOKUP('Données projet'!$B$12,Paramètres!$A$1:$I$89,3,0)*VLOOKUP('Données projet'!$B$12,Paramètres!$A$1:$I$89,5,0)</f>
        <v>3.2366642699344085E-14</v>
      </c>
      <c r="CA134" s="14">
        <f t="shared" si="147"/>
        <v>5.5446527398450045E-13</v>
      </c>
      <c r="CB134" s="22">
        <f t="shared" si="118"/>
        <v>1.0220655882243624E-12</v>
      </c>
      <c r="CC134" s="62">
        <f t="shared" si="119"/>
        <v>284.07375224310675</v>
      </c>
      <c r="CD134" s="62">
        <f ca="1">AVERAGE(OFFSET($CC$3,0,0,'Données projet'!$E$12+1,1))-AVERAGE(OFFSET($H$3,0,0,'Données projet'!$E$12+1,1))</f>
        <v>454.9779384236806</v>
      </c>
      <c r="CE134" s="62">
        <f t="shared" si="148"/>
        <v>379.32753348721906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61.932505931237642</v>
      </c>
      <c r="CL134" s="23">
        <f>EXP(-LN(2)/25)*CL133+(1-EXP(-LN(2)/25))/(LN(2)/25)*Calculateur!CG134*Calculateur!CI134*VLOOKUP('Données projet'!$B$12,Paramètres!$A$1:$I$89,3,0)*0.475*44/12</f>
        <v>23.001241369576569</v>
      </c>
      <c r="CM134" s="23">
        <f>EXP(-LN(2)/2)*CM133+(1-EXP(-LN(2)/2))/(LN(2)/2)*CG134*CJ134*VLOOKUP('Données projet'!$B$12,Paramètres!$A$1:$I$89,3,0)*0.475*44/12</f>
        <v>2.6793251715500791E-6</v>
      </c>
      <c r="CN134" s="24">
        <f t="shared" si="120"/>
        <v>84.933749980139396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252.10592533338991</v>
      </c>
      <c r="CZ134" s="62">
        <f t="shared" si="150"/>
        <v>272.71831345325313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20.734009497452348</v>
      </c>
      <c r="DH134" s="23">
        <f>EXP(-LN(2)/2)*DH133+(1-EXP(-LN(2)/2))/(LN(2)/2)*DB134*DE134*VLOOKUP('Données projet'!$B$13,Paramètres!$A$1:$I$89,3,0)*0.475*44/12</f>
        <v>3.4800676865683648E-10</v>
      </c>
      <c r="DI134" s="24">
        <f t="shared" si="123"/>
        <v>20.734009497800354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423.0896575168394</v>
      </c>
      <c r="DU134" s="62">
        <f t="shared" si="152"/>
        <v>305.98537395014284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55.512904827622421</v>
      </c>
      <c r="EB134" s="23">
        <f>EXP(-LN(2)/25)*EB133+(1-EXP(-LN(2)/25))/(LN(2)/25)*Calculateur!DW134*Calculateur!DY134*VLOOKUP('Données projet'!$B$14,Paramètres!$A$1:$I$89,3,0)*0.475*44/12</f>
        <v>43.497045304877773</v>
      </c>
      <c r="EC134" s="23">
        <f>EXP(-LN(2)/2)*EC133+(1-EXP(-LN(2)/2))/(LN(2)/2)*DW134*DZ134*VLOOKUP('Données projet'!$B$14,Paramètres!$A$1:$I$89,3,0)*0.475*44/12</f>
        <v>6.8227787631311289E-11</v>
      </c>
      <c r="ED134" s="24">
        <f t="shared" si="126"/>
        <v>99.00995013256842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2.2737367544323206E-13</v>
      </c>
      <c r="EK134" s="18">
        <f>EJ134*VLOOKUP('Données projet'!$B$15,Paramètres!$A$1:$I$89,3,0)*VLOOKUP('Données projet'!$B$15,Paramètres!$A$1:$I$89,5,0)</f>
        <v>1.3596945791505279E-13</v>
      </c>
      <c r="EL134" s="14">
        <f t="shared" si="153"/>
        <v>1.9708830566360721E-12</v>
      </c>
      <c r="EM134" s="22">
        <f t="shared" si="127"/>
        <v>3.669434796176543E-12</v>
      </c>
      <c r="EN134" s="62">
        <f t="shared" si="128"/>
        <v>284.07375224310942</v>
      </c>
      <c r="EO134" s="62">
        <f ca="1">AVERAGE(OFFSET($EN$3,0,0,'Données projet'!$E$15+1,1))-AVERAGE(OFFSET($H$3,0,0,'Données projet'!$E$15+1,1))</f>
        <v>281.21543175875604</v>
      </c>
      <c r="EP134" s="62">
        <f t="shared" si="154"/>
        <v>366.68536296857428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23.40401416752049</v>
      </c>
      <c r="EW134" s="23">
        <f>EXP(-LN(2)/25)*EW133+(1-EXP(-LN(2)/25))/(LN(2)/25)*Calculateur!ER134*Calculateur!ET134*VLOOKUP('Données projet'!$B$15,Paramètres!$A$1:$I$89,3,0)*0.475*44/12</f>
        <v>4.5150084385130986</v>
      </c>
      <c r="EX134" s="23">
        <f>EXP(-LN(2)/2)*EX133+(1-EXP(-LN(2)/2))/(LN(2)/2)*ER134*EU134*VLOOKUP('Données projet'!$B$15,Paramètres!$A$1:$I$89,3,0)*0.475*44/12</f>
        <v>1.073642928938827E-10</v>
      </c>
      <c r="EY134" s="24">
        <f t="shared" si="129"/>
        <v>27.919022606140953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2.2737367544323206E-13</v>
      </c>
      <c r="FF134" s="18">
        <f>FE134*VLOOKUP('Données projet'!$B$16,Paramètres!$A$1:$I$89,3,0)*VLOOKUP('Données projet'!$B$16,Paramètres!$A$1:$I$89,5,0)</f>
        <v>1.2710188457276673E-13</v>
      </c>
      <c r="FG134" s="14">
        <f t="shared" si="155"/>
        <v>1.856866851063998E-12</v>
      </c>
      <c r="FH134" s="22">
        <f t="shared" si="130"/>
        <v>3.4554122145673649E-12</v>
      </c>
      <c r="FI134" s="62">
        <f t="shared" si="131"/>
        <v>284.0737522431092</v>
      </c>
      <c r="FJ134" s="62">
        <f ca="1">AVERAGE(OFFSET($FI$3,0,0,'Données projet'!$E$16+1,1))-AVERAGE(OFFSET($H$3,0,0,'Données projet'!$E$16+1,1))</f>
        <v>280.9225643428145</v>
      </c>
      <c r="FK134" s="62">
        <f t="shared" si="156"/>
        <v>236.89414218053955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73.212740194943379</v>
      </c>
      <c r="FR134" s="23">
        <f>EXP(-LN(2)/25)*FR133+(1-EXP(-LN(2)/25))/(LN(2)/25)*Calculateur!FM134*Calculateur!FO134*VLOOKUP('Données projet'!$B$16,Paramètres!$A$1:$I$89,3,0)*0.475*44/12</f>
        <v>14.450492672636861</v>
      </c>
      <c r="FS134" s="23">
        <f>EXP(-LN(2)/2)*FS133+(1-EXP(-LN(2)/2))/(LN(2)/2)*FM134*FP134*VLOOKUP('Données projet'!$B$16,Paramètres!$A$1:$I$89,3,0)*0.475*44/12</f>
        <v>2.8262144828903645E-12</v>
      </c>
      <c r="FT134" s="24">
        <f t="shared" si="132"/>
        <v>87.663232867583062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-5.6843418860808015E-13</v>
      </c>
      <c r="GA134" s="18">
        <f>FZ134*VLOOKUP('Données projet'!$B$17,Paramètres!$A$1:$I$89,3,0)*VLOOKUP('Données projet'!$B$17,Paramètres!$A$1:$I$89,5,0)</f>
        <v>-2.5124791136477147E-13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325.67421864225201</v>
      </c>
      <c r="GF134" s="62">
        <f t="shared" si="158"/>
        <v>542.01920418736745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47.382557818044582</v>
      </c>
      <c r="GM134" s="23">
        <f>EXP(-LN(2)/25)*GM133+(1-EXP(-LN(2)/25))/(LN(2)/25)*Calculateur!GH134*Calculateur!GJ134*VLOOKUP('Données projet'!$B$17,Paramètres!$A$1:$I$89,3,0)*0.475*44/12</f>
        <v>16.935829769369587</v>
      </c>
      <c r="GN134" s="23">
        <f>EXP(-LN(2)/2)*GN133+(1-EXP(-LN(2)/2))/(LN(2)/2)*GH134*GK134*VLOOKUP('Données projet'!$B$17,Paramètres!$A$1:$I$89,3,0)*0.475*44/12</f>
        <v>2.8785843618138215E-12</v>
      </c>
      <c r="GO134" s="23">
        <f t="shared" si="135"/>
        <v>64.31838758741705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-2.5579538487363607E-13</v>
      </c>
      <c r="GV134" s="18">
        <f>GU134*VLOOKUP('Données projet'!$B$18,Paramètres!$A$1:$I$89,3,0)*VLOOKUP('Données projet'!$B$18,Paramètres!$A$1:$I$89,5,0)</f>
        <v>-2.5937652026186701E-13</v>
      </c>
      <c r="GW134" s="14" t="e">
        <f t="shared" si="159"/>
        <v>#NUM!</v>
      </c>
      <c r="GX134" s="22" t="e">
        <f t="shared" si="136"/>
        <v>#NUM!</v>
      </c>
      <c r="GY134" s="62" t="e">
        <f t="shared" si="137"/>
        <v>#NUM!</v>
      </c>
      <c r="GZ134" s="62">
        <f ca="1">AVERAGE(OFFSET($GY$3,0,0,'Données projet'!$E$18+1,1))-AVERAGE(OFFSET($H$3,0,0,'Données projet'!$E$18+1,1))</f>
        <v>220.89224520315713</v>
      </c>
      <c r="HA134" s="62">
        <f t="shared" si="160"/>
        <v>141.82763623159096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-2.8421709430404007E-14</v>
      </c>
      <c r="O135" s="14">
        <f>N135*VLOOKUP('Données projet'!$B$9,Paramètres!$A$1:$I$89,3,0)*VLOOKUP('Données projet'!$B$9,Paramètres!$A$1:$I$89,5,0)</f>
        <v>-2.7489477361086758E-14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84.959354125980269</v>
      </c>
      <c r="T135" s="62">
        <f t="shared" si="142"/>
        <v>89.658970210276806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2.7904904803646904</v>
      </c>
      <c r="AB135" s="23">
        <f>EXP(-LN(2)/2)*AB134+(1-EXP(-LN(2)/2))/(LN(2)/2)*V135*Y135*VLOOKUP('Données projet'!$B$9,Paramètres!$A$1:$I$89,3,0)*0.475*44/12</f>
        <v>1.5232575585626184E-9</v>
      </c>
      <c r="AC135" s="24">
        <f t="shared" si="111"/>
        <v>2.7904904818879479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-1.1368683772161603E-12</v>
      </c>
      <c r="AJ135" s="14">
        <f>AI135*VLOOKUP('Données projet'!$B$10,Paramètres!$A$1:$I$89,3,0)*VLOOKUP('Données projet'!$B$10,Paramètres!$A$1:$I$89,5,0)</f>
        <v>-1.0818439477588981E-12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592.76231355549089</v>
      </c>
      <c r="AO135" s="62">
        <f t="shared" si="144"/>
        <v>200.66895551079014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250.54040162402518</v>
      </c>
      <c r="AV135" s="23">
        <f>EXP(-LN(2)/25)*AV134+(1-EXP(-LN(2)/25))/(LN(2)/25)*Calculateur!AQ135*Calculateur!AS135*VLOOKUP('Données projet'!$B$10,Paramètres!$A$1:$I$89,3,0)*0.475*44/12</f>
        <v>73.415829118653477</v>
      </c>
      <c r="AW135" s="23">
        <f>EXP(-LN(2)/2)*AW134+(1-EXP(-LN(2)/2))/(LN(2)/2)*AQ135*AT135*VLOOKUP('Données projet'!$B$10,Paramètres!$A$1:$I$89,3,0)*0.475*44/12</f>
        <v>1.8712754288178365E-10</v>
      </c>
      <c r="AX135" s="23">
        <f t="shared" si="114"/>
        <v>323.95623074286578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4.5060000000000029</v>
      </c>
      <c r="BD135" s="13">
        <f>IF('Données projet'!$A$88&gt;35,BD134+BC135-BL134,IF(A135&lt;'Données projet'!$A$88,$BA$205^A135,IF(A135='Données projet'!$A$88,'Données projet'!$B$88,BD134+BC135-BL134)))</f>
        <v>224.61199999999974</v>
      </c>
      <c r="BE135" s="14">
        <f>BD135*VLOOKUP('Données projet'!$B$11,Paramètres!$A$1:$I$89,3,0)*VLOOKUP('Données projet'!$B$11,Paramètres!$A$1:$I$89,5,0)</f>
        <v>203.22893759999977</v>
      </c>
      <c r="BF135" s="14">
        <f t="shared" si="145"/>
        <v>50.453127675411331</v>
      </c>
      <c r="BG135" s="22">
        <f t="shared" si="115"/>
        <v>441.82959702134099</v>
      </c>
      <c r="BH135" s="62">
        <f t="shared" si="116"/>
        <v>726.0639822950402</v>
      </c>
      <c r="BI135" s="62">
        <f ca="1">AVERAGE(OFFSET($BH$3,0,0,'Données projet'!$E$11+1,1))-AVERAGE(OFFSET($H$3,0,0,'Données projet'!$E$11+1,1))</f>
        <v>316.71836722354374</v>
      </c>
      <c r="BJ135" s="62">
        <f t="shared" si="146"/>
        <v>164.34067012996618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36.843498994133185</v>
      </c>
      <c r="BQ135" s="23">
        <f>EXP(-LN(2)/25)*BQ134+(1-EXP(-LN(2)/25))/(LN(2)/25)*Calculateur!BL135*Calculateur!BN135*VLOOKUP('Données projet'!$B$11,Paramètres!$A$1:$I$89,3,0)*0.475*44/12</f>
        <v>2.8571224461707465</v>
      </c>
      <c r="BR135" s="23">
        <f>EXP(-LN(2)/2)*BR134+(1-EXP(-LN(2)/2))/(LN(2)/2)*BL135*BO135*VLOOKUP('Données projet'!$B$11,Paramètres!$A$1:$I$89,3,0)*0.475*44/12</f>
        <v>1.2089439374124774E-11</v>
      </c>
      <c r="BS135" s="24">
        <f t="shared" si="117"/>
        <v>39.70062144031602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2.8421709430404007E-14</v>
      </c>
      <c r="BZ135" s="14">
        <f>BY135*VLOOKUP('Données projet'!$B$12,Paramètres!$A$1:$I$89,3,0)*VLOOKUP('Données projet'!$B$12,Paramètres!$A$1:$I$89,5,0)</f>
        <v>3.2366642699344085E-14</v>
      </c>
      <c r="CA135" s="14">
        <f t="shared" si="147"/>
        <v>5.5446527398450045E-13</v>
      </c>
      <c r="CB135" s="22">
        <f t="shared" si="118"/>
        <v>1.0220655882243624E-12</v>
      </c>
      <c r="CC135" s="62">
        <f t="shared" si="119"/>
        <v>284.23438527370018</v>
      </c>
      <c r="CD135" s="62">
        <f ca="1">AVERAGE(OFFSET($CC$3,0,0,'Données projet'!$E$12+1,1))-AVERAGE(OFFSET($H$3,0,0,'Données projet'!$E$12+1,1))</f>
        <v>454.9779384236806</v>
      </c>
      <c r="CE135" s="62">
        <f t="shared" si="148"/>
        <v>379.32753348721906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60.718047265024708</v>
      </c>
      <c r="CL135" s="23">
        <f>EXP(-LN(2)/25)*CL134+(1-EXP(-LN(2)/25))/(LN(2)/25)*Calculateur!CG135*Calculateur!CI135*VLOOKUP('Données projet'!$B$12,Paramètres!$A$1:$I$89,3,0)*0.475*44/12</f>
        <v>22.372271214742785</v>
      </c>
      <c r="CM135" s="23">
        <f>EXP(-LN(2)/2)*CM134+(1-EXP(-LN(2)/2))/(LN(2)/2)*CG135*CJ135*VLOOKUP('Données projet'!$B$12,Paramètres!$A$1:$I$89,3,0)*0.475*44/12</f>
        <v>1.8945689978068708E-6</v>
      </c>
      <c r="CN135" s="24">
        <f t="shared" si="120"/>
        <v>83.090320374336486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252.10592533338991</v>
      </c>
      <c r="CZ135" s="62">
        <f t="shared" si="150"/>
        <v>272.71831345325313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20.167036917390341</v>
      </c>
      <c r="DH135" s="23">
        <f>EXP(-LN(2)/2)*DH134+(1-EXP(-LN(2)/2))/(LN(2)/2)*DB135*DE135*VLOOKUP('Données projet'!$B$13,Paramètres!$A$1:$I$89,3,0)*0.475*44/12</f>
        <v>2.4607794601606714E-10</v>
      </c>
      <c r="DI135" s="24">
        <f t="shared" si="123"/>
        <v>20.16703691763642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423.0896575168394</v>
      </c>
      <c r="DU135" s="62">
        <f t="shared" si="152"/>
        <v>305.98537395014284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54.424330623481339</v>
      </c>
      <c r="EB135" s="23">
        <f>EXP(-LN(2)/25)*EB134+(1-EXP(-LN(2)/25))/(LN(2)/25)*Calculateur!DW135*Calculateur!DY135*VLOOKUP('Données projet'!$B$14,Paramètres!$A$1:$I$89,3,0)*0.475*44/12</f>
        <v>42.307616313605692</v>
      </c>
      <c r="EC135" s="23">
        <f>EXP(-LN(2)/2)*EC134+(1-EXP(-LN(2)/2))/(LN(2)/2)*DW135*DZ135*VLOOKUP('Données projet'!$B$14,Paramètres!$A$1:$I$89,3,0)*0.475*44/12</f>
        <v>4.8244331299455866E-11</v>
      </c>
      <c r="ED135" s="24">
        <f t="shared" si="126"/>
        <v>96.731946937135277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2.2737367544323206E-13</v>
      </c>
      <c r="EK135" s="18">
        <f>EJ135*VLOOKUP('Données projet'!$B$15,Paramètres!$A$1:$I$89,3,0)*VLOOKUP('Données projet'!$B$15,Paramètres!$A$1:$I$89,5,0)</f>
        <v>1.3596945791505279E-13</v>
      </c>
      <c r="EL135" s="14">
        <f t="shared" si="153"/>
        <v>1.9708830566360721E-12</v>
      </c>
      <c r="EM135" s="22">
        <f t="shared" si="127"/>
        <v>3.669434796176543E-12</v>
      </c>
      <c r="EN135" s="62">
        <f t="shared" si="128"/>
        <v>284.23438527370286</v>
      </c>
      <c r="EO135" s="62">
        <f ca="1">AVERAGE(OFFSET($EN$3,0,0,'Données projet'!$E$15+1,1))-AVERAGE(OFFSET($H$3,0,0,'Données projet'!$E$15+1,1))</f>
        <v>281.21543175875604</v>
      </c>
      <c r="EP135" s="62">
        <f t="shared" si="154"/>
        <v>366.68536296857428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22.945075724734512</v>
      </c>
      <c r="EW135" s="23">
        <f>EXP(-LN(2)/25)*EW134+(1-EXP(-LN(2)/25))/(LN(2)/25)*Calculateur!ER135*Calculateur!ET135*VLOOKUP('Données projet'!$B$15,Paramètres!$A$1:$I$89,3,0)*0.475*44/12</f>
        <v>4.3915452953279832</v>
      </c>
      <c r="EX135" s="23">
        <f>EXP(-LN(2)/2)*EX134+(1-EXP(-LN(2)/2))/(LN(2)/2)*ER135*EU135*VLOOKUP('Données projet'!$B$15,Paramètres!$A$1:$I$89,3,0)*0.475*44/12</f>
        <v>7.5918019562563113E-11</v>
      </c>
      <c r="EY135" s="24">
        <f t="shared" si="129"/>
        <v>27.336621020138413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2.2737367544323206E-13</v>
      </c>
      <c r="FF135" s="18">
        <f>FE135*VLOOKUP('Données projet'!$B$16,Paramètres!$A$1:$I$89,3,0)*VLOOKUP('Données projet'!$B$16,Paramètres!$A$1:$I$89,5,0)</f>
        <v>1.2710188457276673E-13</v>
      </c>
      <c r="FG135" s="14">
        <f t="shared" si="155"/>
        <v>1.856866851063998E-12</v>
      </c>
      <c r="FH135" s="22">
        <f t="shared" si="130"/>
        <v>3.4554122145673649E-12</v>
      </c>
      <c r="FI135" s="62">
        <f t="shared" si="131"/>
        <v>284.23438527370263</v>
      </c>
      <c r="FJ135" s="62">
        <f ca="1">AVERAGE(OFFSET($FI$3,0,0,'Données projet'!$E$16+1,1))-AVERAGE(OFFSET($H$3,0,0,'Données projet'!$E$16+1,1))</f>
        <v>280.9225643428145</v>
      </c>
      <c r="FK135" s="62">
        <f t="shared" si="156"/>
        <v>236.89414218053955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71.777083015082709</v>
      </c>
      <c r="FR135" s="23">
        <f>EXP(-LN(2)/25)*FR134+(1-EXP(-LN(2)/25))/(LN(2)/25)*Calculateur!FM135*Calculateur!FO135*VLOOKUP('Données projet'!$B$16,Paramètres!$A$1:$I$89,3,0)*0.475*44/12</f>
        <v>14.055343190585223</v>
      </c>
      <c r="FS135" s="23">
        <f>EXP(-LN(2)/2)*FS134+(1-EXP(-LN(2)/2))/(LN(2)/2)*FM135*FP135*VLOOKUP('Données projet'!$B$16,Paramètres!$A$1:$I$89,3,0)*0.475*44/12</f>
        <v>1.9984354259394085E-12</v>
      </c>
      <c r="FT135" s="24">
        <f t="shared" si="132"/>
        <v>85.832426205669933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-5.6843418860808015E-13</v>
      </c>
      <c r="GA135" s="18">
        <f>FZ135*VLOOKUP('Données projet'!$B$17,Paramètres!$A$1:$I$89,3,0)*VLOOKUP('Données projet'!$B$17,Paramètres!$A$1:$I$89,5,0)</f>
        <v>-2.5124791136477147E-13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325.67421864225201</v>
      </c>
      <c r="GF135" s="62">
        <f t="shared" si="158"/>
        <v>542.01920418736745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46.45341475973931</v>
      </c>
      <c r="GM135" s="23">
        <f>EXP(-LN(2)/25)*GM134+(1-EXP(-LN(2)/25))/(LN(2)/25)*Calculateur!GH135*Calculateur!GJ135*VLOOKUP('Données projet'!$B$17,Paramètres!$A$1:$I$89,3,0)*0.475*44/12</f>
        <v>16.472718613709596</v>
      </c>
      <c r="GN135" s="23">
        <f>EXP(-LN(2)/2)*GN134+(1-EXP(-LN(2)/2))/(LN(2)/2)*GH135*GK135*VLOOKUP('Données projet'!$B$17,Paramètres!$A$1:$I$89,3,0)*0.475*44/12</f>
        <v>2.0354665224561034E-12</v>
      </c>
      <c r="GO135" s="23">
        <f t="shared" si="135"/>
        <v>62.926133373450938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-2.5579538487363607E-13</v>
      </c>
      <c r="GV135" s="18">
        <f>GU135*VLOOKUP('Données projet'!$B$18,Paramètres!$A$1:$I$89,3,0)*VLOOKUP('Données projet'!$B$18,Paramètres!$A$1:$I$89,5,0)</f>
        <v>-2.5937652026186701E-13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220.89224520315713</v>
      </c>
      <c r="HA135" s="62">
        <f t="shared" si="160"/>
        <v>141.82763623159096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-2.8421709430404007E-14</v>
      </c>
      <c r="O136" s="14">
        <f>N136*VLOOKUP('Données projet'!$B$9,Paramètres!$A$1:$I$89,3,0)*VLOOKUP('Données projet'!$B$9,Paramètres!$A$1:$I$89,5,0)</f>
        <v>-2.7489477361086758E-14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84.959354125980269</v>
      </c>
      <c r="T136" s="62">
        <f t="shared" si="142"/>
        <v>89.658970210276806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2.7141843714336011</v>
      </c>
      <c r="AB136" s="23">
        <f>EXP(-LN(2)/2)*AB135+(1-EXP(-LN(2)/2))/(LN(2)/2)*V136*Y136*VLOOKUP('Données projet'!$B$9,Paramètres!$A$1:$I$89,3,0)*0.475*44/12</f>
        <v>1.077105749153292E-9</v>
      </c>
      <c r="AC136" s="24">
        <f t="shared" si="111"/>
        <v>2.7141843725107071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-1.1368683772161603E-12</v>
      </c>
      <c r="AJ136" s="14">
        <f>AI136*VLOOKUP('Données projet'!$B$10,Paramètres!$A$1:$I$89,3,0)*VLOOKUP('Données projet'!$B$10,Paramètres!$A$1:$I$89,5,0)</f>
        <v>-1.0818439477588981E-12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592.76231355549089</v>
      </c>
      <c r="AO136" s="62">
        <f t="shared" si="144"/>
        <v>200.66895551079014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245.62745716273386</v>
      </c>
      <c r="AV136" s="23">
        <f>EXP(-LN(2)/25)*AV135+(1-EXP(-LN(2)/25))/(LN(2)/25)*Calculateur!AQ136*Calculateur!AS136*VLOOKUP('Données projet'!$B$10,Paramètres!$A$1:$I$89,3,0)*0.475*44/12</f>
        <v>71.408269410633238</v>
      </c>
      <c r="AW136" s="23">
        <f>EXP(-LN(2)/2)*AW135+(1-EXP(-LN(2)/2))/(LN(2)/2)*AQ136*AT136*VLOOKUP('Données projet'!$B$10,Paramètres!$A$1:$I$89,3,0)*0.475*44/12</f>
        <v>1.3231915451848568E-10</v>
      </c>
      <c r="AX136" s="23">
        <f t="shared" si="114"/>
        <v>317.03572657349946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4.5060000000000029</v>
      </c>
      <c r="BD136" s="13">
        <f>IF('Données projet'!$A$88&gt;35,BD135+BC136-BL135,IF(A136&lt;'Données projet'!$A$88,$BA$205^A136,IF(A136='Données projet'!$A$88,'Données projet'!$B$88,BD135+BC136-BL135)))</f>
        <v>229.11799999999974</v>
      </c>
      <c r="BE136" s="14">
        <f>BD136*VLOOKUP('Données projet'!$B$11,Paramètres!$A$1:$I$89,3,0)*VLOOKUP('Données projet'!$B$11,Paramètres!$A$1:$I$89,5,0)</f>
        <v>207.30596639999973</v>
      </c>
      <c r="BF136" s="14">
        <f t="shared" si="145"/>
        <v>51.346429910117486</v>
      </c>
      <c r="BG136" s="22">
        <f t="shared" si="115"/>
        <v>450.4862569067875</v>
      </c>
      <c r="BH136" s="62">
        <f t="shared" si="116"/>
        <v>734.87848858712096</v>
      </c>
      <c r="BI136" s="62">
        <f ca="1">AVERAGE(OFFSET($BH$3,0,0,'Données projet'!$E$11+1,1))-AVERAGE(OFFSET($H$3,0,0,'Données projet'!$E$11+1,1))</f>
        <v>316.71836722354374</v>
      </c>
      <c r="BJ136" s="62">
        <f t="shared" si="146"/>
        <v>164.34067012996618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36.121020451173663</v>
      </c>
      <c r="BQ136" s="23">
        <f>EXP(-LN(2)/25)*BQ135+(1-EXP(-LN(2)/25))/(LN(2)/25)*Calculateur!BL136*Calculateur!BN136*VLOOKUP('Données projet'!$B$11,Paramètres!$A$1:$I$89,3,0)*0.475*44/12</f>
        <v>2.7789942826306682</v>
      </c>
      <c r="BR136" s="23">
        <f>EXP(-LN(2)/2)*BR135+(1-EXP(-LN(2)/2))/(LN(2)/2)*BL136*BO136*VLOOKUP('Données projet'!$B$11,Paramètres!$A$1:$I$89,3,0)*0.475*44/12</f>
        <v>8.5485245621872787E-12</v>
      </c>
      <c r="BS136" s="24">
        <f t="shared" si="117"/>
        <v>38.900014733812881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2.8421709430404007E-14</v>
      </c>
      <c r="BZ136" s="14">
        <f>BY136*VLOOKUP('Données projet'!$B$12,Paramètres!$A$1:$I$89,3,0)*VLOOKUP('Données projet'!$B$12,Paramètres!$A$1:$I$89,5,0)</f>
        <v>3.2366642699344085E-14</v>
      </c>
      <c r="CA136" s="14">
        <f t="shared" si="147"/>
        <v>5.5446527398450045E-13</v>
      </c>
      <c r="CB136" s="22">
        <f t="shared" si="118"/>
        <v>1.0220655882243624E-12</v>
      </c>
      <c r="CC136" s="62">
        <f t="shared" si="119"/>
        <v>284.39223168033442</v>
      </c>
      <c r="CD136" s="62">
        <f ca="1">AVERAGE(OFFSET($CC$3,0,0,'Données projet'!$E$12+1,1))-AVERAGE(OFFSET($H$3,0,0,'Données projet'!$E$12+1,1))</f>
        <v>454.9779384236806</v>
      </c>
      <c r="CE136" s="62">
        <f t="shared" si="148"/>
        <v>379.32753348721906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59.527403392509569</v>
      </c>
      <c r="CL136" s="23">
        <f>EXP(-LN(2)/25)*CL135+(1-EXP(-LN(2)/25))/(LN(2)/25)*Calculateur!CG136*Calculateur!CI136*VLOOKUP('Données projet'!$B$12,Paramètres!$A$1:$I$89,3,0)*0.475*44/12</f>
        <v>21.760500281869032</v>
      </c>
      <c r="CM136" s="23">
        <f>EXP(-LN(2)/2)*CM135+(1-EXP(-LN(2)/2))/(LN(2)/2)*CG136*CJ136*VLOOKUP('Données projet'!$B$12,Paramètres!$A$1:$I$89,3,0)*0.475*44/12</f>
        <v>1.3396625857750398E-6</v>
      </c>
      <c r="CN136" s="24">
        <f t="shared" si="120"/>
        <v>81.287905014041186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252.10592533338991</v>
      </c>
      <c r="CZ136" s="62">
        <f t="shared" si="150"/>
        <v>272.71831345325313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19.615568232345922</v>
      </c>
      <c r="DH136" s="23">
        <f>EXP(-LN(2)/2)*DH135+(1-EXP(-LN(2)/2))/(LN(2)/2)*DB136*DE136*VLOOKUP('Données projet'!$B$13,Paramètres!$A$1:$I$89,3,0)*0.475*44/12</f>
        <v>1.7400338432841824E-10</v>
      </c>
      <c r="DI136" s="24">
        <f t="shared" si="123"/>
        <v>19.615568232519927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423.0896575168394</v>
      </c>
      <c r="DU136" s="62">
        <f t="shared" si="152"/>
        <v>305.98537395014284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53.357102695518762</v>
      </c>
      <c r="EB136" s="23">
        <f>EXP(-LN(2)/25)*EB135+(1-EXP(-LN(2)/25))/(LN(2)/25)*Calculateur!DW136*Calculateur!DY136*VLOOKUP('Données projet'!$B$14,Paramètres!$A$1:$I$89,3,0)*0.475*44/12</f>
        <v>41.150712320649298</v>
      </c>
      <c r="EC136" s="23">
        <f>EXP(-LN(2)/2)*EC135+(1-EXP(-LN(2)/2))/(LN(2)/2)*DW136*DZ136*VLOOKUP('Données projet'!$B$14,Paramètres!$A$1:$I$89,3,0)*0.475*44/12</f>
        <v>3.4113893815655645E-11</v>
      </c>
      <c r="ED136" s="24">
        <f t="shared" si="126"/>
        <v>94.507815016202173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2.2737367544323206E-13</v>
      </c>
      <c r="EK136" s="18">
        <f>EJ136*VLOOKUP('Données projet'!$B$15,Paramètres!$A$1:$I$89,3,0)*VLOOKUP('Données projet'!$B$15,Paramètres!$A$1:$I$89,5,0)</f>
        <v>1.3596945791505279E-13</v>
      </c>
      <c r="EL136" s="14">
        <f t="shared" si="153"/>
        <v>1.9708830566360721E-12</v>
      </c>
      <c r="EM136" s="22">
        <f t="shared" si="127"/>
        <v>3.669434796176543E-12</v>
      </c>
      <c r="EN136" s="62">
        <f t="shared" si="128"/>
        <v>284.39223168033709</v>
      </c>
      <c r="EO136" s="62">
        <f ca="1">AVERAGE(OFFSET($EN$3,0,0,'Données projet'!$E$15+1,1))-AVERAGE(OFFSET($H$3,0,0,'Données projet'!$E$15+1,1))</f>
        <v>281.21543175875604</v>
      </c>
      <c r="EP136" s="62">
        <f t="shared" si="154"/>
        <v>366.68536296857428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22.495136784886757</v>
      </c>
      <c r="EW136" s="23">
        <f>EXP(-LN(2)/25)*EW135+(1-EXP(-LN(2)/25))/(LN(2)/25)*Calculateur!ER136*Calculateur!ET136*VLOOKUP('Données projet'!$B$15,Paramètres!$A$1:$I$89,3,0)*0.475*44/12</f>
        <v>4.2714582582859091</v>
      </c>
      <c r="EX136" s="23">
        <f>EXP(-LN(2)/2)*EX135+(1-EXP(-LN(2)/2))/(LN(2)/2)*ER136*EU136*VLOOKUP('Données projet'!$B$15,Paramètres!$A$1:$I$89,3,0)*0.475*44/12</f>
        <v>5.368214644694135E-11</v>
      </c>
      <c r="EY136" s="24">
        <f t="shared" si="129"/>
        <v>26.766595043226346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2.2737367544323206E-13</v>
      </c>
      <c r="FF136" s="18">
        <f>FE136*VLOOKUP('Données projet'!$B$16,Paramètres!$A$1:$I$89,3,0)*VLOOKUP('Données projet'!$B$16,Paramètres!$A$1:$I$89,5,0)</f>
        <v>1.2710188457276673E-13</v>
      </c>
      <c r="FG136" s="14">
        <f t="shared" si="155"/>
        <v>1.856866851063998E-12</v>
      </c>
      <c r="FH136" s="22">
        <f t="shared" si="130"/>
        <v>3.4554122145673649E-12</v>
      </c>
      <c r="FI136" s="62">
        <f t="shared" si="131"/>
        <v>284.39223168033686</v>
      </c>
      <c r="FJ136" s="62">
        <f ca="1">AVERAGE(OFFSET($FI$3,0,0,'Données projet'!$E$16+1,1))-AVERAGE(OFFSET($H$3,0,0,'Données projet'!$E$16+1,1))</f>
        <v>280.9225643428145</v>
      </c>
      <c r="FK136" s="62">
        <f t="shared" si="156"/>
        <v>236.89414218053955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70.36957819685469</v>
      </c>
      <c r="FR136" s="23">
        <f>EXP(-LN(2)/25)*FR135+(1-EXP(-LN(2)/25))/(LN(2)/25)*Calculateur!FM136*Calculateur!FO136*VLOOKUP('Données projet'!$B$16,Paramètres!$A$1:$I$89,3,0)*0.475*44/12</f>
        <v>13.670999091900295</v>
      </c>
      <c r="FS136" s="23">
        <f>EXP(-LN(2)/2)*FS135+(1-EXP(-LN(2)/2))/(LN(2)/2)*FM136*FP136*VLOOKUP('Données projet'!$B$16,Paramètres!$A$1:$I$89,3,0)*0.475*44/12</f>
        <v>1.4131072414451822E-12</v>
      </c>
      <c r="FT136" s="24">
        <f t="shared" si="132"/>
        <v>84.040577288756396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-5.6843418860808015E-13</v>
      </c>
      <c r="GA136" s="18">
        <f>FZ136*VLOOKUP('Données projet'!$B$17,Paramètres!$A$1:$I$89,3,0)*VLOOKUP('Données projet'!$B$17,Paramètres!$A$1:$I$89,5,0)</f>
        <v>-2.5124791136477147E-13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325.67421864225201</v>
      </c>
      <c r="GF136" s="62">
        <f t="shared" si="158"/>
        <v>542.01920418736745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45.542491630086097</v>
      </c>
      <c r="GM136" s="23">
        <f>EXP(-LN(2)/25)*GM135+(1-EXP(-LN(2)/25))/(LN(2)/25)*Calculateur!GH136*Calculateur!GJ136*VLOOKUP('Données projet'!$B$17,Paramètres!$A$1:$I$89,3,0)*0.475*44/12</f>
        <v>16.022271256955083</v>
      </c>
      <c r="GN136" s="23">
        <f>EXP(-LN(2)/2)*GN135+(1-EXP(-LN(2)/2))/(LN(2)/2)*GH136*GK136*VLOOKUP('Données projet'!$B$17,Paramètres!$A$1:$I$89,3,0)*0.475*44/12</f>
        <v>1.4392921809069108E-12</v>
      </c>
      <c r="GO136" s="23">
        <f t="shared" si="135"/>
        <v>61.564762887042626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-2.5579538487363607E-13</v>
      </c>
      <c r="GV136" s="18">
        <f>GU136*VLOOKUP('Données projet'!$B$18,Paramètres!$A$1:$I$89,3,0)*VLOOKUP('Données projet'!$B$18,Paramètres!$A$1:$I$89,5,0)</f>
        <v>-2.5937652026186701E-13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220.89224520315713</v>
      </c>
      <c r="HA136" s="62">
        <f t="shared" si="160"/>
        <v>141.82763623159096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-2.8421709430404007E-14</v>
      </c>
      <c r="O137" s="14">
        <f>N137*VLOOKUP('Données projet'!$B$9,Paramètres!$A$1:$I$89,3,0)*VLOOKUP('Données projet'!$B$9,Paramètres!$A$1:$I$89,5,0)</f>
        <v>-2.7489477361086758E-14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84.959354125980269</v>
      </c>
      <c r="T137" s="62">
        <f t="shared" si="142"/>
        <v>89.658970210276806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2.6399648570639966</v>
      </c>
      <c r="AB137" s="23">
        <f>EXP(-LN(2)/2)*AB136+(1-EXP(-LN(2)/2))/(LN(2)/2)*V137*Y137*VLOOKUP('Données projet'!$B$9,Paramètres!$A$1:$I$89,3,0)*0.475*44/12</f>
        <v>7.6162877928130922E-10</v>
      </c>
      <c r="AC137" s="24">
        <f t="shared" si="111"/>
        <v>2.6399648578256256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-1.1368683772161603E-12</v>
      </c>
      <c r="AJ137" s="14">
        <f>AI137*VLOOKUP('Données projet'!$B$10,Paramètres!$A$1:$I$89,3,0)*VLOOKUP('Données projet'!$B$10,Paramètres!$A$1:$I$89,5,0)</f>
        <v>-1.0818439477588981E-12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592.76231355549089</v>
      </c>
      <c r="AO137" s="62">
        <f t="shared" si="144"/>
        <v>200.66895551079014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240.81085254572824</v>
      </c>
      <c r="AV137" s="23">
        <f>EXP(-LN(2)/25)*AV136+(1-EXP(-LN(2)/25))/(LN(2)/25)*Calculateur!AQ137*Calculateur!AS137*VLOOKUP('Données projet'!$B$10,Paramètres!$A$1:$I$89,3,0)*0.475*44/12</f>
        <v>69.455606528401788</v>
      </c>
      <c r="AW137" s="23">
        <f>EXP(-LN(2)/2)*AW136+(1-EXP(-LN(2)/2))/(LN(2)/2)*AQ137*AT137*VLOOKUP('Données projet'!$B$10,Paramètres!$A$1:$I$89,3,0)*0.475*44/12</f>
        <v>9.3563771440891826E-11</v>
      </c>
      <c r="AX137" s="23">
        <f t="shared" si="114"/>
        <v>310.26645907422358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4.5060000000000029</v>
      </c>
      <c r="BD137" s="13">
        <f>IF('Données projet'!$A$88&gt;35,BD136+BC137-BL136,IF(A137&lt;'Données projet'!$A$88,$BA$205^A137,IF(A137='Données projet'!$A$88,'Données projet'!$B$88,BD136+BC137-BL136)))</f>
        <v>233.62399999999974</v>
      </c>
      <c r="BE137" s="14">
        <f>BD137*VLOOKUP('Données projet'!$B$11,Paramètres!$A$1:$I$89,3,0)*VLOOKUP('Données projet'!$B$11,Paramètres!$A$1:$I$89,5,0)</f>
        <v>211.38299519999975</v>
      </c>
      <c r="BF137" s="14">
        <f t="shared" si="145"/>
        <v>52.237689391274245</v>
      </c>
      <c r="BG137" s="22">
        <f t="shared" si="115"/>
        <v>459.13935899646884</v>
      </c>
      <c r="BH137" s="62">
        <f t="shared" si="116"/>
        <v>743.68669880117318</v>
      </c>
      <c r="BI137" s="62">
        <f ca="1">AVERAGE(OFFSET($BH$3,0,0,'Données projet'!$E$11+1,1))-AVERAGE(OFFSET($H$3,0,0,'Données projet'!$E$11+1,1))</f>
        <v>316.71836722354374</v>
      </c>
      <c r="BJ137" s="62">
        <f t="shared" si="146"/>
        <v>164.34067012996618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35.412709271773181</v>
      </c>
      <c r="BQ137" s="23">
        <f>EXP(-LN(2)/25)*BQ136+(1-EXP(-LN(2)/25))/(LN(2)/25)*Calculateur!BL137*Calculateur!BN137*VLOOKUP('Données projet'!$B$11,Paramètres!$A$1:$I$89,3,0)*0.475*44/12</f>
        <v>2.7030025378311748</v>
      </c>
      <c r="BR137" s="23">
        <f>EXP(-LN(2)/2)*BR136+(1-EXP(-LN(2)/2))/(LN(2)/2)*BL137*BO137*VLOOKUP('Données projet'!$B$11,Paramètres!$A$1:$I$89,3,0)*0.475*44/12</f>
        <v>6.0447196870623871E-12</v>
      </c>
      <c r="BS137" s="24">
        <f t="shared" si="117"/>
        <v>38.115711809610403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2.8421709430404007E-14</v>
      </c>
      <c r="BZ137" s="14">
        <f>BY137*VLOOKUP('Données projet'!$B$12,Paramètres!$A$1:$I$89,3,0)*VLOOKUP('Données projet'!$B$12,Paramètres!$A$1:$I$89,5,0)</f>
        <v>3.2366642699344085E-14</v>
      </c>
      <c r="CA137" s="14">
        <f t="shared" si="147"/>
        <v>5.5446527398450045E-13</v>
      </c>
      <c r="CB137" s="22">
        <f t="shared" si="118"/>
        <v>1.0220655882243624E-12</v>
      </c>
      <c r="CC137" s="62">
        <f t="shared" si="119"/>
        <v>284.5473398047053</v>
      </c>
      <c r="CD137" s="62">
        <f ca="1">AVERAGE(OFFSET($CC$3,0,0,'Données projet'!$E$12+1,1))-AVERAGE(OFFSET($H$3,0,0,'Données projet'!$E$12+1,1))</f>
        <v>454.9779384236806</v>
      </c>
      <c r="CE137" s="62">
        <f t="shared" si="148"/>
        <v>379.32753348721906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58.360107320113393</v>
      </c>
      <c r="CL137" s="23">
        <f>EXP(-LN(2)/25)*CL136+(1-EXP(-LN(2)/25))/(LN(2)/25)*Calculateur!CG137*Calculateur!CI137*VLOOKUP('Données projet'!$B$12,Paramètres!$A$1:$I$89,3,0)*0.475*44/12</f>
        <v>21.165458257326346</v>
      </c>
      <c r="CM137" s="23">
        <f>EXP(-LN(2)/2)*CM136+(1-EXP(-LN(2)/2))/(LN(2)/2)*CG137*CJ137*VLOOKUP('Données projet'!$B$12,Paramètres!$A$1:$I$89,3,0)*0.475*44/12</f>
        <v>9.4728449890343561E-7</v>
      </c>
      <c r="CN137" s="24">
        <f t="shared" si="120"/>
        <v>79.52556652472424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252.10592533338991</v>
      </c>
      <c r="CZ137" s="62">
        <f t="shared" si="150"/>
        <v>272.71831345325313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19.079179487494521</v>
      </c>
      <c r="DH137" s="23">
        <f>EXP(-LN(2)/2)*DH136+(1-EXP(-LN(2)/2))/(LN(2)/2)*DB137*DE137*VLOOKUP('Données projet'!$B$13,Paramètres!$A$1:$I$89,3,0)*0.475*44/12</f>
        <v>1.2303897300803357E-10</v>
      </c>
      <c r="DI137" s="24">
        <f t="shared" si="123"/>
        <v>19.079179487617559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423.0896575168394</v>
      </c>
      <c r="DU137" s="62">
        <f t="shared" si="152"/>
        <v>305.98537395014284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52.310802456278772</v>
      </c>
      <c r="EB137" s="23">
        <f>EXP(-LN(2)/25)*EB136+(1-EXP(-LN(2)/25))/(LN(2)/25)*Calculateur!DW137*Calculateur!DY137*VLOOKUP('Données projet'!$B$14,Paramètres!$A$1:$I$89,3,0)*0.475*44/12</f>
        <v>40.025443928219232</v>
      </c>
      <c r="EC137" s="23">
        <f>EXP(-LN(2)/2)*EC136+(1-EXP(-LN(2)/2))/(LN(2)/2)*DW137*DZ137*VLOOKUP('Données projet'!$B$14,Paramètres!$A$1:$I$89,3,0)*0.475*44/12</f>
        <v>2.4122165649727933E-11</v>
      </c>
      <c r="ED137" s="24">
        <f t="shared" si="126"/>
        <v>92.336246384522113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2.2737367544323206E-13</v>
      </c>
      <c r="EK137" s="18">
        <f>EJ137*VLOOKUP('Données projet'!$B$15,Paramètres!$A$1:$I$89,3,0)*VLOOKUP('Données projet'!$B$15,Paramètres!$A$1:$I$89,5,0)</f>
        <v>1.3596945791505279E-13</v>
      </c>
      <c r="EL137" s="14">
        <f t="shared" si="153"/>
        <v>1.9708830566360721E-12</v>
      </c>
      <c r="EM137" s="22">
        <f t="shared" si="127"/>
        <v>3.669434796176543E-12</v>
      </c>
      <c r="EN137" s="62">
        <f t="shared" si="128"/>
        <v>284.54733980470797</v>
      </c>
      <c r="EO137" s="62">
        <f ca="1">AVERAGE(OFFSET($EN$3,0,0,'Données projet'!$E$15+1,1))-AVERAGE(OFFSET($H$3,0,0,'Données projet'!$E$15+1,1))</f>
        <v>281.21543175875604</v>
      </c>
      <c r="EP137" s="62">
        <f t="shared" si="154"/>
        <v>366.68536296857428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22.054020873213762</v>
      </c>
      <c r="EW137" s="23">
        <f>EXP(-LN(2)/25)*EW136+(1-EXP(-LN(2)/25))/(LN(2)/25)*Calculateur!ER137*Calculateur!ET137*VLOOKUP('Données projet'!$B$15,Paramètres!$A$1:$I$89,3,0)*0.475*44/12</f>
        <v>4.1546550075868538</v>
      </c>
      <c r="EX137" s="23">
        <f>EXP(-LN(2)/2)*EX136+(1-EXP(-LN(2)/2))/(LN(2)/2)*ER137*EU137*VLOOKUP('Données projet'!$B$15,Paramètres!$A$1:$I$89,3,0)*0.475*44/12</f>
        <v>3.7959009781281556E-11</v>
      </c>
      <c r="EY137" s="24">
        <f t="shared" si="129"/>
        <v>26.208675880838577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2.2737367544323206E-13</v>
      </c>
      <c r="FF137" s="18">
        <f>FE137*VLOOKUP('Données projet'!$B$16,Paramètres!$A$1:$I$89,3,0)*VLOOKUP('Données projet'!$B$16,Paramètres!$A$1:$I$89,5,0)</f>
        <v>1.2710188457276673E-13</v>
      </c>
      <c r="FG137" s="14">
        <f t="shared" si="155"/>
        <v>1.856866851063998E-12</v>
      </c>
      <c r="FH137" s="22">
        <f t="shared" si="130"/>
        <v>3.4554122145673649E-12</v>
      </c>
      <c r="FI137" s="62">
        <f t="shared" si="131"/>
        <v>284.54733980470775</v>
      </c>
      <c r="FJ137" s="62">
        <f ca="1">AVERAGE(OFFSET($FI$3,0,0,'Données projet'!$E$16+1,1))-AVERAGE(OFFSET($H$3,0,0,'Données projet'!$E$16+1,1))</f>
        <v>280.9225643428145</v>
      </c>
      <c r="FK137" s="62">
        <f t="shared" si="156"/>
        <v>236.89414218053955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68.989673689618954</v>
      </c>
      <c r="FR137" s="23">
        <f>EXP(-LN(2)/25)*FR136+(1-EXP(-LN(2)/25))/(LN(2)/25)*Calculateur!FM137*Calculateur!FO137*VLOOKUP('Données projet'!$B$16,Paramètres!$A$1:$I$89,3,0)*0.475*44/12</f>
        <v>13.297164902805685</v>
      </c>
      <c r="FS137" s="23">
        <f>EXP(-LN(2)/2)*FS136+(1-EXP(-LN(2)/2))/(LN(2)/2)*FM137*FP137*VLOOKUP('Données projet'!$B$16,Paramètres!$A$1:$I$89,3,0)*0.475*44/12</f>
        <v>9.9921771296970424E-13</v>
      </c>
      <c r="FT137" s="24">
        <f t="shared" si="132"/>
        <v>82.286838592425639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-5.6843418860808015E-13</v>
      </c>
      <c r="GA137" s="18">
        <f>FZ137*VLOOKUP('Données projet'!$B$17,Paramètres!$A$1:$I$89,3,0)*VLOOKUP('Données projet'!$B$17,Paramètres!$A$1:$I$89,5,0)</f>
        <v>-2.5124791136477147E-13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325.67421864225201</v>
      </c>
      <c r="GF137" s="62">
        <f t="shared" si="158"/>
        <v>542.01920418736745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44.649431147397138</v>
      </c>
      <c r="GM137" s="23">
        <f>EXP(-LN(2)/25)*GM136+(1-EXP(-LN(2)/25))/(LN(2)/25)*Calculateur!GH137*Calculateur!GJ137*VLOOKUP('Données projet'!$B$17,Paramètres!$A$1:$I$89,3,0)*0.475*44/12</f>
        <v>15.58414140685902</v>
      </c>
      <c r="GN137" s="23">
        <f>EXP(-LN(2)/2)*GN136+(1-EXP(-LN(2)/2))/(LN(2)/2)*GH137*GK137*VLOOKUP('Données projet'!$B$17,Paramètres!$A$1:$I$89,3,0)*0.475*44/12</f>
        <v>1.0177332612280517E-12</v>
      </c>
      <c r="GO137" s="23">
        <f t="shared" si="135"/>
        <v>60.233572554257172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-2.5579538487363607E-13</v>
      </c>
      <c r="GV137" s="18">
        <f>GU137*VLOOKUP('Données projet'!$B$18,Paramètres!$A$1:$I$89,3,0)*VLOOKUP('Données projet'!$B$18,Paramètres!$A$1:$I$89,5,0)</f>
        <v>-2.5937652026186701E-13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220.89224520315713</v>
      </c>
      <c r="HA137" s="62">
        <f t="shared" si="160"/>
        <v>141.82763623159096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-2.8421709430404007E-14</v>
      </c>
      <c r="O138" s="14">
        <f>N138*VLOOKUP('Données projet'!$B$9,Paramètres!$A$1:$I$89,3,0)*VLOOKUP('Données projet'!$B$9,Paramètres!$A$1:$I$89,5,0)</f>
        <v>-2.7489477361086758E-14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84.959354125980269</v>
      </c>
      <c r="T138" s="62">
        <f t="shared" si="142"/>
        <v>89.658970210276806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2.5677748792178634</v>
      </c>
      <c r="AB138" s="23">
        <f>EXP(-LN(2)/2)*AB137+(1-EXP(-LN(2)/2))/(LN(2)/2)*V138*Y138*VLOOKUP('Données projet'!$B$9,Paramètres!$A$1:$I$89,3,0)*0.475*44/12</f>
        <v>5.3855287457664602E-10</v>
      </c>
      <c r="AC138" s="24">
        <f t="shared" si="111"/>
        <v>2.5677748797564162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-1.1368683772161603E-12</v>
      </c>
      <c r="AJ138" s="14">
        <f>AI138*VLOOKUP('Données projet'!$B$10,Paramètres!$A$1:$I$89,3,0)*VLOOKUP('Données projet'!$B$10,Paramètres!$A$1:$I$89,5,0)</f>
        <v>-1.0818439477588981E-12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592.76231355549089</v>
      </c>
      <c r="AO138" s="62">
        <f t="shared" si="144"/>
        <v>200.66895551079014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236.08869860742337</v>
      </c>
      <c r="AV138" s="23">
        <f>EXP(-LN(2)/25)*AV137+(1-EXP(-LN(2)/25))/(LN(2)/25)*Calculateur!AQ138*Calculateur!AS138*VLOOKUP('Données projet'!$B$10,Paramètres!$A$1:$I$89,3,0)*0.475*44/12</f>
        <v>67.556339315371034</v>
      </c>
      <c r="AW138" s="23">
        <f>EXP(-LN(2)/2)*AW137+(1-EXP(-LN(2)/2))/(LN(2)/2)*AQ138*AT138*VLOOKUP('Données projet'!$B$10,Paramètres!$A$1:$I$89,3,0)*0.475*44/12</f>
        <v>6.6159577259242839E-11</v>
      </c>
      <c r="AX138" s="23">
        <f t="shared" si="114"/>
        <v>303.64503792286058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4.5060000000000029</v>
      </c>
      <c r="BD138" s="13">
        <f>IF('Données projet'!$A$88&gt;35,BD137+BC138-BL137,IF(A138&lt;'Données projet'!$A$88,$BA$205^A138,IF(A138='Données projet'!$A$88,'Données projet'!$B$88,BD137+BC138-BL137)))</f>
        <v>238.12999999999974</v>
      </c>
      <c r="BE138" s="14">
        <f>BD138*VLOOKUP('Données projet'!$B$11,Paramètres!$A$1:$I$89,3,0)*VLOOKUP('Données projet'!$B$11,Paramètres!$A$1:$I$89,5,0)</f>
        <v>215.46002399999978</v>
      </c>
      <c r="BF138" s="14">
        <f t="shared" si="145"/>
        <v>53.12695006054031</v>
      </c>
      <c r="BG138" s="22">
        <f t="shared" si="115"/>
        <v>467.78897982210736</v>
      </c>
      <c r="BH138" s="62">
        <f t="shared" si="116"/>
        <v>752.48873697199451</v>
      </c>
      <c r="BI138" s="62">
        <f ca="1">AVERAGE(OFFSET($BH$3,0,0,'Données projet'!$E$11+1,1))-AVERAGE(OFFSET($H$3,0,0,'Données projet'!$E$11+1,1))</f>
        <v>316.71836722354374</v>
      </c>
      <c r="BJ138" s="62">
        <f t="shared" si="146"/>
        <v>164.34067012996618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34.718287642573578</v>
      </c>
      <c r="BQ138" s="23">
        <f>EXP(-LN(2)/25)*BQ137+(1-EXP(-LN(2)/25))/(LN(2)/25)*Calculateur!BL138*Calculateur!BN138*VLOOKUP('Données projet'!$B$11,Paramètres!$A$1:$I$89,3,0)*0.475*44/12</f>
        <v>2.6290887912894556</v>
      </c>
      <c r="BR138" s="23">
        <f>EXP(-LN(2)/2)*BR137+(1-EXP(-LN(2)/2))/(LN(2)/2)*BL138*BO138*VLOOKUP('Données projet'!$B$11,Paramètres!$A$1:$I$89,3,0)*0.475*44/12</f>
        <v>4.2742622810936393E-12</v>
      </c>
      <c r="BS138" s="24">
        <f t="shared" si="117"/>
        <v>37.347376433867311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2.8421709430404007E-14</v>
      </c>
      <c r="BZ138" s="14">
        <f>BY138*VLOOKUP('Données projet'!$B$12,Paramètres!$A$1:$I$89,3,0)*VLOOKUP('Données projet'!$B$12,Paramètres!$A$1:$I$89,5,0)</f>
        <v>3.2366642699344085E-14</v>
      </c>
      <c r="CA138" s="14">
        <f t="shared" si="147"/>
        <v>5.5446527398450045E-13</v>
      </c>
      <c r="CB138" s="22">
        <f t="shared" si="118"/>
        <v>1.0220655882243624E-12</v>
      </c>
      <c r="CC138" s="62">
        <f t="shared" si="119"/>
        <v>284.69975714988817</v>
      </c>
      <c r="CD138" s="62">
        <f ca="1">AVERAGE(OFFSET($CC$3,0,0,'Données projet'!$E$12+1,1))-AVERAGE(OFFSET($H$3,0,0,'Données projet'!$E$12+1,1))</f>
        <v>454.9779384236806</v>
      </c>
      <c r="CE138" s="62">
        <f t="shared" si="148"/>
        <v>379.32753348721906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57.215701211716606</v>
      </c>
      <c r="CL138" s="23">
        <f>EXP(-LN(2)/25)*CL137+(1-EXP(-LN(2)/25))/(LN(2)/25)*Calculateur!CG138*Calculateur!CI138*VLOOKUP('Données projet'!$B$12,Paramètres!$A$1:$I$89,3,0)*0.475*44/12</f>
        <v>20.586687688236683</v>
      </c>
      <c r="CM138" s="23">
        <f>EXP(-LN(2)/2)*CM137+(1-EXP(-LN(2)/2))/(LN(2)/2)*CG138*CJ138*VLOOKUP('Données projet'!$B$12,Paramètres!$A$1:$I$89,3,0)*0.475*44/12</f>
        <v>6.6983129288752E-7</v>
      </c>
      <c r="CN138" s="24">
        <f t="shared" si="120"/>
        <v>77.80238956978458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252.10592533338991</v>
      </c>
      <c r="CZ138" s="62">
        <f t="shared" si="150"/>
        <v>272.71831345325313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18.557458321078542</v>
      </c>
      <c r="DH138" s="23">
        <f>EXP(-LN(2)/2)*DH137+(1-EXP(-LN(2)/2))/(LN(2)/2)*DB138*DE138*VLOOKUP('Données projet'!$B$13,Paramètres!$A$1:$I$89,3,0)*0.475*44/12</f>
        <v>8.7001692164209121E-11</v>
      </c>
      <c r="DI138" s="24">
        <f t="shared" si="123"/>
        <v>18.557458321165544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423.0896575168394</v>
      </c>
      <c r="DU138" s="62">
        <f t="shared" si="152"/>
        <v>305.98537395014284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51.285019526550144</v>
      </c>
      <c r="EB138" s="23">
        <f>EXP(-LN(2)/25)*EB137+(1-EXP(-LN(2)/25))/(LN(2)/25)*Calculateur!DW138*Calculateur!DY138*VLOOKUP('Données projet'!$B$14,Paramètres!$A$1:$I$89,3,0)*0.475*44/12</f>
        <v>38.93094605915546</v>
      </c>
      <c r="EC138" s="23">
        <f>EXP(-LN(2)/2)*EC137+(1-EXP(-LN(2)/2))/(LN(2)/2)*DW138*DZ138*VLOOKUP('Données projet'!$B$14,Paramètres!$A$1:$I$89,3,0)*0.475*44/12</f>
        <v>1.7056946907827822E-11</v>
      </c>
      <c r="ED138" s="24">
        <f t="shared" si="126"/>
        <v>90.215965585722657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2.2737367544323206E-13</v>
      </c>
      <c r="EK138" s="18">
        <f>EJ138*VLOOKUP('Données projet'!$B$15,Paramètres!$A$1:$I$89,3,0)*VLOOKUP('Données projet'!$B$15,Paramètres!$A$1:$I$89,5,0)</f>
        <v>1.3596945791505279E-13</v>
      </c>
      <c r="EL138" s="14">
        <f t="shared" si="153"/>
        <v>1.9708830566360721E-12</v>
      </c>
      <c r="EM138" s="22">
        <f t="shared" si="127"/>
        <v>3.669434796176543E-12</v>
      </c>
      <c r="EN138" s="62">
        <f t="shared" si="128"/>
        <v>284.69975714989084</v>
      </c>
      <c r="EO138" s="62">
        <f ca="1">AVERAGE(OFFSET($EN$3,0,0,'Données projet'!$E$15+1,1))-AVERAGE(OFFSET($H$3,0,0,'Données projet'!$E$15+1,1))</f>
        <v>281.21543175875604</v>
      </c>
      <c r="EP138" s="62">
        <f t="shared" si="154"/>
        <v>366.68536296857428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21.621554975514535</v>
      </c>
      <c r="EW138" s="23">
        <f>EXP(-LN(2)/25)*EW137+(1-EXP(-LN(2)/25))/(LN(2)/25)*Calculateur!ER138*Calculateur!ET138*VLOOKUP('Données projet'!$B$15,Paramètres!$A$1:$I$89,3,0)*0.475*44/12</f>
        <v>4.0410457479205801</v>
      </c>
      <c r="EX138" s="23">
        <f>EXP(-LN(2)/2)*EX137+(1-EXP(-LN(2)/2))/(LN(2)/2)*ER138*EU138*VLOOKUP('Données projet'!$B$15,Paramètres!$A$1:$I$89,3,0)*0.475*44/12</f>
        <v>2.6841073223470675E-11</v>
      </c>
      <c r="EY138" s="24">
        <f t="shared" si="129"/>
        <v>25.662600723461956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2.2737367544323206E-13</v>
      </c>
      <c r="FF138" s="18">
        <f>FE138*VLOOKUP('Données projet'!$B$16,Paramètres!$A$1:$I$89,3,0)*VLOOKUP('Données projet'!$B$16,Paramètres!$A$1:$I$89,5,0)</f>
        <v>1.2710188457276673E-13</v>
      </c>
      <c r="FG138" s="14">
        <f t="shared" si="155"/>
        <v>1.856866851063998E-12</v>
      </c>
      <c r="FH138" s="22">
        <f t="shared" si="130"/>
        <v>3.4554122145673649E-12</v>
      </c>
      <c r="FI138" s="62">
        <f t="shared" si="131"/>
        <v>284.69975714989062</v>
      </c>
      <c r="FJ138" s="62">
        <f ca="1">AVERAGE(OFFSET($FI$3,0,0,'Données projet'!$E$16+1,1))-AVERAGE(OFFSET($H$3,0,0,'Données projet'!$E$16+1,1))</f>
        <v>280.9225643428145</v>
      </c>
      <c r="FK138" s="62">
        <f t="shared" si="156"/>
        <v>236.89414218053955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67.636828268111472</v>
      </c>
      <c r="FR138" s="23">
        <f>EXP(-LN(2)/25)*FR137+(1-EXP(-LN(2)/25))/(LN(2)/25)*Calculateur!FM138*Calculateur!FO138*VLOOKUP('Données projet'!$B$16,Paramètres!$A$1:$I$89,3,0)*0.475*44/12</f>
        <v>12.933553229270952</v>
      </c>
      <c r="FS138" s="23">
        <f>EXP(-LN(2)/2)*FS137+(1-EXP(-LN(2)/2))/(LN(2)/2)*FM138*FP138*VLOOKUP('Données projet'!$B$16,Paramètres!$A$1:$I$89,3,0)*0.475*44/12</f>
        <v>7.0655362072259112E-13</v>
      </c>
      <c r="FT138" s="24">
        <f t="shared" si="132"/>
        <v>80.570381497383138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-5.6843418860808015E-13</v>
      </c>
      <c r="GA138" s="18">
        <f>FZ138*VLOOKUP('Données projet'!$B$17,Paramètres!$A$1:$I$89,3,0)*VLOOKUP('Données projet'!$B$17,Paramètres!$A$1:$I$89,5,0)</f>
        <v>-2.5124791136477147E-13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325.67421864225201</v>
      </c>
      <c r="GF138" s="62">
        <f t="shared" si="158"/>
        <v>542.01920418736745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43.773883036060596</v>
      </c>
      <c r="GM138" s="23">
        <f>EXP(-LN(2)/25)*GM137+(1-EXP(-LN(2)/25))/(LN(2)/25)*Calculateur!GH138*Calculateur!GJ138*VLOOKUP('Données projet'!$B$17,Paramètres!$A$1:$I$89,3,0)*0.475*44/12</f>
        <v>15.157992240554082</v>
      </c>
      <c r="GN138" s="23">
        <f>EXP(-LN(2)/2)*GN137+(1-EXP(-LN(2)/2))/(LN(2)/2)*GH138*GK138*VLOOKUP('Données projet'!$B$17,Paramètres!$A$1:$I$89,3,0)*0.475*44/12</f>
        <v>7.1964609045345538E-13</v>
      </c>
      <c r="GO138" s="23">
        <f t="shared" si="135"/>
        <v>58.931875276615393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-2.5579538487363607E-13</v>
      </c>
      <c r="GV138" s="18">
        <f>GU138*VLOOKUP('Données projet'!$B$18,Paramètres!$A$1:$I$89,3,0)*VLOOKUP('Données projet'!$B$18,Paramètres!$A$1:$I$89,5,0)</f>
        <v>-2.5937652026186701E-13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220.89224520315713</v>
      </c>
      <c r="HA138" s="62">
        <f t="shared" si="160"/>
        <v>141.82763623159096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-2.8421709430404007E-14</v>
      </c>
      <c r="O139" s="14">
        <f>N139*VLOOKUP('Données projet'!$B$9,Paramètres!$A$1:$I$89,3,0)*VLOOKUP('Données projet'!$B$9,Paramètres!$A$1:$I$89,5,0)</f>
        <v>-2.7489477361086758E-14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84.959354125980269</v>
      </c>
      <c r="T139" s="62">
        <f t="shared" si="142"/>
        <v>89.658970210276806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2.4975589401122389</v>
      </c>
      <c r="AB139" s="23">
        <f>EXP(-LN(2)/2)*AB138+(1-EXP(-LN(2)/2))/(LN(2)/2)*V139*Y139*VLOOKUP('Données projet'!$B$9,Paramètres!$A$1:$I$89,3,0)*0.475*44/12</f>
        <v>3.8081438964065461E-10</v>
      </c>
      <c r="AC139" s="24">
        <f t="shared" si="111"/>
        <v>2.4975589404930534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-1.1368683772161603E-12</v>
      </c>
      <c r="AJ139" s="14">
        <f>AI139*VLOOKUP('Données projet'!$B$10,Paramètres!$A$1:$I$89,3,0)*VLOOKUP('Données projet'!$B$10,Paramètres!$A$1:$I$89,5,0)</f>
        <v>-1.0818439477588981E-12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592.76231355549089</v>
      </c>
      <c r="AO139" s="62">
        <f t="shared" si="144"/>
        <v>200.66895551079014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231.45914322761914</v>
      </c>
      <c r="AV139" s="23">
        <f>EXP(-LN(2)/25)*AV138+(1-EXP(-LN(2)/25))/(LN(2)/25)*Calculateur!AQ139*Calculateur!AS139*VLOOKUP('Données projet'!$B$10,Paramètres!$A$1:$I$89,3,0)*0.475*44/12</f>
        <v>65.709007664158733</v>
      </c>
      <c r="AW139" s="23">
        <f>EXP(-LN(2)/2)*AW138+(1-EXP(-LN(2)/2))/(LN(2)/2)*AQ139*AT139*VLOOKUP('Données projet'!$B$10,Paramètres!$A$1:$I$89,3,0)*0.475*44/12</f>
        <v>4.6781885720445913E-11</v>
      </c>
      <c r="AX139" s="23">
        <f t="shared" si="114"/>
        <v>297.16815089182467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4.5060000000000029</v>
      </c>
      <c r="BD139" s="13">
        <f>IF('Données projet'!$A$88&gt;35,BD138+BC139-BL138,IF(A139&lt;'Données projet'!$A$88,$BA$205^A139,IF(A139='Données projet'!$A$88,'Données projet'!$B$88,BD138+BC139-BL138)))</f>
        <v>242.63599999999974</v>
      </c>
      <c r="BE139" s="14">
        <f>BD139*VLOOKUP('Données projet'!$B$11,Paramètres!$A$1:$I$89,3,0)*VLOOKUP('Données projet'!$B$11,Paramètres!$A$1:$I$89,5,0)</f>
        <v>219.53705279999974</v>
      </c>
      <c r="BF139" s="14">
        <f t="shared" si="145"/>
        <v>54.014254101445438</v>
      </c>
      <c r="BG139" s="22">
        <f t="shared" si="115"/>
        <v>476.43519285335037</v>
      </c>
      <c r="BH139" s="62">
        <f t="shared" si="116"/>
        <v>761.28472324823565</v>
      </c>
      <c r="BI139" s="62">
        <f ca="1">AVERAGE(OFFSET($BH$3,0,0,'Données projet'!$E$11+1,1))-AVERAGE(OFFSET($H$3,0,0,'Données projet'!$E$11+1,1))</f>
        <v>316.71836722354374</v>
      </c>
      <c r="BJ139" s="62">
        <f t="shared" si="146"/>
        <v>164.34067012996618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34.037483197967212</v>
      </c>
      <c r="BQ139" s="23">
        <f>EXP(-LN(2)/25)*BQ138+(1-EXP(-LN(2)/25))/(LN(2)/25)*Calculateur!BL139*Calculateur!BN139*VLOOKUP('Données projet'!$B$11,Paramètres!$A$1:$I$89,3,0)*0.475*44/12</f>
        <v>2.5571962200338749</v>
      </c>
      <c r="BR139" s="23">
        <f>EXP(-LN(2)/2)*BR138+(1-EXP(-LN(2)/2))/(LN(2)/2)*BL139*BO139*VLOOKUP('Données projet'!$B$11,Paramètres!$A$1:$I$89,3,0)*0.475*44/12</f>
        <v>3.0223598435311935E-12</v>
      </c>
      <c r="BS139" s="24">
        <f t="shared" si="117"/>
        <v>36.594679418004105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2.8421709430404007E-14</v>
      </c>
      <c r="BZ139" s="14">
        <f>BY139*VLOOKUP('Données projet'!$B$12,Paramètres!$A$1:$I$89,3,0)*VLOOKUP('Données projet'!$B$12,Paramètres!$A$1:$I$89,5,0)</f>
        <v>3.2366642699344085E-14</v>
      </c>
      <c r="CA139" s="14">
        <f t="shared" si="147"/>
        <v>5.5446527398450045E-13</v>
      </c>
      <c r="CB139" s="22">
        <f t="shared" si="118"/>
        <v>1.0220655882243624E-12</v>
      </c>
      <c r="CC139" s="62">
        <f t="shared" si="119"/>
        <v>284.84953039488624</v>
      </c>
      <c r="CD139" s="62">
        <f ca="1">AVERAGE(OFFSET($CC$3,0,0,'Données projet'!$E$12+1,1))-AVERAGE(OFFSET($H$3,0,0,'Données projet'!$E$12+1,1))</f>
        <v>454.9779384236806</v>
      </c>
      <c r="CE139" s="62">
        <f t="shared" si="148"/>
        <v>379.32753348721906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56.093736209086678</v>
      </c>
      <c r="CL139" s="23">
        <f>EXP(-LN(2)/25)*CL138+(1-EXP(-LN(2)/25))/(LN(2)/25)*Calculateur!CG139*Calculateur!CI139*VLOOKUP('Données projet'!$B$12,Paramètres!$A$1:$I$89,3,0)*0.475*44/12</f>
        <v>20.023743630794996</v>
      </c>
      <c r="CM139" s="23">
        <f>EXP(-LN(2)/2)*CM138+(1-EXP(-LN(2)/2))/(LN(2)/2)*CG139*CJ139*VLOOKUP('Données projet'!$B$12,Paramètres!$A$1:$I$89,3,0)*0.475*44/12</f>
        <v>4.7364224945171786E-7</v>
      </c>
      <c r="CN139" s="24">
        <f t="shared" si="120"/>
        <v>76.117480313523913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252.10592533338991</v>
      </c>
      <c r="CZ139" s="62">
        <f t="shared" si="150"/>
        <v>272.71831345325313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18.05000364739433</v>
      </c>
      <c r="DH139" s="23">
        <f>EXP(-LN(2)/2)*DH138+(1-EXP(-LN(2)/2))/(LN(2)/2)*DB139*DE139*VLOOKUP('Données projet'!$B$13,Paramètres!$A$1:$I$89,3,0)*0.475*44/12</f>
        <v>6.1519486504016785E-11</v>
      </c>
      <c r="DI139" s="24">
        <f t="shared" si="123"/>
        <v>18.050003647455849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423.0896575168394</v>
      </c>
      <c r="DU139" s="62">
        <f t="shared" si="152"/>
        <v>305.98537395014284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50.279351574407684</v>
      </c>
      <c r="EB139" s="23">
        <f>EXP(-LN(2)/25)*EB138+(1-EXP(-LN(2)/25))/(LN(2)/25)*Calculateur!DW139*Calculateur!DY139*VLOOKUP('Données projet'!$B$14,Paramètres!$A$1:$I$89,3,0)*0.475*44/12</f>
        <v>37.866377291878379</v>
      </c>
      <c r="EC139" s="23">
        <f>EXP(-LN(2)/2)*EC138+(1-EXP(-LN(2)/2))/(LN(2)/2)*DW139*DZ139*VLOOKUP('Données projet'!$B$14,Paramètres!$A$1:$I$89,3,0)*0.475*44/12</f>
        <v>1.2061082824863967E-11</v>
      </c>
      <c r="ED139" s="24">
        <f t="shared" si="126"/>
        <v>88.145728866298128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2.2737367544323206E-13</v>
      </c>
      <c r="EK139" s="18">
        <f>EJ139*VLOOKUP('Données projet'!$B$15,Paramètres!$A$1:$I$89,3,0)*VLOOKUP('Données projet'!$B$15,Paramètres!$A$1:$I$89,5,0)</f>
        <v>1.3596945791505279E-13</v>
      </c>
      <c r="EL139" s="14">
        <f t="shared" si="153"/>
        <v>1.9708830566360721E-12</v>
      </c>
      <c r="EM139" s="22">
        <f t="shared" si="127"/>
        <v>3.669434796176543E-12</v>
      </c>
      <c r="EN139" s="62">
        <f t="shared" si="128"/>
        <v>284.84953039488892</v>
      </c>
      <c r="EO139" s="62">
        <f ca="1">AVERAGE(OFFSET($EN$3,0,0,'Données projet'!$E$15+1,1))-AVERAGE(OFFSET($H$3,0,0,'Données projet'!$E$15+1,1))</f>
        <v>281.21543175875604</v>
      </c>
      <c r="EP139" s="62">
        <f t="shared" si="154"/>
        <v>366.68536296857428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21.19756947029104</v>
      </c>
      <c r="EW139" s="23">
        <f>EXP(-LN(2)/25)*EW138+(1-EXP(-LN(2)/25))/(LN(2)/25)*Calculateur!ER139*Calculateur!ET139*VLOOKUP('Données projet'!$B$15,Paramètres!$A$1:$I$89,3,0)*0.475*44/12</f>
        <v>3.9305431394343318</v>
      </c>
      <c r="EX139" s="23">
        <f>EXP(-LN(2)/2)*EX138+(1-EXP(-LN(2)/2))/(LN(2)/2)*ER139*EU139*VLOOKUP('Données projet'!$B$15,Paramètres!$A$1:$I$89,3,0)*0.475*44/12</f>
        <v>1.8979504890640778E-11</v>
      </c>
      <c r="EY139" s="24">
        <f t="shared" si="129"/>
        <v>25.128112609744349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2.2737367544323206E-13</v>
      </c>
      <c r="FF139" s="18">
        <f>FE139*VLOOKUP('Données projet'!$B$16,Paramètres!$A$1:$I$89,3,0)*VLOOKUP('Données projet'!$B$16,Paramètres!$A$1:$I$89,5,0)</f>
        <v>1.2710188457276673E-13</v>
      </c>
      <c r="FG139" s="14">
        <f t="shared" si="155"/>
        <v>1.856866851063998E-12</v>
      </c>
      <c r="FH139" s="22">
        <f t="shared" si="130"/>
        <v>3.4554122145673649E-12</v>
      </c>
      <c r="FI139" s="62">
        <f t="shared" si="131"/>
        <v>284.84953039488869</v>
      </c>
      <c r="FJ139" s="62">
        <f ca="1">AVERAGE(OFFSET($FI$3,0,0,'Données projet'!$E$16+1,1))-AVERAGE(OFFSET($H$3,0,0,'Données projet'!$E$16+1,1))</f>
        <v>280.9225643428145</v>
      </c>
      <c r="FK139" s="62">
        <f t="shared" si="156"/>
        <v>236.89414218053955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66.310511320165517</v>
      </c>
      <c r="FR139" s="23">
        <f>EXP(-LN(2)/25)*FR138+(1-EXP(-LN(2)/25))/(LN(2)/25)*Calculateur!FM139*Calculateur!FO139*VLOOKUP('Données projet'!$B$16,Paramètres!$A$1:$I$89,3,0)*0.475*44/12</f>
        <v>12.579884536070534</v>
      </c>
      <c r="FS139" s="23">
        <f>EXP(-LN(2)/2)*FS138+(1-EXP(-LN(2)/2))/(LN(2)/2)*FM139*FP139*VLOOKUP('Données projet'!$B$16,Paramètres!$A$1:$I$89,3,0)*0.475*44/12</f>
        <v>4.9960885648485212E-13</v>
      </c>
      <c r="FT139" s="24">
        <f t="shared" si="132"/>
        <v>78.890395856236552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-5.6843418860808015E-13</v>
      </c>
      <c r="GA139" s="18">
        <f>FZ139*VLOOKUP('Données projet'!$B$17,Paramètres!$A$1:$I$89,3,0)*VLOOKUP('Données projet'!$B$17,Paramètres!$A$1:$I$89,5,0)</f>
        <v>-2.5124791136477147E-13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325.67421864225201</v>
      </c>
      <c r="GF139" s="62">
        <f t="shared" si="158"/>
        <v>542.01920418736745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42.915503889155751</v>
      </c>
      <c r="GM139" s="23">
        <f>EXP(-LN(2)/25)*GM138+(1-EXP(-LN(2)/25))/(LN(2)/25)*Calculateur!GH139*Calculateur!GJ139*VLOOKUP('Données projet'!$B$17,Paramètres!$A$1:$I$89,3,0)*0.475*44/12</f>
        <v>14.743496145611962</v>
      </c>
      <c r="GN139" s="23">
        <f>EXP(-LN(2)/2)*GN138+(1-EXP(-LN(2)/2))/(LN(2)/2)*GH139*GK139*VLOOKUP('Données projet'!$B$17,Paramètres!$A$1:$I$89,3,0)*0.475*44/12</f>
        <v>5.0886663061402585E-13</v>
      </c>
      <c r="GO139" s="23">
        <f t="shared" si="135"/>
        <v>57.659000034768226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-2.5579538487363607E-13</v>
      </c>
      <c r="GV139" s="18">
        <f>GU139*VLOOKUP('Données projet'!$B$18,Paramètres!$A$1:$I$89,3,0)*VLOOKUP('Données projet'!$B$18,Paramètres!$A$1:$I$89,5,0)</f>
        <v>-2.5937652026186701E-13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220.89224520315713</v>
      </c>
      <c r="HA139" s="62">
        <f t="shared" si="160"/>
        <v>141.82763623159096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-2.8421709430404007E-14</v>
      </c>
      <c r="O140" s="14">
        <f>N140*VLOOKUP('Données projet'!$B$9,Paramètres!$A$1:$I$89,3,0)*VLOOKUP('Données projet'!$B$9,Paramètres!$A$1:$I$89,5,0)</f>
        <v>-2.7489477361086758E-14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84.959354125980269</v>
      </c>
      <c r="T140" s="62">
        <f t="shared" si="142"/>
        <v>89.658970210276806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2.4292630595539535</v>
      </c>
      <c r="AB140" s="23">
        <f>EXP(-LN(2)/2)*AB139+(1-EXP(-LN(2)/2))/(LN(2)/2)*V140*Y140*VLOOKUP('Données projet'!$B$9,Paramètres!$A$1:$I$89,3,0)*0.475*44/12</f>
        <v>2.6927643728832301E-10</v>
      </c>
      <c r="AC140" s="24">
        <f t="shared" si="111"/>
        <v>2.4292630598232301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-1.1368683772161603E-12</v>
      </c>
      <c r="AJ140" s="14">
        <f>AI140*VLOOKUP('Données projet'!$B$10,Paramètres!$A$1:$I$89,3,0)*VLOOKUP('Données projet'!$B$10,Paramètres!$A$1:$I$89,5,0)</f>
        <v>-1.0818439477588981E-12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592.76231355549089</v>
      </c>
      <c r="AO140" s="62">
        <f t="shared" si="144"/>
        <v>200.66895551079014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226.92037060506291</v>
      </c>
      <c r="AV140" s="23">
        <f>EXP(-LN(2)/25)*AV139+(1-EXP(-LN(2)/25))/(LN(2)/25)*Calculateur!AQ140*Calculateur!AS140*VLOOKUP('Données projet'!$B$10,Paramètres!$A$1:$I$89,3,0)*0.475*44/12</f>
        <v>63.912191394095778</v>
      </c>
      <c r="AW140" s="23">
        <f>EXP(-LN(2)/2)*AW139+(1-EXP(-LN(2)/2))/(LN(2)/2)*AQ140*AT140*VLOOKUP('Données projet'!$B$10,Paramètres!$A$1:$I$89,3,0)*0.475*44/12</f>
        <v>3.307978862962142E-11</v>
      </c>
      <c r="AX140" s="23">
        <f t="shared" si="114"/>
        <v>290.8325619991918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4.5060000000000029</v>
      </c>
      <c r="BD140" s="13">
        <f>IF('Données projet'!$A$88&gt;35,BD139+BC140-BL139,IF(A140&lt;'Données projet'!$A$88,$BA$205^A140,IF(A140='Données projet'!$A$88,'Données projet'!$B$88,BD139+BC140-BL139)))</f>
        <v>247.14199999999974</v>
      </c>
      <c r="BE140" s="14">
        <f>BD140*VLOOKUP('Données projet'!$B$11,Paramètres!$A$1:$I$89,3,0)*VLOOKUP('Données projet'!$B$11,Paramètres!$A$1:$I$89,5,0)</f>
        <v>223.61408159999976</v>
      </c>
      <c r="BF140" s="14">
        <f t="shared" si="145"/>
        <v>54.89964204105511</v>
      </c>
      <c r="BG140" s="22">
        <f t="shared" si="115"/>
        <v>485.0780686748372</v>
      </c>
      <c r="BH140" s="62">
        <f t="shared" si="116"/>
        <v>770.07477408376258</v>
      </c>
      <c r="BI140" s="62">
        <f ca="1">AVERAGE(OFFSET($BH$3,0,0,'Données projet'!$E$11+1,1))-AVERAGE(OFFSET($H$3,0,0,'Données projet'!$E$11+1,1))</f>
        <v>316.71836722354374</v>
      </c>
      <c r="BJ140" s="62">
        <f t="shared" si="146"/>
        <v>164.34067012996618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33.370028913269863</v>
      </c>
      <c r="BQ140" s="23">
        <f>EXP(-LN(2)/25)*BQ139+(1-EXP(-LN(2)/25))/(LN(2)/25)*Calculateur!BL140*Calculateur!BN140*VLOOKUP('Données projet'!$B$11,Paramètres!$A$1:$I$89,3,0)*0.475*44/12</f>
        <v>2.4872695549199442</v>
      </c>
      <c r="BR140" s="23">
        <f>EXP(-LN(2)/2)*BR139+(1-EXP(-LN(2)/2))/(LN(2)/2)*BL140*BO140*VLOOKUP('Données projet'!$B$11,Paramètres!$A$1:$I$89,3,0)*0.475*44/12</f>
        <v>2.1371311405468197E-12</v>
      </c>
      <c r="BS140" s="24">
        <f t="shared" si="117"/>
        <v>35.857298468191949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2.8421709430404007E-14</v>
      </c>
      <c r="BZ140" s="14">
        <f>BY140*VLOOKUP('Données projet'!$B$12,Paramètres!$A$1:$I$89,3,0)*VLOOKUP('Données projet'!$B$12,Paramètres!$A$1:$I$89,5,0)</f>
        <v>3.2366642699344085E-14</v>
      </c>
      <c r="CA140" s="14">
        <f t="shared" si="147"/>
        <v>5.5446527398450045E-13</v>
      </c>
      <c r="CB140" s="22">
        <f t="shared" si="118"/>
        <v>1.0220655882243624E-12</v>
      </c>
      <c r="CC140" s="62">
        <f t="shared" si="119"/>
        <v>284.9967054089264</v>
      </c>
      <c r="CD140" s="62">
        <f ca="1">AVERAGE(OFFSET($CC$3,0,0,'Données projet'!$E$12+1,1))-AVERAGE(OFFSET($H$3,0,0,'Données projet'!$E$12+1,1))</f>
        <v>454.9779384236806</v>
      </c>
      <c r="CE140" s="62">
        <f t="shared" si="148"/>
        <v>379.32753348721906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54.993772255827245</v>
      </c>
      <c r="CL140" s="23">
        <f>EXP(-LN(2)/25)*CL139+(1-EXP(-LN(2)/25))/(LN(2)/25)*Calculateur!CG140*Calculateur!CI140*VLOOKUP('Données projet'!$B$12,Paramètres!$A$1:$I$89,3,0)*0.475*44/12</f>
        <v>19.476193308207993</v>
      </c>
      <c r="CM140" s="23">
        <f>EXP(-LN(2)/2)*CM139+(1-EXP(-LN(2)/2))/(LN(2)/2)*CG140*CJ140*VLOOKUP('Données projet'!$B$12,Paramètres!$A$1:$I$89,3,0)*0.475*44/12</f>
        <v>3.3491564644376005E-7</v>
      </c>
      <c r="CN140" s="24">
        <f t="shared" si="120"/>
        <v>74.469965898950875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252.10592533338991</v>
      </c>
      <c r="CZ140" s="62">
        <f t="shared" si="150"/>
        <v>272.71831345325313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17.556425348447895</v>
      </c>
      <c r="DH140" s="23">
        <f>EXP(-LN(2)/2)*DH139+(1-EXP(-LN(2)/2))/(LN(2)/2)*DB140*DE140*VLOOKUP('Données projet'!$B$13,Paramètres!$A$1:$I$89,3,0)*0.475*44/12</f>
        <v>4.350084608210456E-11</v>
      </c>
      <c r="DI140" s="24">
        <f t="shared" si="123"/>
        <v>17.556425348491395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423.0896575168394</v>
      </c>
      <c r="DU140" s="62">
        <f t="shared" si="152"/>
        <v>305.98537395014284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49.29340415740986</v>
      </c>
      <c r="EB140" s="23">
        <f>EXP(-LN(2)/25)*EB139+(1-EXP(-LN(2)/25))/(LN(2)/25)*Calculateur!DW140*Calculateur!DY140*VLOOKUP('Données projet'!$B$14,Paramètres!$A$1:$I$89,3,0)*0.475*44/12</f>
        <v>36.830919213525725</v>
      </c>
      <c r="EC140" s="23">
        <f>EXP(-LN(2)/2)*EC139+(1-EXP(-LN(2)/2))/(LN(2)/2)*DW140*DZ140*VLOOKUP('Données projet'!$B$14,Paramètres!$A$1:$I$89,3,0)*0.475*44/12</f>
        <v>8.5284734539139112E-12</v>
      </c>
      <c r="ED140" s="24">
        <f t="shared" si="126"/>
        <v>86.124323370944111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2.2737367544323206E-13</v>
      </c>
      <c r="EK140" s="18">
        <f>EJ140*VLOOKUP('Données projet'!$B$15,Paramètres!$A$1:$I$89,3,0)*VLOOKUP('Données projet'!$B$15,Paramètres!$A$1:$I$89,5,0)</f>
        <v>1.3596945791505279E-13</v>
      </c>
      <c r="EL140" s="14">
        <f t="shared" si="153"/>
        <v>1.9708830566360721E-12</v>
      </c>
      <c r="EM140" s="22">
        <f t="shared" si="127"/>
        <v>3.669434796176543E-12</v>
      </c>
      <c r="EN140" s="62">
        <f t="shared" si="128"/>
        <v>284.99670540892907</v>
      </c>
      <c r="EO140" s="62">
        <f ca="1">AVERAGE(OFFSET($EN$3,0,0,'Données projet'!$E$15+1,1))-AVERAGE(OFFSET($H$3,0,0,'Données projet'!$E$15+1,1))</f>
        <v>281.21543175875604</v>
      </c>
      <c r="EP140" s="62">
        <f t="shared" si="154"/>
        <v>366.68536296857428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20.781898062219351</v>
      </c>
      <c r="EW140" s="23">
        <f>EXP(-LN(2)/25)*EW139+(1-EXP(-LN(2)/25))/(LN(2)/25)*Calculateur!ER140*Calculateur!ET140*VLOOKUP('Données projet'!$B$15,Paramètres!$A$1:$I$89,3,0)*0.475*44/12</f>
        <v>3.8230622305882198</v>
      </c>
      <c r="EX140" s="23">
        <f>EXP(-LN(2)/2)*EX139+(1-EXP(-LN(2)/2))/(LN(2)/2)*ER140*EU140*VLOOKUP('Données projet'!$B$15,Paramètres!$A$1:$I$89,3,0)*0.475*44/12</f>
        <v>1.3420536611735338E-11</v>
      </c>
      <c r="EY140" s="24">
        <f t="shared" si="129"/>
        <v>24.604960292820994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2.2737367544323206E-13</v>
      </c>
      <c r="FF140" s="18">
        <f>FE140*VLOOKUP('Données projet'!$B$16,Paramètres!$A$1:$I$89,3,0)*VLOOKUP('Données projet'!$B$16,Paramètres!$A$1:$I$89,5,0)</f>
        <v>1.2710188457276673E-13</v>
      </c>
      <c r="FG140" s="14">
        <f t="shared" si="155"/>
        <v>1.856866851063998E-12</v>
      </c>
      <c r="FH140" s="22">
        <f t="shared" si="130"/>
        <v>3.4554122145673649E-12</v>
      </c>
      <c r="FI140" s="62">
        <f t="shared" si="131"/>
        <v>284.99670540892885</v>
      </c>
      <c r="FJ140" s="62">
        <f ca="1">AVERAGE(OFFSET($FI$3,0,0,'Données projet'!$E$16+1,1))-AVERAGE(OFFSET($H$3,0,0,'Données projet'!$E$16+1,1))</f>
        <v>280.9225643428145</v>
      </c>
      <c r="FK140" s="62">
        <f t="shared" si="156"/>
        <v>236.89414218053955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65.010202638595317</v>
      </c>
      <c r="FR140" s="23">
        <f>EXP(-LN(2)/25)*FR139+(1-EXP(-LN(2)/25))/(LN(2)/25)*Calculateur!FM140*Calculateur!FO140*VLOOKUP('Données projet'!$B$16,Paramètres!$A$1:$I$89,3,0)*0.475*44/12</f>
        <v>12.235886931884309</v>
      </c>
      <c r="FS140" s="23">
        <f>EXP(-LN(2)/2)*FS139+(1-EXP(-LN(2)/2))/(LN(2)/2)*FM140*FP140*VLOOKUP('Données projet'!$B$16,Paramètres!$A$1:$I$89,3,0)*0.475*44/12</f>
        <v>3.5327681036129556E-13</v>
      </c>
      <c r="FT140" s="24">
        <f t="shared" si="132"/>
        <v>77.246089570479981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-5.6843418860808015E-13</v>
      </c>
      <c r="GA140" s="18">
        <f>FZ140*VLOOKUP('Données projet'!$B$17,Paramètres!$A$1:$I$89,3,0)*VLOOKUP('Données projet'!$B$17,Paramètres!$A$1:$I$89,5,0)</f>
        <v>-2.5124791136477147E-13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325.67421864225201</v>
      </c>
      <c r="GF140" s="62">
        <f t="shared" si="158"/>
        <v>542.01920418736745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42.073957033762127</v>
      </c>
      <c r="GM140" s="23">
        <f>EXP(-LN(2)/25)*GM139+(1-EXP(-LN(2)/25))/(LN(2)/25)*Calculateur!GH140*Calculateur!GJ140*VLOOKUP('Données projet'!$B$17,Paramètres!$A$1:$I$89,3,0)*0.475*44/12</f>
        <v>14.340334468183437</v>
      </c>
      <c r="GN140" s="23">
        <f>EXP(-LN(2)/2)*GN139+(1-EXP(-LN(2)/2))/(LN(2)/2)*GH140*GK140*VLOOKUP('Données projet'!$B$17,Paramètres!$A$1:$I$89,3,0)*0.475*44/12</f>
        <v>3.5982304522672769E-13</v>
      </c>
      <c r="GO140" s="23">
        <f t="shared" si="135"/>
        <v>56.414291501945925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-2.5579538487363607E-13</v>
      </c>
      <c r="GV140" s="18">
        <f>GU140*VLOOKUP('Données projet'!$B$18,Paramètres!$A$1:$I$89,3,0)*VLOOKUP('Données projet'!$B$18,Paramètres!$A$1:$I$89,5,0)</f>
        <v>-2.5937652026186701E-13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220.89224520315713</v>
      </c>
      <c r="HA140" s="62">
        <f t="shared" si="160"/>
        <v>141.82763623159096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-2.8421709430404007E-14</v>
      </c>
      <c r="O141" s="14">
        <f>N141*VLOOKUP('Données projet'!$B$9,Paramètres!$A$1:$I$89,3,0)*VLOOKUP('Données projet'!$B$9,Paramètres!$A$1:$I$89,5,0)</f>
        <v>-2.7489477361086758E-14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84.959354125980269</v>
      </c>
      <c r="T141" s="62">
        <f t="shared" si="142"/>
        <v>89.658970210276806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2.3628347334410584</v>
      </c>
      <c r="AB141" s="23">
        <f>EXP(-LN(2)/2)*AB140+(1-EXP(-LN(2)/2))/(LN(2)/2)*V141*Y141*VLOOKUP('Données projet'!$B$9,Paramètres!$A$1:$I$89,3,0)*0.475*44/12</f>
        <v>1.9040719482032731E-10</v>
      </c>
      <c r="AC141" s="24">
        <f t="shared" si="111"/>
        <v>2.3628347336314657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-1.1368683772161603E-12</v>
      </c>
      <c r="AJ141" s="14">
        <f>AI141*VLOOKUP('Données projet'!$B$10,Paramètres!$A$1:$I$89,3,0)*VLOOKUP('Données projet'!$B$10,Paramètres!$A$1:$I$89,5,0)</f>
        <v>-1.0818439477588981E-12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592.76231355549089</v>
      </c>
      <c r="AO141" s="62">
        <f t="shared" si="144"/>
        <v>200.66895551079014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222.47060054525707</v>
      </c>
      <c r="AV141" s="23">
        <f>EXP(-LN(2)/25)*AV140+(1-EXP(-LN(2)/25))/(LN(2)/25)*Calculateur!AQ141*Calculateur!AS141*VLOOKUP('Données projet'!$B$10,Paramètres!$A$1:$I$89,3,0)*0.475*44/12</f>
        <v>62.164509159428157</v>
      </c>
      <c r="AW141" s="23">
        <f>EXP(-LN(2)/2)*AW140+(1-EXP(-LN(2)/2))/(LN(2)/2)*AQ141*AT141*VLOOKUP('Données projet'!$B$10,Paramètres!$A$1:$I$89,3,0)*0.475*44/12</f>
        <v>2.3390942860222956E-11</v>
      </c>
      <c r="AX141" s="23">
        <f t="shared" si="114"/>
        <v>284.63510970470861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4.5060000000000029</v>
      </c>
      <c r="BD141" s="13">
        <f>IF('Données projet'!$A$88&gt;35,BD140+BC141-BL140,IF(A141&lt;'Données projet'!$A$88,$BA$205^A141,IF(A141='Données projet'!$A$88,'Données projet'!$B$88,BD140+BC141-BL140)))</f>
        <v>251.64799999999974</v>
      </c>
      <c r="BE141" s="14">
        <f>BD141*VLOOKUP('Données projet'!$B$11,Paramètres!$A$1:$I$89,3,0)*VLOOKUP('Données projet'!$B$11,Paramètres!$A$1:$I$89,5,0)</f>
        <v>227.69111039999979</v>
      </c>
      <c r="BF141" s="14">
        <f t="shared" si="145"/>
        <v>55.78315284401102</v>
      </c>
      <c r="BG141" s="22">
        <f t="shared" si="115"/>
        <v>493.71767514998538</v>
      </c>
      <c r="BH141" s="62">
        <f t="shared" si="116"/>
        <v>778.85900241549132</v>
      </c>
      <c r="BI141" s="62">
        <f ca="1">AVERAGE(OFFSET($BH$3,0,0,'Données projet'!$E$11+1,1))-AVERAGE(OFFSET($H$3,0,0,'Données projet'!$E$11+1,1))</f>
        <v>316.71836722354374</v>
      </c>
      <c r="BJ141" s="62">
        <f t="shared" si="146"/>
        <v>164.34067012996618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32.715662999988517</v>
      </c>
      <c r="BQ141" s="23">
        <f>EXP(-LN(2)/25)*BQ140+(1-EXP(-LN(2)/25))/(LN(2)/25)*Calculateur!BL141*Calculateur!BN141*VLOOKUP('Données projet'!$B$11,Paramètres!$A$1:$I$89,3,0)*0.475*44/12</f>
        <v>2.4192550381408373</v>
      </c>
      <c r="BR141" s="23">
        <f>EXP(-LN(2)/2)*BR140+(1-EXP(-LN(2)/2))/(LN(2)/2)*BL141*BO141*VLOOKUP('Données projet'!$B$11,Paramètres!$A$1:$I$89,3,0)*0.475*44/12</f>
        <v>1.5111799217655968E-12</v>
      </c>
      <c r="BS141" s="24">
        <f t="shared" si="117"/>
        <v>35.13491803813087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2.8421709430404007E-14</v>
      </c>
      <c r="BZ141" s="14">
        <f>BY141*VLOOKUP('Données projet'!$B$12,Paramètres!$A$1:$I$89,3,0)*VLOOKUP('Données projet'!$B$12,Paramètres!$A$1:$I$89,5,0)</f>
        <v>3.2366642699344085E-14</v>
      </c>
      <c r="CA141" s="14">
        <f t="shared" si="147"/>
        <v>5.5446527398450045E-13</v>
      </c>
      <c r="CB141" s="22">
        <f t="shared" si="118"/>
        <v>1.0220655882243624E-12</v>
      </c>
      <c r="CC141" s="62">
        <f t="shared" si="119"/>
        <v>285.14132726550696</v>
      </c>
      <c r="CD141" s="62">
        <f ca="1">AVERAGE(OFFSET($CC$3,0,0,'Données projet'!$E$12+1,1))-AVERAGE(OFFSET($H$3,0,0,'Données projet'!$E$12+1,1))</f>
        <v>454.9779384236806</v>
      </c>
      <c r="CE141" s="62">
        <f t="shared" si="148"/>
        <v>379.32753348721906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53.915377924779463</v>
      </c>
      <c r="CL141" s="23">
        <f>EXP(-LN(2)/25)*CL140+(1-EXP(-LN(2)/25))/(LN(2)/25)*Calculateur!CG141*Calculateur!CI141*VLOOKUP('Données projet'!$B$12,Paramètres!$A$1:$I$89,3,0)*0.475*44/12</f>
        <v>18.943615777986551</v>
      </c>
      <c r="CM141" s="23">
        <f>EXP(-LN(2)/2)*CM140+(1-EXP(-LN(2)/2))/(LN(2)/2)*CG141*CJ141*VLOOKUP('Données projet'!$B$12,Paramètres!$A$1:$I$89,3,0)*0.475*44/12</f>
        <v>2.3682112472585895E-7</v>
      </c>
      <c r="CN141" s="24">
        <f t="shared" si="120"/>
        <v>72.858993939587137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252.10592533338991</v>
      </c>
      <c r="CZ141" s="62">
        <f t="shared" si="150"/>
        <v>272.71831345325313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17.076343974042306</v>
      </c>
      <c r="DH141" s="23">
        <f>EXP(-LN(2)/2)*DH140+(1-EXP(-LN(2)/2))/(LN(2)/2)*DB141*DE141*VLOOKUP('Données projet'!$B$13,Paramètres!$A$1:$I$89,3,0)*0.475*44/12</f>
        <v>3.0759743252008392E-11</v>
      </c>
      <c r="DI141" s="24">
        <f t="shared" si="123"/>
        <v>17.076343974073065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423.0896575168394</v>
      </c>
      <c r="DU141" s="62">
        <f t="shared" si="152"/>
        <v>305.98537395014284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48.326790567890818</v>
      </c>
      <c r="EB141" s="23">
        <f>EXP(-LN(2)/25)*EB140+(1-EXP(-LN(2)/25))/(LN(2)/25)*Calculateur!DW141*Calculateur!DY141*VLOOKUP('Données projet'!$B$14,Paramètres!$A$1:$I$89,3,0)*0.475*44/12</f>
        <v>35.823775790778001</v>
      </c>
      <c r="EC141" s="23">
        <f>EXP(-LN(2)/2)*EC140+(1-EXP(-LN(2)/2))/(LN(2)/2)*DW141*DZ141*VLOOKUP('Données projet'!$B$14,Paramètres!$A$1:$I$89,3,0)*0.475*44/12</f>
        <v>6.0305414124319833E-12</v>
      </c>
      <c r="ED141" s="24">
        <f t="shared" si="126"/>
        <v>84.150566358674837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2.2737367544323206E-13</v>
      </c>
      <c r="EK141" s="18">
        <f>EJ141*VLOOKUP('Données projet'!$B$15,Paramètres!$A$1:$I$89,3,0)*VLOOKUP('Données projet'!$B$15,Paramètres!$A$1:$I$89,5,0)</f>
        <v>1.3596945791505279E-13</v>
      </c>
      <c r="EL141" s="14">
        <f t="shared" si="153"/>
        <v>1.9708830566360721E-12</v>
      </c>
      <c r="EM141" s="22">
        <f t="shared" si="127"/>
        <v>3.669434796176543E-12</v>
      </c>
      <c r="EN141" s="62">
        <f t="shared" si="128"/>
        <v>285.14132726550963</v>
      </c>
      <c r="EO141" s="62">
        <f ca="1">AVERAGE(OFFSET($EN$3,0,0,'Données projet'!$E$15+1,1))-AVERAGE(OFFSET($H$3,0,0,'Données projet'!$E$15+1,1))</f>
        <v>281.21543175875604</v>
      </c>
      <c r="EP141" s="62">
        <f t="shared" si="154"/>
        <v>366.68536296857428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20.374377716925427</v>
      </c>
      <c r="EW141" s="23">
        <f>EXP(-LN(2)/25)*EW140+(1-EXP(-LN(2)/25))/(LN(2)/25)*Calculateur!ER141*Calculateur!ET141*VLOOKUP('Données projet'!$B$15,Paramètres!$A$1:$I$89,3,0)*0.475*44/12</f>
        <v>3.7185203928466799</v>
      </c>
      <c r="EX141" s="23">
        <f>EXP(-LN(2)/2)*EX140+(1-EXP(-LN(2)/2))/(LN(2)/2)*ER141*EU141*VLOOKUP('Données projet'!$B$15,Paramètres!$A$1:$I$89,3,0)*0.475*44/12</f>
        <v>9.4897524453203891E-12</v>
      </c>
      <c r="EY141" s="24">
        <f t="shared" si="129"/>
        <v>24.092898109781597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2.2737367544323206E-13</v>
      </c>
      <c r="FF141" s="18">
        <f>FE141*VLOOKUP('Données projet'!$B$16,Paramètres!$A$1:$I$89,3,0)*VLOOKUP('Données projet'!$B$16,Paramètres!$A$1:$I$89,5,0)</f>
        <v>1.2710188457276673E-13</v>
      </c>
      <c r="FG141" s="14">
        <f t="shared" si="155"/>
        <v>1.856866851063998E-12</v>
      </c>
      <c r="FH141" s="22">
        <f t="shared" si="130"/>
        <v>3.4554122145673649E-12</v>
      </c>
      <c r="FI141" s="62">
        <f t="shared" si="131"/>
        <v>285.1413272655094</v>
      </c>
      <c r="FJ141" s="62">
        <f ca="1">AVERAGE(OFFSET($FI$3,0,0,'Données projet'!$E$16+1,1))-AVERAGE(OFFSET($H$3,0,0,'Données projet'!$E$16+1,1))</f>
        <v>280.9225643428145</v>
      </c>
      <c r="FK141" s="62">
        <f t="shared" si="156"/>
        <v>236.89414218053955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63.735392217160729</v>
      </c>
      <c r="FR141" s="23">
        <f>EXP(-LN(2)/25)*FR140+(1-EXP(-LN(2)/25))/(LN(2)/25)*Calculateur!FM141*Calculateur!FO141*VLOOKUP('Données projet'!$B$16,Paramètres!$A$1:$I$89,3,0)*0.475*44/12</f>
        <v>11.901295960274604</v>
      </c>
      <c r="FS141" s="23">
        <f>EXP(-LN(2)/2)*FS140+(1-EXP(-LN(2)/2))/(LN(2)/2)*FM141*FP141*VLOOKUP('Données projet'!$B$16,Paramètres!$A$1:$I$89,3,0)*0.475*44/12</f>
        <v>2.4980442824242606E-13</v>
      </c>
      <c r="FT141" s="24">
        <f t="shared" si="132"/>
        <v>75.636688177435587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-5.6843418860808015E-13</v>
      </c>
      <c r="GA141" s="18">
        <f>FZ141*VLOOKUP('Données projet'!$B$17,Paramètres!$A$1:$I$89,3,0)*VLOOKUP('Données projet'!$B$17,Paramètres!$A$1:$I$89,5,0)</f>
        <v>-2.5124791136477147E-13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325.67421864225201</v>
      </c>
      <c r="GF141" s="62">
        <f t="shared" si="158"/>
        <v>542.01920418736745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41.248912398909873</v>
      </c>
      <c r="GM141" s="23">
        <f>EXP(-LN(2)/25)*GM140+(1-EXP(-LN(2)/25))/(LN(2)/25)*Calculateur!GH141*Calculateur!GJ141*VLOOKUP('Données projet'!$B$17,Paramètres!$A$1:$I$89,3,0)*0.475*44/12</f>
        <v>13.948197268025547</v>
      </c>
      <c r="GN141" s="23">
        <f>EXP(-LN(2)/2)*GN140+(1-EXP(-LN(2)/2))/(LN(2)/2)*GH141*GK141*VLOOKUP('Données projet'!$B$17,Paramètres!$A$1:$I$89,3,0)*0.475*44/12</f>
        <v>2.5443331530701292E-13</v>
      </c>
      <c r="GO141" s="23">
        <f t="shared" si="135"/>
        <v>55.197109666935674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-2.5579538487363607E-13</v>
      </c>
      <c r="GV141" s="18">
        <f>GU141*VLOOKUP('Données projet'!$B$18,Paramètres!$A$1:$I$89,3,0)*VLOOKUP('Données projet'!$B$18,Paramètres!$A$1:$I$89,5,0)</f>
        <v>-2.5937652026186701E-13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220.89224520315713</v>
      </c>
      <c r="HA141" s="62">
        <f t="shared" si="160"/>
        <v>141.82763623159096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-2.8421709430404007E-14</v>
      </c>
      <c r="O142" s="14">
        <f>N142*VLOOKUP('Données projet'!$B$9,Paramètres!$A$1:$I$89,3,0)*VLOOKUP('Données projet'!$B$9,Paramètres!$A$1:$I$89,5,0)</f>
        <v>-2.7489477361086758E-14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84.959354125980269</v>
      </c>
      <c r="T142" s="62">
        <f t="shared" si="142"/>
        <v>89.658970210276806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2.2982228933990343</v>
      </c>
      <c r="AB142" s="23">
        <f>EXP(-LN(2)/2)*AB141+(1-EXP(-LN(2)/2))/(LN(2)/2)*V142*Y142*VLOOKUP('Données projet'!$B$9,Paramètres!$A$1:$I$89,3,0)*0.475*44/12</f>
        <v>1.346382186441615E-10</v>
      </c>
      <c r="AC142" s="24">
        <f t="shared" si="111"/>
        <v>2.2982228935336724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-1.1368683772161603E-12</v>
      </c>
      <c r="AJ142" s="14">
        <f>AI142*VLOOKUP('Données projet'!$B$10,Paramètres!$A$1:$I$89,3,0)*VLOOKUP('Données projet'!$B$10,Paramètres!$A$1:$I$89,5,0)</f>
        <v>-1.0818439477588981E-12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592.76231355549089</v>
      </c>
      <c r="AO142" s="62">
        <f t="shared" si="144"/>
        <v>200.66895551079014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218.10808776223229</v>
      </c>
      <c r="AV142" s="23">
        <f>EXP(-LN(2)/25)*AV141+(1-EXP(-LN(2)/25))/(LN(2)/25)*Calculateur!AQ142*Calculateur!AS142*VLOOKUP('Données projet'!$B$10,Paramètres!$A$1:$I$89,3,0)*0.475*44/12</f>
        <v>60.464617387374133</v>
      </c>
      <c r="AW142" s="23">
        <f>EXP(-LN(2)/2)*AW141+(1-EXP(-LN(2)/2))/(LN(2)/2)*AQ142*AT142*VLOOKUP('Données projet'!$B$10,Paramètres!$A$1:$I$89,3,0)*0.475*44/12</f>
        <v>1.653989431481071E-11</v>
      </c>
      <c r="AX142" s="23">
        <f t="shared" si="114"/>
        <v>278.57270514962295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4.5060000000000029</v>
      </c>
      <c r="BD142" s="13">
        <f>IF('Données projet'!$A$88&gt;35,BD141+BC142-BL141,IF(A142&lt;'Données projet'!$A$88,$BA$205^A142,IF(A142='Données projet'!$A$88,'Données projet'!$B$88,BD141+BC142-BL141)))</f>
        <v>256.15399999999977</v>
      </c>
      <c r="BE142" s="14">
        <f>BD142*VLOOKUP('Données projet'!$B$11,Paramètres!$A$1:$I$89,3,0)*VLOOKUP('Données projet'!$B$11,Paramètres!$A$1:$I$89,5,0)</f>
        <v>231.76813919999978</v>
      </c>
      <c r="BF142" s="14">
        <f t="shared" si="145"/>
        <v>56.664823999645535</v>
      </c>
      <c r="BG142" s="22">
        <f t="shared" si="115"/>
        <v>502.3540775727156</v>
      </c>
      <c r="BH142" s="62">
        <f t="shared" si="116"/>
        <v>787.63751782891654</v>
      </c>
      <c r="BI142" s="62">
        <f ca="1">AVERAGE(OFFSET($BH$3,0,0,'Données projet'!$E$11+1,1))-AVERAGE(OFFSET($H$3,0,0,'Données projet'!$E$11+1,1))</f>
        <v>316.71836722354374</v>
      </c>
      <c r="BJ142" s="62">
        <f t="shared" si="146"/>
        <v>164.34067012996618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32.07412880314282</v>
      </c>
      <c r="BQ142" s="23">
        <f>EXP(-LN(2)/25)*BQ141+(1-EXP(-LN(2)/25))/(LN(2)/25)*Calculateur!BL142*Calculateur!BN142*VLOOKUP('Données projet'!$B$11,Paramètres!$A$1:$I$89,3,0)*0.475*44/12</f>
        <v>2.3531003818997829</v>
      </c>
      <c r="BR142" s="23">
        <f>EXP(-LN(2)/2)*BR141+(1-EXP(-LN(2)/2))/(LN(2)/2)*BL142*BO142*VLOOKUP('Données projet'!$B$11,Paramètres!$A$1:$I$89,3,0)*0.475*44/12</f>
        <v>1.0685655702734098E-12</v>
      </c>
      <c r="BS142" s="24">
        <f t="shared" si="117"/>
        <v>34.427229185043672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2.8421709430404007E-14</v>
      </c>
      <c r="BZ142" s="14">
        <f>BY142*VLOOKUP('Données projet'!$B$12,Paramètres!$A$1:$I$89,3,0)*VLOOKUP('Données projet'!$B$12,Paramètres!$A$1:$I$89,5,0)</f>
        <v>3.2366642699344085E-14</v>
      </c>
      <c r="CA142" s="14">
        <f t="shared" si="147"/>
        <v>5.5446527398450045E-13</v>
      </c>
      <c r="CB142" s="22">
        <f t="shared" si="118"/>
        <v>1.0220655882243624E-12</v>
      </c>
      <c r="CC142" s="62">
        <f t="shared" si="119"/>
        <v>285.28344025620191</v>
      </c>
      <c r="CD142" s="62">
        <f ca="1">AVERAGE(OFFSET($CC$3,0,0,'Données projet'!$E$12+1,1))-AVERAGE(OFFSET($H$3,0,0,'Données projet'!$E$12+1,1))</f>
        <v>454.9779384236806</v>
      </c>
      <c r="CE142" s="62">
        <f t="shared" si="148"/>
        <v>379.32753348721906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52.858130248807932</v>
      </c>
      <c r="CL142" s="23">
        <f>EXP(-LN(2)/25)*CL141+(1-EXP(-LN(2)/25))/(LN(2)/25)*Calculateur!CG142*Calculateur!CI142*VLOOKUP('Données projet'!$B$12,Paramètres!$A$1:$I$89,3,0)*0.475*44/12</f>
        <v>18.425601608336052</v>
      </c>
      <c r="CM142" s="23">
        <f>EXP(-LN(2)/2)*CM141+(1-EXP(-LN(2)/2))/(LN(2)/2)*CG142*CJ142*VLOOKUP('Données projet'!$B$12,Paramètres!$A$1:$I$89,3,0)*0.475*44/12</f>
        <v>1.6745782322188005E-7</v>
      </c>
      <c r="CN142" s="24">
        <f t="shared" si="120"/>
        <v>71.283732024601804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252.10592533338991</v>
      </c>
      <c r="CZ142" s="62">
        <f t="shared" si="150"/>
        <v>272.71831345325313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16.609390450066218</v>
      </c>
      <c r="DH142" s="23">
        <f>EXP(-LN(2)/2)*DH141+(1-EXP(-LN(2)/2))/(LN(2)/2)*DB142*DE142*VLOOKUP('Données projet'!$B$13,Paramètres!$A$1:$I$89,3,0)*0.475*44/12</f>
        <v>2.175042304105228E-11</v>
      </c>
      <c r="DI142" s="24">
        <f t="shared" si="123"/>
        <v>16.609390450087968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423.0896575168394</v>
      </c>
      <c r="DU142" s="62">
        <f t="shared" si="152"/>
        <v>305.98537395014284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47.379131681286168</v>
      </c>
      <c r="EB142" s="23">
        <f>EXP(-LN(2)/25)*EB141+(1-EXP(-LN(2)/25))/(LN(2)/25)*Calculateur!DW142*Calculateur!DY142*VLOOKUP('Données projet'!$B$14,Paramètres!$A$1:$I$89,3,0)*0.475*44/12</f>
        <v>34.844172757888686</v>
      </c>
      <c r="EC142" s="23">
        <f>EXP(-LN(2)/2)*EC141+(1-EXP(-LN(2)/2))/(LN(2)/2)*DW142*DZ142*VLOOKUP('Données projet'!$B$14,Paramètres!$A$1:$I$89,3,0)*0.475*44/12</f>
        <v>4.2642367269569556E-12</v>
      </c>
      <c r="ED142" s="24">
        <f t="shared" si="126"/>
        <v>82.223304439179117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2.2737367544323206E-13</v>
      </c>
      <c r="EK142" s="18">
        <f>EJ142*VLOOKUP('Données projet'!$B$15,Paramètres!$A$1:$I$89,3,0)*VLOOKUP('Données projet'!$B$15,Paramètres!$A$1:$I$89,5,0)</f>
        <v>1.3596945791505279E-13</v>
      </c>
      <c r="EL142" s="14">
        <f t="shared" si="153"/>
        <v>1.9708830566360721E-12</v>
      </c>
      <c r="EM142" s="22">
        <f t="shared" si="127"/>
        <v>3.669434796176543E-12</v>
      </c>
      <c r="EN142" s="62">
        <f t="shared" si="128"/>
        <v>285.28344025620459</v>
      </c>
      <c r="EO142" s="62">
        <f ca="1">AVERAGE(OFFSET($EN$3,0,0,'Données projet'!$E$15+1,1))-AVERAGE(OFFSET($H$3,0,0,'Données projet'!$E$15+1,1))</f>
        <v>281.21543175875604</v>
      </c>
      <c r="EP142" s="62">
        <f t="shared" si="154"/>
        <v>366.68536296857428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19.974848597039848</v>
      </c>
      <c r="EW142" s="23">
        <f>EXP(-LN(2)/25)*EW141+(1-EXP(-LN(2)/25))/(LN(2)/25)*Calculateur!ER142*Calculateur!ET142*VLOOKUP('Données projet'!$B$15,Paramètres!$A$1:$I$89,3,0)*0.475*44/12</f>
        <v>3.6168372571557987</v>
      </c>
      <c r="EX142" s="23">
        <f>EXP(-LN(2)/2)*EX141+(1-EXP(-LN(2)/2))/(LN(2)/2)*ER142*EU142*VLOOKUP('Données projet'!$B$15,Paramètres!$A$1:$I$89,3,0)*0.475*44/12</f>
        <v>6.7102683058676688E-12</v>
      </c>
      <c r="EY142" s="24">
        <f t="shared" si="129"/>
        <v>23.591685854202357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2.2737367544323206E-13</v>
      </c>
      <c r="FF142" s="18">
        <f>FE142*VLOOKUP('Données projet'!$B$16,Paramètres!$A$1:$I$89,3,0)*VLOOKUP('Données projet'!$B$16,Paramètres!$A$1:$I$89,5,0)</f>
        <v>1.2710188457276673E-13</v>
      </c>
      <c r="FG142" s="14">
        <f t="shared" si="155"/>
        <v>1.856866851063998E-12</v>
      </c>
      <c r="FH142" s="22">
        <f t="shared" si="130"/>
        <v>3.4554122145673649E-12</v>
      </c>
      <c r="FI142" s="62">
        <f t="shared" si="131"/>
        <v>285.28344025620436</v>
      </c>
      <c r="FJ142" s="62">
        <f ca="1">AVERAGE(OFFSET($FI$3,0,0,'Données projet'!$E$16+1,1))-AVERAGE(OFFSET($H$3,0,0,'Données projet'!$E$16+1,1))</f>
        <v>280.9225643428145</v>
      </c>
      <c r="FK142" s="62">
        <f t="shared" si="156"/>
        <v>236.89414218053955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62.485580050532896</v>
      </c>
      <c r="FR142" s="23">
        <f>EXP(-LN(2)/25)*FR141+(1-EXP(-LN(2)/25))/(LN(2)/25)*Calculateur!FM142*Calculateur!FO142*VLOOKUP('Données projet'!$B$16,Paramètres!$A$1:$I$89,3,0)*0.475*44/12</f>
        <v>11.575854396378942</v>
      </c>
      <c r="FS142" s="23">
        <f>EXP(-LN(2)/2)*FS141+(1-EXP(-LN(2)/2))/(LN(2)/2)*FM142*FP142*VLOOKUP('Données projet'!$B$16,Paramètres!$A$1:$I$89,3,0)*0.475*44/12</f>
        <v>1.7663840518064778E-13</v>
      </c>
      <c r="FT142" s="24">
        <f t="shared" si="132"/>
        <v>74.061434446912003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-5.6843418860808015E-13</v>
      </c>
      <c r="GA142" s="18">
        <f>FZ142*VLOOKUP('Données projet'!$B$17,Paramètres!$A$1:$I$89,3,0)*VLOOKUP('Données projet'!$B$17,Paramètres!$A$1:$I$89,5,0)</f>
        <v>-2.5124791136477147E-13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325.67421864225201</v>
      </c>
      <c r="GF142" s="62">
        <f t="shared" si="158"/>
        <v>542.01920418736745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40.440046386119533</v>
      </c>
      <c r="GM142" s="23">
        <f>EXP(-LN(2)/25)*GM141+(1-EXP(-LN(2)/25))/(LN(2)/25)*Calculateur!GH142*Calculateur!GJ142*VLOOKUP('Données projet'!$B$17,Paramètres!$A$1:$I$89,3,0)*0.475*44/12</f>
        <v>13.566783080227573</v>
      </c>
      <c r="GN142" s="23">
        <f>EXP(-LN(2)/2)*GN141+(1-EXP(-LN(2)/2))/(LN(2)/2)*GH142*GK142*VLOOKUP('Données projet'!$B$17,Paramètres!$A$1:$I$89,3,0)*0.475*44/12</f>
        <v>1.7991152261336384E-13</v>
      </c>
      <c r="GO142" s="23">
        <f t="shared" si="135"/>
        <v>54.006829466347284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-2.5579538487363607E-13</v>
      </c>
      <c r="GV142" s="18">
        <f>GU142*VLOOKUP('Données projet'!$B$18,Paramètres!$A$1:$I$89,3,0)*VLOOKUP('Données projet'!$B$18,Paramètres!$A$1:$I$89,5,0)</f>
        <v>-2.5937652026186701E-13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220.89224520315713</v>
      </c>
      <c r="HA142" s="62">
        <f t="shared" si="160"/>
        <v>141.82763623159096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-2.8421709430404007E-14</v>
      </c>
      <c r="O143" s="14">
        <f>N143*VLOOKUP('Données projet'!$B$9,Paramètres!$A$1:$I$89,3,0)*VLOOKUP('Données projet'!$B$9,Paramètres!$A$1:$I$89,5,0)</f>
        <v>-2.7489477361086758E-14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84.959354125980269</v>
      </c>
      <c r="T143" s="62">
        <f t="shared" si="142"/>
        <v>89.658970210276806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2.2353778675207483</v>
      </c>
      <c r="AB143" s="23">
        <f>EXP(-LN(2)/2)*AB142+(1-EXP(-LN(2)/2))/(LN(2)/2)*V143*Y143*VLOOKUP('Données projet'!$B$9,Paramètres!$A$1:$I$89,3,0)*0.475*44/12</f>
        <v>9.5203597410163653E-11</v>
      </c>
      <c r="AC143" s="24">
        <f t="shared" si="111"/>
        <v>2.2353778676159517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-1.1368683772161603E-12</v>
      </c>
      <c r="AJ143" s="14">
        <f>AI143*VLOOKUP('Données projet'!$B$10,Paramètres!$A$1:$I$89,3,0)*VLOOKUP('Données projet'!$B$10,Paramètres!$A$1:$I$89,5,0)</f>
        <v>-1.0818439477588981E-12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592.76231355549089</v>
      </c>
      <c r="AO143" s="62">
        <f t="shared" si="144"/>
        <v>200.66895551079014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213.83112119401255</v>
      </c>
      <c r="AV143" s="23">
        <f>EXP(-LN(2)/25)*AV142+(1-EXP(-LN(2)/25))/(LN(2)/25)*Calculateur!AQ143*Calculateur!AS143*VLOOKUP('Données projet'!$B$10,Paramètres!$A$1:$I$89,3,0)*0.475*44/12</f>
        <v>58.811209245220354</v>
      </c>
      <c r="AW143" s="23">
        <f>EXP(-LN(2)/2)*AW142+(1-EXP(-LN(2)/2))/(LN(2)/2)*AQ143*AT143*VLOOKUP('Données projet'!$B$10,Paramètres!$A$1:$I$89,3,0)*0.475*44/12</f>
        <v>1.1695471430111478E-11</v>
      </c>
      <c r="AX143" s="23">
        <f t="shared" si="114"/>
        <v>272.64233043924463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260.66000000000003</v>
      </c>
      <c r="BB143" s="13">
        <f>VLOOKUP(A143,'Données projet'!$A$87:$I$107,9,0)</f>
        <v>4.5060000000000029</v>
      </c>
      <c r="BC143" s="13">
        <f t="array" ref="BC143">INDEX(BB:BB,MIN(IF(ISNUMBER(BB143:BB339),ROW(BB143:BB339),"")))</f>
        <v>4.5060000000000029</v>
      </c>
      <c r="BD143" s="13">
        <f>IF('Données projet'!$A$88&gt;35,BD142+BC143-BL142,IF(A143&lt;'Données projet'!$A$88,$BA$205^A143,IF(A143='Données projet'!$A$88,'Données projet'!$B$88,BD142+BC143-BL142)))</f>
        <v>260.6599999999998</v>
      </c>
      <c r="BE143" s="14">
        <f>BD143*VLOOKUP('Données projet'!$B$11,Paramètres!$A$1:$I$89,3,0)*VLOOKUP('Données projet'!$B$11,Paramètres!$A$1:$I$89,5,0)</f>
        <v>235.8451679999998</v>
      </c>
      <c r="BF143" s="14">
        <f t="shared" si="145"/>
        <v>57.544691602792717</v>
      </c>
      <c r="BG143" s="22">
        <f t="shared" si="115"/>
        <v>510.98733880819691</v>
      </c>
      <c r="BH143" s="62">
        <f t="shared" si="116"/>
        <v>796.41042671242121</v>
      </c>
      <c r="BI143" s="62">
        <f ca="1">AVERAGE(OFFSET($BH$3,0,0,'Données projet'!$E$11+1,1))-AVERAGE(OFFSET($H$3,0,0,'Données projet'!$E$11+1,1))</f>
        <v>316.71836722354374</v>
      </c>
      <c r="BJ143" s="62">
        <f t="shared" si="146"/>
        <v>164.34067012996618</v>
      </c>
      <c r="BK143" s="16">
        <f>IF(ISNA(VLOOKUP(A143,'Données projet'!$A$87:$I$107,3,0)),0,VLOOKUP(A143,'Données projet'!$A$87:$I$107,3,0))</f>
        <v>17</v>
      </c>
      <c r="BL143" s="16">
        <f>IF(ISNA(VLOOKUP(A143,'Données projet'!$A$87:$I$107,4,0)),0,VLOOKUP(A143,'Données projet'!$A$87:$I$107,4,0))</f>
        <v>260.66000000000003</v>
      </c>
      <c r="BM143" s="17">
        <f>IF(ISNA(VLOOKUP(A143,'Données projet'!$A$87:$I$107,5,0)),0%,VLOOKUP(A143,'Données projet'!$A$87:$I$107,5,0)*VLOOKUP('Données projet'!$B$11,Paramètres!$A$1:$I$89,7,0))</f>
        <v>0.34400000000000003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121.13280219931056</v>
      </c>
      <c r="BQ143" s="23">
        <f>EXP(-LN(2)/25)*BQ142+(1-EXP(-LN(2)/25))/(LN(2)/25)*Calculateur!BL143*Calculateur!BN143*VLOOKUP('Données projet'!$B$11,Paramètres!$A$1:$I$89,3,0)*0.475*44/12</f>
        <v>2.2887547282125622</v>
      </c>
      <c r="BR143" s="23">
        <f>EXP(-LN(2)/2)*BR142+(1-EXP(-LN(2)/2))/(LN(2)/2)*BL143*BO143*VLOOKUP('Données projet'!$B$11,Paramètres!$A$1:$I$89,3,0)*0.475*44/12</f>
        <v>7.5558996088279838E-13</v>
      </c>
      <c r="BS143" s="24">
        <f t="shared" si="117"/>
        <v>123.42155692752388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2.8421709430404007E-14</v>
      </c>
      <c r="BZ143" s="14">
        <f>BY143*VLOOKUP('Données projet'!$B$12,Paramètres!$A$1:$I$89,3,0)*VLOOKUP('Données projet'!$B$12,Paramètres!$A$1:$I$89,5,0)</f>
        <v>3.2366642699344085E-14</v>
      </c>
      <c r="CA143" s="14">
        <f t="shared" si="147"/>
        <v>5.5446527398450045E-13</v>
      </c>
      <c r="CB143" s="22">
        <f t="shared" si="118"/>
        <v>1.0220655882243624E-12</v>
      </c>
      <c r="CC143" s="62">
        <f t="shared" si="119"/>
        <v>285.42308790422538</v>
      </c>
      <c r="CD143" s="62">
        <f ca="1">AVERAGE(OFFSET($CC$3,0,0,'Données projet'!$E$12+1,1))-AVERAGE(OFFSET($H$3,0,0,'Données projet'!$E$12+1,1))</f>
        <v>454.9779384236806</v>
      </c>
      <c r="CE143" s="62">
        <f t="shared" si="148"/>
        <v>379.32753348721906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51.821614554904798</v>
      </c>
      <c r="CL143" s="23">
        <f>EXP(-LN(2)/25)*CL142+(1-EXP(-LN(2)/25))/(LN(2)/25)*Calculateur!CG143*Calculateur!CI143*VLOOKUP('Données projet'!$B$12,Paramètres!$A$1:$I$89,3,0)*0.475*44/12</f>
        <v>17.921752563395827</v>
      </c>
      <c r="CM143" s="23">
        <f>EXP(-LN(2)/2)*CM142+(1-EXP(-LN(2)/2))/(LN(2)/2)*CG143*CJ143*VLOOKUP('Données projet'!$B$12,Paramètres!$A$1:$I$89,3,0)*0.475*44/12</f>
        <v>1.184105623629295E-7</v>
      </c>
      <c r="CN143" s="24">
        <f t="shared" si="120"/>
        <v>69.743367236711194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252.10592533338991</v>
      </c>
      <c r="CZ143" s="62">
        <f t="shared" si="150"/>
        <v>272.71831345325313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16.155205794759276</v>
      </c>
      <c r="DH143" s="23">
        <f>EXP(-LN(2)/2)*DH142+(1-EXP(-LN(2)/2))/(LN(2)/2)*DB143*DE143*VLOOKUP('Données projet'!$B$13,Paramètres!$A$1:$I$89,3,0)*0.475*44/12</f>
        <v>1.5379871626004196E-11</v>
      </c>
      <c r="DI143" s="24">
        <f t="shared" si="123"/>
        <v>16.155205794774655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423.0896575168394</v>
      </c>
      <c r="DU143" s="62">
        <f t="shared" si="152"/>
        <v>305.98537395014284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46.450055807432989</v>
      </c>
      <c r="EB143" s="23">
        <f>EXP(-LN(2)/25)*EB142+(1-EXP(-LN(2)/25))/(LN(2)/25)*Calculateur!DW143*Calculateur!DY143*VLOOKUP('Données projet'!$B$14,Paramètres!$A$1:$I$89,3,0)*0.475*44/12</f>
        <v>33.891357021448812</v>
      </c>
      <c r="EC143" s="23">
        <f>EXP(-LN(2)/2)*EC142+(1-EXP(-LN(2)/2))/(LN(2)/2)*DW143*DZ143*VLOOKUP('Données projet'!$B$14,Paramètres!$A$1:$I$89,3,0)*0.475*44/12</f>
        <v>3.0152707062159916E-12</v>
      </c>
      <c r="ED143" s="24">
        <f t="shared" si="126"/>
        <v>80.341412828884813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2.2737367544323206E-13</v>
      </c>
      <c r="EK143" s="18">
        <f>EJ143*VLOOKUP('Données projet'!$B$15,Paramètres!$A$1:$I$89,3,0)*VLOOKUP('Données projet'!$B$15,Paramètres!$A$1:$I$89,5,0)</f>
        <v>1.3596945791505279E-13</v>
      </c>
      <c r="EL143" s="14">
        <f t="shared" si="153"/>
        <v>1.9708830566360721E-12</v>
      </c>
      <c r="EM143" s="22">
        <f t="shared" si="127"/>
        <v>3.669434796176543E-12</v>
      </c>
      <c r="EN143" s="62">
        <f t="shared" si="128"/>
        <v>285.42308790422805</v>
      </c>
      <c r="EO143" s="62">
        <f ca="1">AVERAGE(OFFSET($EN$3,0,0,'Données projet'!$E$15+1,1))-AVERAGE(OFFSET($H$3,0,0,'Données projet'!$E$15+1,1))</f>
        <v>281.21543175875604</v>
      </c>
      <c r="EP143" s="62">
        <f t="shared" si="154"/>
        <v>366.68536296857428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19.583153999506525</v>
      </c>
      <c r="EW143" s="23">
        <f>EXP(-LN(2)/25)*EW142+(1-EXP(-LN(2)/25))/(LN(2)/25)*Calculateur!ER143*Calculateur!ET143*VLOOKUP('Données projet'!$B$15,Paramètres!$A$1:$I$89,3,0)*0.475*44/12</f>
        <v>3.5179346521576687</v>
      </c>
      <c r="EX143" s="23">
        <f>EXP(-LN(2)/2)*EX142+(1-EXP(-LN(2)/2))/(LN(2)/2)*ER143*EU143*VLOOKUP('Données projet'!$B$15,Paramètres!$A$1:$I$89,3,0)*0.475*44/12</f>
        <v>4.7448762226601945E-12</v>
      </c>
      <c r="EY143" s="24">
        <f t="shared" si="129"/>
        <v>23.101088651668938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2.2737367544323206E-13</v>
      </c>
      <c r="FF143" s="18">
        <f>FE143*VLOOKUP('Données projet'!$B$16,Paramètres!$A$1:$I$89,3,0)*VLOOKUP('Données projet'!$B$16,Paramètres!$A$1:$I$89,5,0)</f>
        <v>1.2710188457276673E-13</v>
      </c>
      <c r="FG143" s="14">
        <f t="shared" si="155"/>
        <v>1.856866851063998E-12</v>
      </c>
      <c r="FH143" s="22">
        <f t="shared" si="130"/>
        <v>3.4554122145673649E-12</v>
      </c>
      <c r="FI143" s="62">
        <f t="shared" si="131"/>
        <v>285.42308790422783</v>
      </c>
      <c r="FJ143" s="62">
        <f ca="1">AVERAGE(OFFSET($FI$3,0,0,'Données projet'!$E$16+1,1))-AVERAGE(OFFSET($H$3,0,0,'Données projet'!$E$16+1,1))</f>
        <v>280.9225643428145</v>
      </c>
      <c r="FK143" s="62">
        <f t="shared" si="156"/>
        <v>236.89414218053955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61.260275938182488</v>
      </c>
      <c r="FR143" s="23">
        <f>EXP(-LN(2)/25)*FR142+(1-EXP(-LN(2)/25))/(LN(2)/25)*Calculateur!FM143*Calculateur!FO143*VLOOKUP('Données projet'!$B$16,Paramètres!$A$1:$I$89,3,0)*0.475*44/12</f>
        <v>11.259312049162235</v>
      </c>
      <c r="FS143" s="23">
        <f>EXP(-LN(2)/2)*FS142+(1-EXP(-LN(2)/2))/(LN(2)/2)*FM143*FP143*VLOOKUP('Données projet'!$B$16,Paramètres!$A$1:$I$89,3,0)*0.475*44/12</f>
        <v>1.2490221412121303E-13</v>
      </c>
      <c r="FT143" s="24">
        <f t="shared" si="132"/>
        <v>72.519587987344849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-5.6843418860808015E-13</v>
      </c>
      <c r="GA143" s="18">
        <f>FZ143*VLOOKUP('Données projet'!$B$17,Paramètres!$A$1:$I$89,3,0)*VLOOKUP('Données projet'!$B$17,Paramètres!$A$1:$I$89,5,0)</f>
        <v>-2.5124791136477147E-13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325.67421864225201</v>
      </c>
      <c r="GF143" s="62">
        <f t="shared" si="158"/>
        <v>542.01920418736745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39.647041742480461</v>
      </c>
      <c r="GM143" s="23">
        <f>EXP(-LN(2)/25)*GM142+(1-EXP(-LN(2)/25))/(LN(2)/25)*Calculateur!GH143*Calculateur!GJ143*VLOOKUP('Données projet'!$B$17,Paramètres!$A$1:$I$89,3,0)*0.475*44/12</f>
        <v>13.195798683452635</v>
      </c>
      <c r="GN143" s="23">
        <f>EXP(-LN(2)/2)*GN142+(1-EXP(-LN(2)/2))/(LN(2)/2)*GH143*GK143*VLOOKUP('Données projet'!$B$17,Paramètres!$A$1:$I$89,3,0)*0.475*44/12</f>
        <v>1.2721665765350646E-13</v>
      </c>
      <c r="GO143" s="23">
        <f t="shared" si="135"/>
        <v>52.842840425933225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-2.5579538487363607E-13</v>
      </c>
      <c r="GV143" s="18">
        <f>GU143*VLOOKUP('Données projet'!$B$18,Paramètres!$A$1:$I$89,3,0)*VLOOKUP('Données projet'!$B$18,Paramètres!$A$1:$I$89,5,0)</f>
        <v>-2.5937652026186701E-13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220.89224520315713</v>
      </c>
      <c r="HA143" s="62">
        <f t="shared" si="160"/>
        <v>141.82763623159096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-2.8421709430404007E-14</v>
      </c>
      <c r="O144" s="14">
        <f>N144*VLOOKUP('Données projet'!$B$9,Paramètres!$A$1:$I$89,3,0)*VLOOKUP('Données projet'!$B$9,Paramètres!$A$1:$I$89,5,0)</f>
        <v>-2.7489477361086758E-14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84.959354125980269</v>
      </c>
      <c r="T144" s="62">
        <f t="shared" si="142"/>
        <v>89.658970210276806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2.1742513421799803</v>
      </c>
      <c r="AB144" s="23">
        <f>EXP(-LN(2)/2)*AB143+(1-EXP(-LN(2)/2))/(LN(2)/2)*V144*Y144*VLOOKUP('Données projet'!$B$9,Paramètres!$A$1:$I$89,3,0)*0.475*44/12</f>
        <v>6.7319109322080752E-11</v>
      </c>
      <c r="AC144" s="24">
        <f t="shared" si="111"/>
        <v>2.1742513422472993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-1.1368683772161603E-12</v>
      </c>
      <c r="AJ144" s="14">
        <f>AI144*VLOOKUP('Données projet'!$B$10,Paramètres!$A$1:$I$89,3,0)*VLOOKUP('Données projet'!$B$10,Paramètres!$A$1:$I$89,5,0)</f>
        <v>-1.0818439477588981E-12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592.76231355549089</v>
      </c>
      <c r="AO144" s="62">
        <f t="shared" si="144"/>
        <v>200.66895551079014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209.63802333150358</v>
      </c>
      <c r="AV144" s="23">
        <f>EXP(-LN(2)/25)*AV143+(1-EXP(-LN(2)/25))/(LN(2)/25)*Calculateur!AQ144*Calculateur!AS144*VLOOKUP('Données projet'!$B$10,Paramètres!$A$1:$I$89,3,0)*0.475*44/12</f>
        <v>57.203013635662721</v>
      </c>
      <c r="AW144" s="23">
        <f>EXP(-LN(2)/2)*AW143+(1-EXP(-LN(2)/2))/(LN(2)/2)*AQ144*AT144*VLOOKUP('Données projet'!$B$10,Paramètres!$A$1:$I$89,3,0)*0.475*44/12</f>
        <v>8.2699471574053549E-12</v>
      </c>
      <c r="AX144" s="23">
        <f t="shared" si="114"/>
        <v>266.84103696717455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-2.0572770154103635E-13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316.71836722354374</v>
      </c>
      <c r="BJ144" s="62">
        <f t="shared" si="146"/>
        <v>164.34067012996618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118.75746183189601</v>
      </c>
      <c r="BQ144" s="23">
        <f>EXP(-LN(2)/25)*BQ143+(1-EXP(-LN(2)/25))/(LN(2)/25)*Calculateur!BL144*Calculateur!BN144*VLOOKUP('Données projet'!$B$11,Paramètres!$A$1:$I$89,3,0)*0.475*44/12</f>
        <v>2.2261686098092097</v>
      </c>
      <c r="BR144" s="23">
        <f>EXP(-LN(2)/2)*BR143+(1-EXP(-LN(2)/2))/(LN(2)/2)*BL144*BO144*VLOOKUP('Données projet'!$B$11,Paramètres!$A$1:$I$89,3,0)*0.475*44/12</f>
        <v>5.3428278513670492E-13</v>
      </c>
      <c r="BS144" s="24">
        <f t="shared" si="117"/>
        <v>120.98363044170576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2.8421709430404007E-14</v>
      </c>
      <c r="BZ144" s="14">
        <f>BY144*VLOOKUP('Données projet'!$B$12,Paramètres!$A$1:$I$89,3,0)*VLOOKUP('Données projet'!$B$12,Paramètres!$A$1:$I$89,5,0)</f>
        <v>3.2366642699344085E-14</v>
      </c>
      <c r="CA144" s="14">
        <f t="shared" si="147"/>
        <v>5.5446527398450045E-13</v>
      </c>
      <c r="CB144" s="22">
        <f t="shared" si="118"/>
        <v>1.0220655882243624E-12</v>
      </c>
      <c r="CC144" s="62">
        <f t="shared" si="119"/>
        <v>285.56031297776104</v>
      </c>
      <c r="CD144" s="62">
        <f ca="1">AVERAGE(OFFSET($CC$3,0,0,'Données projet'!$E$12+1,1))-AVERAGE(OFFSET($H$3,0,0,'Données projet'!$E$12+1,1))</f>
        <v>454.9779384236806</v>
      </c>
      <c r="CE144" s="62">
        <f t="shared" si="148"/>
        <v>379.32753348721906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50.805424301546957</v>
      </c>
      <c r="CL144" s="23">
        <f>EXP(-LN(2)/25)*CL143+(1-EXP(-LN(2)/25))/(LN(2)/25)*Calculateur!CG144*Calculateur!CI144*VLOOKUP('Données projet'!$B$12,Paramètres!$A$1:$I$89,3,0)*0.475*44/12</f>
        <v>17.431681297085763</v>
      </c>
      <c r="CM144" s="23">
        <f>EXP(-LN(2)/2)*CM143+(1-EXP(-LN(2)/2))/(LN(2)/2)*CG144*CJ144*VLOOKUP('Données projet'!$B$12,Paramètres!$A$1:$I$89,3,0)*0.475*44/12</f>
        <v>8.3728911610940039E-8</v>
      </c>
      <c r="CN144" s="24">
        <f t="shared" si="120"/>
        <v>68.23710568236163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252.10592533338991</v>
      </c>
      <c r="CZ144" s="62">
        <f t="shared" si="150"/>
        <v>272.71831345325313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15.713440842736233</v>
      </c>
      <c r="DH144" s="23">
        <f>EXP(-LN(2)/2)*DH143+(1-EXP(-LN(2)/2))/(LN(2)/2)*DB144*DE144*VLOOKUP('Données projet'!$B$13,Paramètres!$A$1:$I$89,3,0)*0.475*44/12</f>
        <v>1.087521152052614E-11</v>
      </c>
      <c r="DI144" s="24">
        <f t="shared" si="123"/>
        <v>15.713440842747108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423.0896575168394</v>
      </c>
      <c r="DU144" s="62">
        <f t="shared" si="152"/>
        <v>305.98537395014284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45.539198544785741</v>
      </c>
      <c r="EB144" s="23">
        <f>EXP(-LN(2)/25)*EB143+(1-EXP(-LN(2)/25))/(LN(2)/25)*Calculateur!DW144*Calculateur!DY144*VLOOKUP('Données projet'!$B$14,Paramètres!$A$1:$I$89,3,0)*0.475*44/12</f>
        <v>32.96459608142829</v>
      </c>
      <c r="EC144" s="23">
        <f>EXP(-LN(2)/2)*EC143+(1-EXP(-LN(2)/2))/(LN(2)/2)*DW144*DZ144*VLOOKUP('Données projet'!$B$14,Paramètres!$A$1:$I$89,3,0)*0.475*44/12</f>
        <v>2.1321183634784778E-12</v>
      </c>
      <c r="ED144" s="24">
        <f t="shared" si="126"/>
        <v>78.503794626216163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2.2737367544323206E-13</v>
      </c>
      <c r="EK144" s="18">
        <f>EJ144*VLOOKUP('Données projet'!$B$15,Paramètres!$A$1:$I$89,3,0)*VLOOKUP('Données projet'!$B$15,Paramètres!$A$1:$I$89,5,0)</f>
        <v>1.3596945791505279E-13</v>
      </c>
      <c r="EL144" s="14">
        <f t="shared" si="153"/>
        <v>1.9708830566360721E-12</v>
      </c>
      <c r="EM144" s="22">
        <f t="shared" si="127"/>
        <v>3.669434796176543E-12</v>
      </c>
      <c r="EN144" s="62">
        <f t="shared" si="128"/>
        <v>285.56031297776372</v>
      </c>
      <c r="EO144" s="62">
        <f ca="1">AVERAGE(OFFSET($EN$3,0,0,'Données projet'!$E$15+1,1))-AVERAGE(OFFSET($H$3,0,0,'Données projet'!$E$15+1,1))</f>
        <v>281.21543175875604</v>
      </c>
      <c r="EP144" s="62">
        <f t="shared" si="154"/>
        <v>366.68536296857428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19.199140294120717</v>
      </c>
      <c r="EW144" s="23">
        <f>EXP(-LN(2)/25)*EW143+(1-EXP(-LN(2)/25))/(LN(2)/25)*Calculateur!ER144*Calculateur!ET144*VLOOKUP('Données projet'!$B$15,Paramètres!$A$1:$I$89,3,0)*0.475*44/12</f>
        <v>3.4217365440942742</v>
      </c>
      <c r="EX144" s="23">
        <f>EXP(-LN(2)/2)*EX143+(1-EXP(-LN(2)/2))/(LN(2)/2)*ER144*EU144*VLOOKUP('Données projet'!$B$15,Paramètres!$A$1:$I$89,3,0)*0.475*44/12</f>
        <v>3.3551341529338344E-12</v>
      </c>
      <c r="EY144" s="24">
        <f t="shared" si="129"/>
        <v>22.620876838218344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2.2737367544323206E-13</v>
      </c>
      <c r="FF144" s="18">
        <f>FE144*VLOOKUP('Données projet'!$B$16,Paramètres!$A$1:$I$89,3,0)*VLOOKUP('Données projet'!$B$16,Paramètres!$A$1:$I$89,5,0)</f>
        <v>1.2710188457276673E-13</v>
      </c>
      <c r="FG144" s="14">
        <f t="shared" si="155"/>
        <v>1.856866851063998E-12</v>
      </c>
      <c r="FH144" s="22">
        <f t="shared" si="130"/>
        <v>3.4554122145673649E-12</v>
      </c>
      <c r="FI144" s="62">
        <f t="shared" si="131"/>
        <v>285.56031297776349</v>
      </c>
      <c r="FJ144" s="62">
        <f ca="1">AVERAGE(OFFSET($FI$3,0,0,'Données projet'!$E$16+1,1))-AVERAGE(OFFSET($H$3,0,0,'Données projet'!$E$16+1,1))</f>
        <v>280.9225643428145</v>
      </c>
      <c r="FK144" s="62">
        <f t="shared" si="156"/>
        <v>236.89414218053955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60.058999292113555</v>
      </c>
      <c r="FR144" s="23">
        <f>EXP(-LN(2)/25)*FR143+(1-EXP(-LN(2)/25))/(LN(2)/25)*Calculateur!FM144*Calculateur!FO144*VLOOKUP('Données projet'!$B$16,Paramètres!$A$1:$I$89,3,0)*0.475*44/12</f>
        <v>10.951425569076406</v>
      </c>
      <c r="FS144" s="23">
        <f>EXP(-LN(2)/2)*FS143+(1-EXP(-LN(2)/2))/(LN(2)/2)*FM144*FP144*VLOOKUP('Données projet'!$B$16,Paramètres!$A$1:$I$89,3,0)*0.475*44/12</f>
        <v>8.831920259032389E-14</v>
      </c>
      <c r="FT144" s="24">
        <f t="shared" si="132"/>
        <v>71.010424861190046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-5.6843418860808015E-13</v>
      </c>
      <c r="GA144" s="18">
        <f>FZ144*VLOOKUP('Données projet'!$B$17,Paramètres!$A$1:$I$89,3,0)*VLOOKUP('Données projet'!$B$17,Paramètres!$A$1:$I$89,5,0)</f>
        <v>-2.5124791136477147E-13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325.67421864225201</v>
      </c>
      <c r="GF144" s="62">
        <f t="shared" si="158"/>
        <v>542.01920418736745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38.869587436218076</v>
      </c>
      <c r="GM144" s="23">
        <f>EXP(-LN(2)/25)*GM143+(1-EXP(-LN(2)/25))/(LN(2)/25)*Calculateur!GH144*Calculateur!GJ144*VLOOKUP('Données projet'!$B$17,Paramètres!$A$1:$I$89,3,0)*0.475*44/12</f>
        <v>12.83495887451673</v>
      </c>
      <c r="GN144" s="23">
        <f>EXP(-LN(2)/2)*GN143+(1-EXP(-LN(2)/2))/(LN(2)/2)*GH144*GK144*VLOOKUP('Données projet'!$B$17,Paramètres!$A$1:$I$89,3,0)*0.475*44/12</f>
        <v>8.9955761306681922E-14</v>
      </c>
      <c r="GO144" s="23">
        <f t="shared" si="135"/>
        <v>51.704546310734898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-2.5579538487363607E-13</v>
      </c>
      <c r="GV144" s="18">
        <f>GU144*VLOOKUP('Données projet'!$B$18,Paramètres!$A$1:$I$89,3,0)*VLOOKUP('Données projet'!$B$18,Paramètres!$A$1:$I$89,5,0)</f>
        <v>-2.5937652026186701E-13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220.89224520315713</v>
      </c>
      <c r="HA144" s="62">
        <f t="shared" si="160"/>
        <v>141.82763623159096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-2.8421709430404007E-14</v>
      </c>
      <c r="O145" s="14">
        <f>N145*VLOOKUP('Données projet'!$B$9,Paramètres!$A$1:$I$89,3,0)*VLOOKUP('Données projet'!$B$9,Paramètres!$A$1:$I$89,5,0)</f>
        <v>-2.7489477361086758E-14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84.959354125980269</v>
      </c>
      <c r="T145" s="62">
        <f t="shared" si="142"/>
        <v>89.658970210276806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2.1147963248891601</v>
      </c>
      <c r="AB145" s="23">
        <f>EXP(-LN(2)/2)*AB144+(1-EXP(-LN(2)/2))/(LN(2)/2)*V145*Y145*VLOOKUP('Données projet'!$B$9,Paramètres!$A$1:$I$89,3,0)*0.475*44/12</f>
        <v>4.7601798705081826E-11</v>
      </c>
      <c r="AC145" s="24">
        <f t="shared" si="111"/>
        <v>2.1147963249367621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-1.1368683772161603E-12</v>
      </c>
      <c r="AJ145" s="14">
        <f>AI145*VLOOKUP('Données projet'!$B$10,Paramètres!$A$1:$I$89,3,0)*VLOOKUP('Données projet'!$B$10,Paramètres!$A$1:$I$89,5,0)</f>
        <v>-1.0818439477588981E-12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592.76231355549089</v>
      </c>
      <c r="AO145" s="62">
        <f t="shared" si="144"/>
        <v>200.66895551079014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205.52714956054126</v>
      </c>
      <c r="AV145" s="23">
        <f>EXP(-LN(2)/25)*AV144+(1-EXP(-LN(2)/25))/(LN(2)/25)*Calculateur!AQ145*Calculateur!AS145*VLOOKUP('Données projet'!$B$10,Paramètres!$A$1:$I$89,3,0)*0.475*44/12</f>
        <v>55.638794219619776</v>
      </c>
      <c r="AW145" s="23">
        <f>EXP(-LN(2)/2)*AW144+(1-EXP(-LN(2)/2))/(LN(2)/2)*AQ145*AT145*VLOOKUP('Données projet'!$B$10,Paramètres!$A$1:$I$89,3,0)*0.475*44/12</f>
        <v>5.8477357150557391E-12</v>
      </c>
      <c r="AX145" s="23">
        <f t="shared" si="114"/>
        <v>261.16594378016691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-2.0572770154103635E-13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316.71836722354374</v>
      </c>
      <c r="BJ145" s="62">
        <f t="shared" si="146"/>
        <v>164.34067012996618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116.4287004402719</v>
      </c>
      <c r="BQ145" s="23">
        <f>EXP(-LN(2)/25)*BQ144+(1-EXP(-LN(2)/25))/(LN(2)/25)*Calculateur!BL145*Calculateur!BN145*VLOOKUP('Données projet'!$B$11,Paramètres!$A$1:$I$89,3,0)*0.475*44/12</f>
        <v>2.1652939121048576</v>
      </c>
      <c r="BR145" s="23">
        <f>EXP(-LN(2)/2)*BR144+(1-EXP(-LN(2)/2))/(LN(2)/2)*BL145*BO145*VLOOKUP('Données projet'!$B$11,Paramètres!$A$1:$I$89,3,0)*0.475*44/12</f>
        <v>3.7779498044139919E-13</v>
      </c>
      <c r="BS145" s="24">
        <f t="shared" si="117"/>
        <v>118.59399435237714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2.8421709430404007E-14</v>
      </c>
      <c r="BZ145" s="14">
        <f>BY145*VLOOKUP('Données projet'!$B$12,Paramètres!$A$1:$I$89,3,0)*VLOOKUP('Données projet'!$B$12,Paramètres!$A$1:$I$89,5,0)</f>
        <v>3.2366642699344085E-14</v>
      </c>
      <c r="CA145" s="14">
        <f t="shared" si="147"/>
        <v>5.5446527398450045E-13</v>
      </c>
      <c r="CB145" s="22">
        <f t="shared" si="118"/>
        <v>1.0220655882243624E-12</v>
      </c>
      <c r="CC145" s="62">
        <f t="shared" si="119"/>
        <v>285.6951575030601</v>
      </c>
      <c r="CD145" s="62">
        <f ca="1">AVERAGE(OFFSET($CC$3,0,0,'Données projet'!$E$12+1,1))-AVERAGE(OFFSET($H$3,0,0,'Données projet'!$E$12+1,1))</f>
        <v>454.9779384236806</v>
      </c>
      <c r="CE145" s="62">
        <f t="shared" si="148"/>
        <v>379.32753348721906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49.809160919242608</v>
      </c>
      <c r="CL145" s="23">
        <f>EXP(-LN(2)/25)*CL144+(1-EXP(-LN(2)/25))/(LN(2)/25)*Calculateur!CG145*Calculateur!CI145*VLOOKUP('Données projet'!$B$12,Paramètres!$A$1:$I$89,3,0)*0.475*44/12</f>
        <v>16.955011055324675</v>
      </c>
      <c r="CM145" s="23">
        <f>EXP(-LN(2)/2)*CM144+(1-EXP(-LN(2)/2))/(LN(2)/2)*CG145*CJ145*VLOOKUP('Données projet'!$B$12,Paramètres!$A$1:$I$89,3,0)*0.475*44/12</f>
        <v>5.9205281181464759E-8</v>
      </c>
      <c r="CN145" s="24">
        <f t="shared" si="120"/>
        <v>66.764172033772567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252.10592533338991</v>
      </c>
      <c r="CZ145" s="62">
        <f t="shared" si="150"/>
        <v>272.71831345325313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15.28375597655767</v>
      </c>
      <c r="DH145" s="23">
        <f>EXP(-LN(2)/2)*DH144+(1-EXP(-LN(2)/2))/(LN(2)/2)*DB145*DE145*VLOOKUP('Données projet'!$B$13,Paramètres!$A$1:$I$89,3,0)*0.475*44/12</f>
        <v>7.6899358130020981E-12</v>
      </c>
      <c r="DI145" s="24">
        <f t="shared" si="123"/>
        <v>15.283755976565359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423.0896575168394</v>
      </c>
      <c r="DU145" s="62">
        <f t="shared" si="152"/>
        <v>305.98537395014284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44.646202637490937</v>
      </c>
      <c r="EB145" s="23">
        <f>EXP(-LN(2)/25)*EB144+(1-EXP(-LN(2)/25))/(LN(2)/25)*Calculateur!DW145*Calculateur!DY145*VLOOKUP('Données projet'!$B$14,Paramètres!$A$1:$I$89,3,0)*0.475*44/12</f>
        <v>32.06317746804887</v>
      </c>
      <c r="EC145" s="23">
        <f>EXP(-LN(2)/2)*EC144+(1-EXP(-LN(2)/2))/(LN(2)/2)*DW145*DZ145*VLOOKUP('Données projet'!$B$14,Paramètres!$A$1:$I$89,3,0)*0.475*44/12</f>
        <v>1.5076353531079958E-12</v>
      </c>
      <c r="ED145" s="24">
        <f t="shared" si="126"/>
        <v>76.709380105541314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2.2737367544323206E-13</v>
      </c>
      <c r="EK145" s="18">
        <f>EJ145*VLOOKUP('Données projet'!$B$15,Paramètres!$A$1:$I$89,3,0)*VLOOKUP('Données projet'!$B$15,Paramètres!$A$1:$I$89,5,0)</f>
        <v>1.3596945791505279E-13</v>
      </c>
      <c r="EL145" s="14">
        <f t="shared" si="153"/>
        <v>1.9708830566360721E-12</v>
      </c>
      <c r="EM145" s="22">
        <f t="shared" si="127"/>
        <v>3.669434796176543E-12</v>
      </c>
      <c r="EN145" s="62">
        <f t="shared" si="128"/>
        <v>285.69515750306277</v>
      </c>
      <c r="EO145" s="62">
        <f ca="1">AVERAGE(OFFSET($EN$3,0,0,'Données projet'!$E$15+1,1))-AVERAGE(OFFSET($H$3,0,0,'Données projet'!$E$15+1,1))</f>
        <v>281.21543175875604</v>
      </c>
      <c r="EP145" s="62">
        <f t="shared" si="154"/>
        <v>366.68536296857428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18.822656863272289</v>
      </c>
      <c r="EW145" s="23">
        <f>EXP(-LN(2)/25)*EW144+(1-EXP(-LN(2)/25))/(LN(2)/25)*Calculateur!ER145*Calculateur!ET145*VLOOKUP('Données projet'!$B$15,Paramètres!$A$1:$I$89,3,0)*0.475*44/12</f>
        <v>3.3281689783547117</v>
      </c>
      <c r="EX145" s="23">
        <f>EXP(-LN(2)/2)*EX144+(1-EXP(-LN(2)/2))/(LN(2)/2)*ER145*EU145*VLOOKUP('Données projet'!$B$15,Paramètres!$A$1:$I$89,3,0)*0.475*44/12</f>
        <v>2.3724381113300973E-12</v>
      </c>
      <c r="EY145" s="24">
        <f t="shared" si="129"/>
        <v>22.150825841629374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2.2737367544323206E-13</v>
      </c>
      <c r="FF145" s="18">
        <f>FE145*VLOOKUP('Données projet'!$B$16,Paramètres!$A$1:$I$89,3,0)*VLOOKUP('Données projet'!$B$16,Paramètres!$A$1:$I$89,5,0)</f>
        <v>1.2710188457276673E-13</v>
      </c>
      <c r="FG145" s="14">
        <f t="shared" si="155"/>
        <v>1.856866851063998E-12</v>
      </c>
      <c r="FH145" s="22">
        <f t="shared" si="130"/>
        <v>3.4554122145673649E-12</v>
      </c>
      <c r="FI145" s="62">
        <f t="shared" si="131"/>
        <v>285.69515750306255</v>
      </c>
      <c r="FJ145" s="62">
        <f ca="1">AVERAGE(OFFSET($FI$3,0,0,'Données projet'!$E$16+1,1))-AVERAGE(OFFSET($H$3,0,0,'Données projet'!$E$16+1,1))</f>
        <v>280.9225643428145</v>
      </c>
      <c r="FK145" s="62">
        <f t="shared" si="156"/>
        <v>236.89414218053955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58.88127894836763</v>
      </c>
      <c r="FR145" s="23">
        <f>EXP(-LN(2)/25)*FR144+(1-EXP(-LN(2)/25))/(LN(2)/25)*Calculateur!FM145*Calculateur!FO145*VLOOKUP('Données projet'!$B$16,Paramètres!$A$1:$I$89,3,0)*0.475*44/12</f>
        <v>10.651958260979571</v>
      </c>
      <c r="FS145" s="23">
        <f>EXP(-LN(2)/2)*FS144+(1-EXP(-LN(2)/2))/(LN(2)/2)*FM145*FP145*VLOOKUP('Données projet'!$B$16,Paramètres!$A$1:$I$89,3,0)*0.475*44/12</f>
        <v>6.2451107060606515E-14</v>
      </c>
      <c r="FT145" s="24">
        <f t="shared" si="132"/>
        <v>69.533237209347263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-5.6843418860808015E-13</v>
      </c>
      <c r="GA145" s="18">
        <f>FZ145*VLOOKUP('Données projet'!$B$17,Paramètres!$A$1:$I$89,3,0)*VLOOKUP('Données projet'!$B$17,Paramètres!$A$1:$I$89,5,0)</f>
        <v>-2.5124791136477147E-13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325.67421864225201</v>
      </c>
      <c r="GF145" s="62">
        <f t="shared" si="158"/>
        <v>542.01920418736745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38.107378534701198</v>
      </c>
      <c r="GM145" s="23">
        <f>EXP(-LN(2)/25)*GM144+(1-EXP(-LN(2)/25))/(LN(2)/25)*Calculateur!GH145*Calculateur!GJ145*VLOOKUP('Données projet'!$B$17,Paramètres!$A$1:$I$89,3,0)*0.475*44/12</f>
        <v>12.483986249131917</v>
      </c>
      <c r="GN145" s="23">
        <f>EXP(-LN(2)/2)*GN144+(1-EXP(-LN(2)/2))/(LN(2)/2)*GH145*GK145*VLOOKUP('Données projet'!$B$17,Paramètres!$A$1:$I$89,3,0)*0.475*44/12</f>
        <v>6.3608328826753231E-14</v>
      </c>
      <c r="GO145" s="23">
        <f t="shared" si="135"/>
        <v>50.591364783833178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-2.5579538487363607E-13</v>
      </c>
      <c r="GV145" s="18">
        <f>GU145*VLOOKUP('Données projet'!$B$18,Paramètres!$A$1:$I$89,3,0)*VLOOKUP('Données projet'!$B$18,Paramètres!$A$1:$I$89,5,0)</f>
        <v>-2.5937652026186701E-13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220.89224520315713</v>
      </c>
      <c r="HA145" s="62">
        <f t="shared" si="160"/>
        <v>141.82763623159096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-2.8421709430404007E-14</v>
      </c>
      <c r="O146" s="14">
        <f>N146*VLOOKUP('Données projet'!$B$9,Paramètres!$A$1:$I$89,3,0)*VLOOKUP('Données projet'!$B$9,Paramètres!$A$1:$I$89,5,0)</f>
        <v>-2.7489477361086758E-14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84.959354125980269</v>
      </c>
      <c r="T146" s="62">
        <f t="shared" si="142"/>
        <v>89.658970210276806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2.0569671081727607</v>
      </c>
      <c r="AB146" s="23">
        <f>EXP(-LN(2)/2)*AB145+(1-EXP(-LN(2)/2))/(LN(2)/2)*V146*Y146*VLOOKUP('Données projet'!$B$9,Paramètres!$A$1:$I$89,3,0)*0.475*44/12</f>
        <v>3.3659554661040376E-11</v>
      </c>
      <c r="AC146" s="24">
        <f t="shared" si="111"/>
        <v>2.0569671082064205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-1.1368683772161603E-12</v>
      </c>
      <c r="AJ146" s="14">
        <f>AI146*VLOOKUP('Données projet'!$B$10,Paramètres!$A$1:$I$89,3,0)*VLOOKUP('Données projet'!$B$10,Paramètres!$A$1:$I$89,5,0)</f>
        <v>-1.0818439477588981E-12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592.76231355549089</v>
      </c>
      <c r="AO146" s="62">
        <f t="shared" si="144"/>
        <v>200.66895551079014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201.49688751684209</v>
      </c>
      <c r="AV146" s="23">
        <f>EXP(-LN(2)/25)*AV145+(1-EXP(-LN(2)/25))/(LN(2)/25)*Calculateur!AQ146*Calculateur!AS146*VLOOKUP('Données projet'!$B$10,Paramètres!$A$1:$I$89,3,0)*0.475*44/12</f>
        <v>54.11734846576725</v>
      </c>
      <c r="AW146" s="23">
        <f>EXP(-LN(2)/2)*AW145+(1-EXP(-LN(2)/2))/(LN(2)/2)*AQ146*AT146*VLOOKUP('Données projet'!$B$10,Paramètres!$A$1:$I$89,3,0)*0.475*44/12</f>
        <v>4.1349735787026775E-12</v>
      </c>
      <c r="AX146" s="23">
        <f t="shared" si="114"/>
        <v>255.61423598261345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-2.0572770154103635E-13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316.71836722354374</v>
      </c>
      <c r="BJ146" s="62">
        <f t="shared" si="146"/>
        <v>164.34067012996618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114.14560463913334</v>
      </c>
      <c r="BQ146" s="23">
        <f>EXP(-LN(2)/25)*BQ145+(1-EXP(-LN(2)/25))/(LN(2)/25)*Calculateur!BL146*Calculateur!BN146*VLOOKUP('Données projet'!$B$11,Paramètres!$A$1:$I$89,3,0)*0.475*44/12</f>
        <v>2.1060838362104923</v>
      </c>
      <c r="BR146" s="23">
        <f>EXP(-LN(2)/2)*BR145+(1-EXP(-LN(2)/2))/(LN(2)/2)*BL146*BO146*VLOOKUP('Données projet'!$B$11,Paramètres!$A$1:$I$89,3,0)*0.475*44/12</f>
        <v>2.6714139256835246E-13</v>
      </c>
      <c r="BS146" s="24">
        <f t="shared" si="117"/>
        <v>116.2516884753441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2.8421709430404007E-14</v>
      </c>
      <c r="BZ146" s="14">
        <f>BY146*VLOOKUP('Données projet'!$B$12,Paramètres!$A$1:$I$89,3,0)*VLOOKUP('Données projet'!$B$12,Paramètres!$A$1:$I$89,5,0)</f>
        <v>3.2366642699344085E-14</v>
      </c>
      <c r="CA146" s="14">
        <f t="shared" si="147"/>
        <v>5.5446527398450045E-13</v>
      </c>
      <c r="CB146" s="22">
        <f t="shared" si="118"/>
        <v>1.0220655882243624E-12</v>
      </c>
      <c r="CC146" s="62">
        <f t="shared" si="119"/>
        <v>285.82766277731247</v>
      </c>
      <c r="CD146" s="62">
        <f ca="1">AVERAGE(OFFSET($CC$3,0,0,'Données projet'!$E$12+1,1))-AVERAGE(OFFSET($H$3,0,0,'Données projet'!$E$12+1,1))</f>
        <v>454.9779384236806</v>
      </c>
      <c r="CE146" s="62">
        <f t="shared" si="148"/>
        <v>379.32753348721906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48.832433654204586</v>
      </c>
      <c r="CL146" s="23">
        <f>EXP(-LN(2)/25)*CL145+(1-EXP(-LN(2)/25))/(LN(2)/25)*Calculateur!CG146*Calculateur!CI146*VLOOKUP('Données projet'!$B$12,Paramètres!$A$1:$I$89,3,0)*0.475*44/12</f>
        <v>16.491375386391542</v>
      </c>
      <c r="CM146" s="23">
        <f>EXP(-LN(2)/2)*CM145+(1-EXP(-LN(2)/2))/(LN(2)/2)*CG146*CJ146*VLOOKUP('Données projet'!$B$12,Paramètres!$A$1:$I$89,3,0)*0.475*44/12</f>
        <v>4.1864455805470026E-8</v>
      </c>
      <c r="CN146" s="24">
        <f t="shared" si="120"/>
        <v>65.323809082460585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252.10592533338991</v>
      </c>
      <c r="CZ146" s="62">
        <f t="shared" si="150"/>
        <v>272.71831345325313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14.865820865640904</v>
      </c>
      <c r="DH146" s="23">
        <f>EXP(-LN(2)/2)*DH145+(1-EXP(-LN(2)/2))/(LN(2)/2)*DB146*DE146*VLOOKUP('Données projet'!$B$13,Paramètres!$A$1:$I$89,3,0)*0.475*44/12</f>
        <v>5.43760576026307E-12</v>
      </c>
      <c r="DI146" s="24">
        <f t="shared" si="123"/>
        <v>14.865820865646342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423.0896575168394</v>
      </c>
      <c r="DU146" s="62">
        <f t="shared" si="152"/>
        <v>305.98537395014284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43.770717835264463</v>
      </c>
      <c r="EB146" s="23">
        <f>EXP(-LN(2)/25)*EB145+(1-EXP(-LN(2)/25))/(LN(2)/25)*Calculateur!DW146*Calculateur!DY146*VLOOKUP('Données projet'!$B$14,Paramètres!$A$1:$I$89,3,0)*0.475*44/12</f>
        <v>31.186408194055851</v>
      </c>
      <c r="EC146" s="23">
        <f>EXP(-LN(2)/2)*EC145+(1-EXP(-LN(2)/2))/(LN(2)/2)*DW146*DZ146*VLOOKUP('Données projet'!$B$14,Paramètres!$A$1:$I$89,3,0)*0.475*44/12</f>
        <v>1.0660591817392389E-12</v>
      </c>
      <c r="ED146" s="24">
        <f t="shared" si="126"/>
        <v>74.957126029321373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2.2737367544323206E-13</v>
      </c>
      <c r="EK146" s="18">
        <f>EJ146*VLOOKUP('Données projet'!$B$15,Paramètres!$A$1:$I$89,3,0)*VLOOKUP('Données projet'!$B$15,Paramètres!$A$1:$I$89,5,0)</f>
        <v>1.3596945791505279E-13</v>
      </c>
      <c r="EL146" s="14">
        <f t="shared" si="153"/>
        <v>1.9708830566360721E-12</v>
      </c>
      <c r="EM146" s="22">
        <f t="shared" si="127"/>
        <v>3.669434796176543E-12</v>
      </c>
      <c r="EN146" s="62">
        <f t="shared" si="128"/>
        <v>285.82766277731514</v>
      </c>
      <c r="EO146" s="62">
        <f ca="1">AVERAGE(OFFSET($EN$3,0,0,'Données projet'!$E$15+1,1))-AVERAGE(OFFSET($H$3,0,0,'Données projet'!$E$15+1,1))</f>
        <v>281.21543175875604</v>
      </c>
      <c r="EP146" s="62">
        <f t="shared" si="154"/>
        <v>366.68536296857428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18.453556042870584</v>
      </c>
      <c r="EW146" s="23">
        <f>EXP(-LN(2)/25)*EW145+(1-EXP(-LN(2)/25))/(LN(2)/25)*Calculateur!ER146*Calculateur!ET146*VLOOKUP('Données projet'!$B$15,Paramètres!$A$1:$I$89,3,0)*0.475*44/12</f>
        <v>3.2371600226208024</v>
      </c>
      <c r="EX146" s="23">
        <f>EXP(-LN(2)/2)*EX145+(1-EXP(-LN(2)/2))/(LN(2)/2)*ER146*EU146*VLOOKUP('Données projet'!$B$15,Paramètres!$A$1:$I$89,3,0)*0.475*44/12</f>
        <v>1.6775670764669172E-12</v>
      </c>
      <c r="EY146" s="24">
        <f t="shared" si="129"/>
        <v>21.690716065493064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2.2737367544323206E-13</v>
      </c>
      <c r="FF146" s="18">
        <f>FE146*VLOOKUP('Données projet'!$B$16,Paramètres!$A$1:$I$89,3,0)*VLOOKUP('Données projet'!$B$16,Paramètres!$A$1:$I$89,5,0)</f>
        <v>1.2710188457276673E-13</v>
      </c>
      <c r="FG146" s="14">
        <f t="shared" si="155"/>
        <v>1.856866851063998E-12</v>
      </c>
      <c r="FH146" s="22">
        <f t="shared" si="130"/>
        <v>3.4554122145673649E-12</v>
      </c>
      <c r="FI146" s="62">
        <f t="shared" si="131"/>
        <v>285.82766277731491</v>
      </c>
      <c r="FJ146" s="62">
        <f ca="1">AVERAGE(OFFSET($FI$3,0,0,'Données projet'!$E$16+1,1))-AVERAGE(OFFSET($H$3,0,0,'Données projet'!$E$16+1,1))</f>
        <v>280.9225643428145</v>
      </c>
      <c r="FK146" s="62">
        <f t="shared" si="156"/>
        <v>236.89414218053955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57.726652982224081</v>
      </c>
      <c r="FR146" s="23">
        <f>EXP(-LN(2)/25)*FR145+(1-EXP(-LN(2)/25))/(LN(2)/25)*Calculateur!FM146*Calculateur!FO146*VLOOKUP('Données projet'!$B$16,Paramètres!$A$1:$I$89,3,0)*0.475*44/12</f>
        <v>10.360679902170945</v>
      </c>
      <c r="FS146" s="23">
        <f>EXP(-LN(2)/2)*FS145+(1-EXP(-LN(2)/2))/(LN(2)/2)*FM146*FP146*VLOOKUP('Données projet'!$B$16,Paramètres!$A$1:$I$89,3,0)*0.475*44/12</f>
        <v>4.4159601295161945E-14</v>
      </c>
      <c r="FT146" s="24">
        <f t="shared" si="132"/>
        <v>68.087332884395067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-5.6843418860808015E-13</v>
      </c>
      <c r="GA146" s="18">
        <f>FZ146*VLOOKUP('Données projet'!$B$17,Paramètres!$A$1:$I$89,3,0)*VLOOKUP('Données projet'!$B$17,Paramètres!$A$1:$I$89,5,0)</f>
        <v>-2.5124791136477147E-13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325.67421864225201</v>
      </c>
      <c r="GF146" s="62">
        <f t="shared" si="158"/>
        <v>542.01920418736745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37.360116084841536</v>
      </c>
      <c r="GM146" s="23">
        <f>EXP(-LN(2)/25)*GM145+(1-EXP(-LN(2)/25))/(LN(2)/25)*Calculateur!GH146*Calculateur!GJ146*VLOOKUP('Données projet'!$B$17,Paramètres!$A$1:$I$89,3,0)*0.475*44/12</f>
        <v>12.142610988645099</v>
      </c>
      <c r="GN146" s="23">
        <f>EXP(-LN(2)/2)*GN145+(1-EXP(-LN(2)/2))/(LN(2)/2)*GH146*GK146*VLOOKUP('Données projet'!$B$17,Paramètres!$A$1:$I$89,3,0)*0.475*44/12</f>
        <v>4.4977880653340961E-14</v>
      </c>
      <c r="GO146" s="23">
        <f t="shared" si="135"/>
        <v>49.502727073486682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-2.5579538487363607E-13</v>
      </c>
      <c r="GV146" s="18">
        <f>GU146*VLOOKUP('Données projet'!$B$18,Paramètres!$A$1:$I$89,3,0)*VLOOKUP('Données projet'!$B$18,Paramètres!$A$1:$I$89,5,0)</f>
        <v>-2.5937652026186701E-13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220.89224520315713</v>
      </c>
      <c r="HA146" s="62">
        <f t="shared" si="160"/>
        <v>141.82763623159096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-2.8421709430404007E-14</v>
      </c>
      <c r="O147" s="14">
        <f>N147*VLOOKUP('Données projet'!$B$9,Paramètres!$A$1:$I$89,3,0)*VLOOKUP('Données projet'!$B$9,Paramètres!$A$1:$I$89,5,0)</f>
        <v>-2.7489477361086758E-14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84.959354125980269</v>
      </c>
      <c r="T147" s="62">
        <f t="shared" si="142"/>
        <v>89.658970210276806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2.0007192344285776</v>
      </c>
      <c r="AB147" s="23">
        <f>EXP(-LN(2)/2)*AB146+(1-EXP(-LN(2)/2))/(LN(2)/2)*V147*Y147*VLOOKUP('Données projet'!$B$9,Paramètres!$A$1:$I$89,3,0)*0.475*44/12</f>
        <v>2.3800899352540913E-11</v>
      </c>
      <c r="AC147" s="24">
        <f t="shared" si="111"/>
        <v>2.0007192344523785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-1.1368683772161603E-12</v>
      </c>
      <c r="AJ147" s="14">
        <f>AI147*VLOOKUP('Données projet'!$B$10,Paramètres!$A$1:$I$89,3,0)*VLOOKUP('Données projet'!$B$10,Paramètres!$A$1:$I$89,5,0)</f>
        <v>-1.0818439477588981E-12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592.76231355549089</v>
      </c>
      <c r="AO147" s="62">
        <f t="shared" si="144"/>
        <v>200.66895551079014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197.54565645360273</v>
      </c>
      <c r="AV147" s="23">
        <f>EXP(-LN(2)/25)*AV146+(1-EXP(-LN(2)/25))/(LN(2)/25)*Calculateur!AQ147*Calculateur!AS147*VLOOKUP('Données projet'!$B$10,Paramètres!$A$1:$I$89,3,0)*0.475*44/12</f>
        <v>52.637506726063179</v>
      </c>
      <c r="AW147" s="23">
        <f>EXP(-LN(2)/2)*AW146+(1-EXP(-LN(2)/2))/(LN(2)/2)*AQ147*AT147*VLOOKUP('Données projet'!$B$10,Paramètres!$A$1:$I$89,3,0)*0.475*44/12</f>
        <v>2.9238678575278696E-12</v>
      </c>
      <c r="AX147" s="23">
        <f t="shared" si="114"/>
        <v>250.18316317966884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-2.0572770154103635E-13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316.71836722354374</v>
      </c>
      <c r="BJ147" s="62">
        <f t="shared" si="146"/>
        <v>164.34067012996618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111.90727895410417</v>
      </c>
      <c r="BQ147" s="23">
        <f>EXP(-LN(2)/25)*BQ146+(1-EXP(-LN(2)/25))/(LN(2)/25)*Calculateur!BL147*Calculateur!BN147*VLOOKUP('Données projet'!$B$11,Paramètres!$A$1:$I$89,3,0)*0.475*44/12</f>
        <v>2.0484928629551811</v>
      </c>
      <c r="BR147" s="23">
        <f>EXP(-LN(2)/2)*BR146+(1-EXP(-LN(2)/2))/(LN(2)/2)*BL147*BO147*VLOOKUP('Données projet'!$B$11,Paramètres!$A$1:$I$89,3,0)*0.475*44/12</f>
        <v>1.888974902206996E-13</v>
      </c>
      <c r="BS147" s="24">
        <f t="shared" si="117"/>
        <v>113.95577181705954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2.8421709430404007E-14</v>
      </c>
      <c r="BZ147" s="14">
        <f>BY147*VLOOKUP('Données projet'!$B$12,Paramètres!$A$1:$I$89,3,0)*VLOOKUP('Données projet'!$B$12,Paramètres!$A$1:$I$89,5,0)</f>
        <v>3.2366642699344085E-14</v>
      </c>
      <c r="CA147" s="14">
        <f t="shared" si="147"/>
        <v>5.5446527398450045E-13</v>
      </c>
      <c r="CB147" s="22">
        <f t="shared" si="118"/>
        <v>1.0220655882243624E-12</v>
      </c>
      <c r="CC147" s="62">
        <f t="shared" si="119"/>
        <v>285.9578693812939</v>
      </c>
      <c r="CD147" s="62">
        <f ca="1">AVERAGE(OFFSET($CC$3,0,0,'Données projet'!$E$12+1,1))-AVERAGE(OFFSET($H$3,0,0,'Données projet'!$E$12+1,1))</f>
        <v>454.9779384236806</v>
      </c>
      <c r="CE147" s="62">
        <f t="shared" si="148"/>
        <v>379.32753348721906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47.874859415089155</v>
      </c>
      <c r="CL147" s="23">
        <f>EXP(-LN(2)/25)*CL146+(1-EXP(-LN(2)/25))/(LN(2)/25)*Calculateur!CG147*Calculateur!CI147*VLOOKUP('Données projet'!$B$12,Paramètres!$A$1:$I$89,3,0)*0.475*44/12</f>
        <v>16.040417859206926</v>
      </c>
      <c r="CM147" s="23">
        <f>EXP(-LN(2)/2)*CM146+(1-EXP(-LN(2)/2))/(LN(2)/2)*CG147*CJ147*VLOOKUP('Données projet'!$B$12,Paramètres!$A$1:$I$89,3,0)*0.475*44/12</f>
        <v>2.9602640590732386E-8</v>
      </c>
      <c r="CN147" s="24">
        <f t="shared" si="120"/>
        <v>63.915277303898719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252.10592533338991</v>
      </c>
      <c r="CZ147" s="62">
        <f t="shared" si="150"/>
        <v>272.71831345325313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14.45931421231041</v>
      </c>
      <c r="DH147" s="23">
        <f>EXP(-LN(2)/2)*DH146+(1-EXP(-LN(2)/2))/(LN(2)/2)*DB147*DE147*VLOOKUP('Données projet'!$B$13,Paramètres!$A$1:$I$89,3,0)*0.475*44/12</f>
        <v>3.844967906501049E-12</v>
      </c>
      <c r="DI147" s="24">
        <f t="shared" si="123"/>
        <v>14.459314212314256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423.0896575168394</v>
      </c>
      <c r="DU147" s="62">
        <f t="shared" si="152"/>
        <v>305.98537395014284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42.912400756016645</v>
      </c>
      <c r="EB147" s="23">
        <f>EXP(-LN(2)/25)*EB146+(1-EXP(-LN(2)/25))/(LN(2)/25)*Calculateur!DW147*Calculateur!DY147*VLOOKUP('Données projet'!$B$14,Paramètres!$A$1:$I$89,3,0)*0.475*44/12</f>
        <v>30.333614221967466</v>
      </c>
      <c r="EC147" s="23">
        <f>EXP(-LN(2)/2)*EC146+(1-EXP(-LN(2)/2))/(LN(2)/2)*DW147*DZ147*VLOOKUP('Données projet'!$B$14,Paramètres!$A$1:$I$89,3,0)*0.475*44/12</f>
        <v>7.5381767655399791E-13</v>
      </c>
      <c r="ED147" s="24">
        <f t="shared" si="126"/>
        <v>73.246014977984871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2.2737367544323206E-13</v>
      </c>
      <c r="EK147" s="18">
        <f>EJ147*VLOOKUP('Données projet'!$B$15,Paramètres!$A$1:$I$89,3,0)*VLOOKUP('Données projet'!$B$15,Paramètres!$A$1:$I$89,5,0)</f>
        <v>1.3596945791505279E-13</v>
      </c>
      <c r="EL147" s="14">
        <f t="shared" si="153"/>
        <v>1.9708830566360721E-12</v>
      </c>
      <c r="EM147" s="22">
        <f t="shared" si="127"/>
        <v>3.669434796176543E-12</v>
      </c>
      <c r="EN147" s="62">
        <f t="shared" si="128"/>
        <v>285.95786938129658</v>
      </c>
      <c r="EO147" s="62">
        <f ca="1">AVERAGE(OFFSET($EN$3,0,0,'Données projet'!$E$15+1,1))-AVERAGE(OFFSET($H$3,0,0,'Données projet'!$E$15+1,1))</f>
        <v>281.21543175875604</v>
      </c>
      <c r="EP147" s="62">
        <f t="shared" si="154"/>
        <v>366.68536296857428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18.091693064427684</v>
      </c>
      <c r="EW147" s="23">
        <f>EXP(-LN(2)/25)*EW146+(1-EXP(-LN(2)/25))/(LN(2)/25)*Calculateur!ER147*Calculateur!ET147*VLOOKUP('Données projet'!$B$15,Paramètres!$A$1:$I$89,3,0)*0.475*44/12</f>
        <v>3.1486397115673896</v>
      </c>
      <c r="EX147" s="23">
        <f>EXP(-LN(2)/2)*EX146+(1-EXP(-LN(2)/2))/(LN(2)/2)*ER147*EU147*VLOOKUP('Données projet'!$B$15,Paramètres!$A$1:$I$89,3,0)*0.475*44/12</f>
        <v>1.1862190556650486E-12</v>
      </c>
      <c r="EY147" s="24">
        <f t="shared" si="129"/>
        <v>21.240332775996261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2.2737367544323206E-13</v>
      </c>
      <c r="FF147" s="18">
        <f>FE147*VLOOKUP('Données projet'!$B$16,Paramètres!$A$1:$I$89,3,0)*VLOOKUP('Données projet'!$B$16,Paramètres!$A$1:$I$89,5,0)</f>
        <v>1.2710188457276673E-13</v>
      </c>
      <c r="FG147" s="14">
        <f t="shared" si="155"/>
        <v>1.856866851063998E-12</v>
      </c>
      <c r="FH147" s="22">
        <f t="shared" si="130"/>
        <v>3.4554122145673649E-12</v>
      </c>
      <c r="FI147" s="62">
        <f t="shared" si="131"/>
        <v>285.95786938129635</v>
      </c>
      <c r="FJ147" s="62">
        <f ca="1">AVERAGE(OFFSET($FI$3,0,0,'Données projet'!$E$16+1,1))-AVERAGE(OFFSET($H$3,0,0,'Données projet'!$E$16+1,1))</f>
        <v>280.9225643428145</v>
      </c>
      <c r="FK147" s="62">
        <f t="shared" si="156"/>
        <v>236.89414218053955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56.594668527024311</v>
      </c>
      <c r="FR147" s="23">
        <f>EXP(-LN(2)/25)*FR146+(1-EXP(-LN(2)/25))/(LN(2)/25)*Calculateur!FM147*Calculateur!FO147*VLOOKUP('Données projet'!$B$16,Paramètres!$A$1:$I$89,3,0)*0.475*44/12</f>
        <v>10.077366565401604</v>
      </c>
      <c r="FS147" s="23">
        <f>EXP(-LN(2)/2)*FS146+(1-EXP(-LN(2)/2))/(LN(2)/2)*FM147*FP147*VLOOKUP('Données projet'!$B$16,Paramètres!$A$1:$I$89,3,0)*0.475*44/12</f>
        <v>3.1225553530303258E-14</v>
      </c>
      <c r="FT147" s="24">
        <f t="shared" si="132"/>
        <v>66.672035092425944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-5.6843418860808015E-13</v>
      </c>
      <c r="GA147" s="18">
        <f>FZ147*VLOOKUP('Données projet'!$B$17,Paramètres!$A$1:$I$89,3,0)*VLOOKUP('Données projet'!$B$17,Paramètres!$A$1:$I$89,5,0)</f>
        <v>-2.5124791136477147E-13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325.67421864225201</v>
      </c>
      <c r="GF147" s="62">
        <f t="shared" si="158"/>
        <v>542.01920418736745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36.627506995838537</v>
      </c>
      <c r="GM147" s="23">
        <f>EXP(-LN(2)/25)*GM146+(1-EXP(-LN(2)/25))/(LN(2)/25)*Calculateur!GH147*Calculateur!GJ147*VLOOKUP('Données projet'!$B$17,Paramètres!$A$1:$I$89,3,0)*0.475*44/12</f>
        <v>11.81057065260844</v>
      </c>
      <c r="GN147" s="23">
        <f>EXP(-LN(2)/2)*GN146+(1-EXP(-LN(2)/2))/(LN(2)/2)*GH147*GK147*VLOOKUP('Données projet'!$B$17,Paramètres!$A$1:$I$89,3,0)*0.475*44/12</f>
        <v>3.1804164413376615E-14</v>
      </c>
      <c r="GO147" s="23">
        <f t="shared" si="135"/>
        <v>48.438077648447006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-2.5579538487363607E-13</v>
      </c>
      <c r="GV147" s="18">
        <f>GU147*VLOOKUP('Données projet'!$B$18,Paramètres!$A$1:$I$89,3,0)*VLOOKUP('Données projet'!$B$18,Paramètres!$A$1:$I$89,5,0)</f>
        <v>-2.5937652026186701E-13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220.89224520315713</v>
      </c>
      <c r="HA147" s="62">
        <f t="shared" si="160"/>
        <v>141.82763623159096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-2.8421709430404007E-14</v>
      </c>
      <c r="O148" s="14">
        <f>N148*VLOOKUP('Données projet'!$B$9,Paramètres!$A$1:$I$89,3,0)*VLOOKUP('Données projet'!$B$9,Paramètres!$A$1:$I$89,5,0)</f>
        <v>-2.7489477361086758E-14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84.959354125980269</v>
      </c>
      <c r="T148" s="62">
        <f t="shared" si="142"/>
        <v>89.658970210276806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1.9460094617498762</v>
      </c>
      <c r="AB148" s="23">
        <f>EXP(-LN(2)/2)*AB147+(1-EXP(-LN(2)/2))/(LN(2)/2)*V148*Y148*VLOOKUP('Données projet'!$B$9,Paramètres!$A$1:$I$89,3,0)*0.475*44/12</f>
        <v>1.6829777330520188E-11</v>
      </c>
      <c r="AC148" s="24">
        <f t="shared" si="111"/>
        <v>1.9460094617667061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-1.1368683772161603E-12</v>
      </c>
      <c r="AJ148" s="14">
        <f>AI148*VLOOKUP('Données projet'!$B$10,Paramètres!$A$1:$I$89,3,0)*VLOOKUP('Données projet'!$B$10,Paramètres!$A$1:$I$89,5,0)</f>
        <v>-1.0818439477588981E-12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592.76231355549089</v>
      </c>
      <c r="AO148" s="62">
        <f t="shared" si="144"/>
        <v>200.66895551079014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193.67190662150051</v>
      </c>
      <c r="AV148" s="23">
        <f>EXP(-LN(2)/25)*AV147+(1-EXP(-LN(2)/25))/(LN(2)/25)*Calculateur!AQ148*Calculateur!AS148*VLOOKUP('Données projet'!$B$10,Paramètres!$A$1:$I$89,3,0)*0.475*44/12</f>
        <v>51.198131336552805</v>
      </c>
      <c r="AW148" s="23">
        <f>EXP(-LN(2)/2)*AW147+(1-EXP(-LN(2)/2))/(LN(2)/2)*AQ148*AT148*VLOOKUP('Données projet'!$B$10,Paramètres!$A$1:$I$89,3,0)*0.475*44/12</f>
        <v>2.0674867893513387E-12</v>
      </c>
      <c r="AX148" s="23">
        <f t="shared" si="114"/>
        <v>244.87003795805541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-2.0572770154103635E-13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316.71836722354374</v>
      </c>
      <c r="BJ148" s="62">
        <f t="shared" si="146"/>
        <v>164.34067012996618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109.71284547051457</v>
      </c>
      <c r="BQ148" s="23">
        <f>EXP(-LN(2)/25)*BQ147+(1-EXP(-LN(2)/25))/(LN(2)/25)*Calculateur!BL148*Calculateur!BN148*VLOOKUP('Données projet'!$B$11,Paramètres!$A$1:$I$89,3,0)*0.475*44/12</f>
        <v>1.9924767178921139</v>
      </c>
      <c r="BR148" s="23">
        <f>EXP(-LN(2)/2)*BR147+(1-EXP(-LN(2)/2))/(LN(2)/2)*BL148*BO148*VLOOKUP('Données projet'!$B$11,Paramètres!$A$1:$I$89,3,0)*0.475*44/12</f>
        <v>1.3357069628417623E-13</v>
      </c>
      <c r="BS148" s="24">
        <f t="shared" si="117"/>
        <v>111.70532218840681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2.8421709430404007E-14</v>
      </c>
      <c r="BZ148" s="14">
        <f>BY148*VLOOKUP('Données projet'!$B$12,Paramètres!$A$1:$I$89,3,0)*VLOOKUP('Données projet'!$B$12,Paramètres!$A$1:$I$89,5,0)</f>
        <v>3.2366642699344085E-14</v>
      </c>
      <c r="CA148" s="14">
        <f t="shared" si="147"/>
        <v>5.5446527398450045E-13</v>
      </c>
      <c r="CB148" s="22">
        <f t="shared" si="118"/>
        <v>1.0220655882243624E-12</v>
      </c>
      <c r="CC148" s="62">
        <f t="shared" si="119"/>
        <v>286.0858171917946</v>
      </c>
      <c r="CD148" s="62">
        <f ca="1">AVERAGE(OFFSET($CC$3,0,0,'Données projet'!$E$12+1,1))-AVERAGE(OFFSET($H$3,0,0,'Données projet'!$E$12+1,1))</f>
        <v>454.9779384236806</v>
      </c>
      <c r="CE148" s="62">
        <f t="shared" si="148"/>
        <v>379.32753348721906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46.93606262274016</v>
      </c>
      <c r="CL148" s="23">
        <f>EXP(-LN(2)/25)*CL147+(1-EXP(-LN(2)/25))/(LN(2)/25)*Calculateur!CG148*Calculateur!CI148*VLOOKUP('Données projet'!$B$12,Paramètres!$A$1:$I$89,3,0)*0.475*44/12</f>
        <v>15.601791789317998</v>
      </c>
      <c r="CM148" s="23">
        <f>EXP(-LN(2)/2)*CM147+(1-EXP(-LN(2)/2))/(LN(2)/2)*CG148*CJ148*VLOOKUP('Données projet'!$B$12,Paramètres!$A$1:$I$89,3,0)*0.475*44/12</f>
        <v>2.0932227902735016E-8</v>
      </c>
      <c r="CN148" s="24">
        <f t="shared" si="120"/>
        <v>62.537854432990386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252.10592533338991</v>
      </c>
      <c r="CZ148" s="62">
        <f t="shared" si="150"/>
        <v>272.71831345325313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14.063923504792495</v>
      </c>
      <c r="DH148" s="23">
        <f>EXP(-LN(2)/2)*DH147+(1-EXP(-LN(2)/2))/(LN(2)/2)*DB148*DE148*VLOOKUP('Données projet'!$B$13,Paramètres!$A$1:$I$89,3,0)*0.475*44/12</f>
        <v>2.718802880131535E-12</v>
      </c>
      <c r="DI148" s="24">
        <f t="shared" si="123"/>
        <v>14.063923504795214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423.0896575168394</v>
      </c>
      <c r="DU148" s="62">
        <f t="shared" si="152"/>
        <v>305.98537395014284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42.070914751171152</v>
      </c>
      <c r="EB148" s="23">
        <f>EXP(-LN(2)/25)*EB147+(1-EXP(-LN(2)/25))/(LN(2)/25)*Calculateur!DW148*Calculateur!DY148*VLOOKUP('Données projet'!$B$14,Paramètres!$A$1:$I$89,3,0)*0.475*44/12</f>
        <v>29.504139945892323</v>
      </c>
      <c r="EC148" s="23">
        <f>EXP(-LN(2)/2)*EC147+(1-EXP(-LN(2)/2))/(LN(2)/2)*DW148*DZ148*VLOOKUP('Données projet'!$B$14,Paramètres!$A$1:$I$89,3,0)*0.475*44/12</f>
        <v>5.3302959086961945E-13</v>
      </c>
      <c r="ED148" s="24">
        <f t="shared" si="126"/>
        <v>71.575054697064019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2.2737367544323206E-13</v>
      </c>
      <c r="EK148" s="18">
        <f>EJ148*VLOOKUP('Données projet'!$B$15,Paramètres!$A$1:$I$89,3,0)*VLOOKUP('Données projet'!$B$15,Paramètres!$A$1:$I$89,5,0)</f>
        <v>1.3596945791505279E-13</v>
      </c>
      <c r="EL148" s="14">
        <f t="shared" si="153"/>
        <v>1.9708830566360721E-12</v>
      </c>
      <c r="EM148" s="22">
        <f t="shared" si="127"/>
        <v>3.669434796176543E-12</v>
      </c>
      <c r="EN148" s="62">
        <f t="shared" si="128"/>
        <v>286.08581719179728</v>
      </c>
      <c r="EO148" s="62">
        <f ca="1">AVERAGE(OFFSET($EN$3,0,0,'Données projet'!$E$15+1,1))-AVERAGE(OFFSET($H$3,0,0,'Données projet'!$E$15+1,1))</f>
        <v>281.21543175875604</v>
      </c>
      <c r="EP148" s="62">
        <f t="shared" si="154"/>
        <v>366.68536296857428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17.736925998277425</v>
      </c>
      <c r="EW148" s="23">
        <f>EXP(-LN(2)/25)*EW147+(1-EXP(-LN(2)/25))/(LN(2)/25)*Calculateur!ER148*Calculateur!ET148*VLOOKUP('Données projet'!$B$15,Paramètres!$A$1:$I$89,3,0)*0.475*44/12</f>
        <v>3.0625399930748132</v>
      </c>
      <c r="EX148" s="23">
        <f>EXP(-LN(2)/2)*EX147+(1-EXP(-LN(2)/2))/(LN(2)/2)*ER148*EU148*VLOOKUP('Données projet'!$B$15,Paramètres!$A$1:$I$89,3,0)*0.475*44/12</f>
        <v>8.3878353823345859E-13</v>
      </c>
      <c r="EY148" s="24">
        <f t="shared" si="129"/>
        <v>20.799465991353077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2.2737367544323206E-13</v>
      </c>
      <c r="FF148" s="18">
        <f>FE148*VLOOKUP('Données projet'!$B$16,Paramètres!$A$1:$I$89,3,0)*VLOOKUP('Données projet'!$B$16,Paramètres!$A$1:$I$89,5,0)</f>
        <v>1.2710188457276673E-13</v>
      </c>
      <c r="FG148" s="14">
        <f t="shared" si="155"/>
        <v>1.856866851063998E-12</v>
      </c>
      <c r="FH148" s="22">
        <f t="shared" si="130"/>
        <v>3.4554122145673649E-12</v>
      </c>
      <c r="FI148" s="62">
        <f t="shared" si="131"/>
        <v>286.08581719179705</v>
      </c>
      <c r="FJ148" s="62">
        <f ca="1">AVERAGE(OFFSET($FI$3,0,0,'Données projet'!$E$16+1,1))-AVERAGE(OFFSET($H$3,0,0,'Données projet'!$E$16+1,1))</f>
        <v>280.9225643428145</v>
      </c>
      <c r="FK148" s="62">
        <f t="shared" si="156"/>
        <v>236.89414218053955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55.484881596548661</v>
      </c>
      <c r="FR148" s="23">
        <f>EXP(-LN(2)/25)*FR147+(1-EXP(-LN(2)/25))/(LN(2)/25)*Calculateur!FM148*Calculateur!FO148*VLOOKUP('Données projet'!$B$16,Paramètres!$A$1:$I$89,3,0)*0.475*44/12</f>
        <v>9.8018004467250215</v>
      </c>
      <c r="FS148" s="23">
        <f>EXP(-LN(2)/2)*FS147+(1-EXP(-LN(2)/2))/(LN(2)/2)*FM148*FP148*VLOOKUP('Données projet'!$B$16,Paramètres!$A$1:$I$89,3,0)*0.475*44/12</f>
        <v>2.2079800647580972E-14</v>
      </c>
      <c r="FT148" s="24">
        <f t="shared" si="132"/>
        <v>65.286682043273714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-5.6843418860808015E-13</v>
      </c>
      <c r="GA148" s="18">
        <f>FZ148*VLOOKUP('Données projet'!$B$17,Paramètres!$A$1:$I$89,3,0)*VLOOKUP('Données projet'!$B$17,Paramètres!$A$1:$I$89,5,0)</f>
        <v>-2.5124791136477147E-13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325.67421864225201</v>
      </c>
      <c r="GF148" s="62">
        <f t="shared" si="158"/>
        <v>542.01920418736745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35.90926392422346</v>
      </c>
      <c r="GM148" s="23">
        <f>EXP(-LN(2)/25)*GM147+(1-EXP(-LN(2)/25))/(LN(2)/25)*Calculateur!GH148*Calculateur!GJ148*VLOOKUP('Données projet'!$B$17,Paramètres!$A$1:$I$89,3,0)*0.475*44/12</f>
        <v>11.487609977021945</v>
      </c>
      <c r="GN148" s="23">
        <f>EXP(-LN(2)/2)*GN147+(1-EXP(-LN(2)/2))/(LN(2)/2)*GH148*GK148*VLOOKUP('Données projet'!$B$17,Paramètres!$A$1:$I$89,3,0)*0.475*44/12</f>
        <v>2.2488940326670481E-14</v>
      </c>
      <c r="GO148" s="23">
        <f t="shared" si="135"/>
        <v>47.396873901245428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-2.5579538487363607E-13</v>
      </c>
      <c r="GV148" s="18">
        <f>GU148*VLOOKUP('Données projet'!$B$18,Paramètres!$A$1:$I$89,3,0)*VLOOKUP('Données projet'!$B$18,Paramètres!$A$1:$I$89,5,0)</f>
        <v>-2.5937652026186701E-13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220.89224520315713</v>
      </c>
      <c r="HA148" s="62">
        <f t="shared" si="160"/>
        <v>141.82763623159096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-2.8421709430404007E-14</v>
      </c>
      <c r="O149" s="14">
        <f>N149*VLOOKUP('Données projet'!$B$9,Paramètres!$A$1:$I$89,3,0)*VLOOKUP('Données projet'!$B$9,Paramètres!$A$1:$I$89,5,0)</f>
        <v>-2.7489477361086758E-14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84.959354125980269</v>
      </c>
      <c r="T149" s="62">
        <f t="shared" si="142"/>
        <v>89.658970210276806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1.8927957306821359</v>
      </c>
      <c r="AB149" s="23">
        <f>EXP(-LN(2)/2)*AB148+(1-EXP(-LN(2)/2))/(LN(2)/2)*V149*Y149*VLOOKUP('Données projet'!$B$9,Paramètres!$A$1:$I$89,3,0)*0.475*44/12</f>
        <v>1.1900449676270457E-11</v>
      </c>
      <c r="AC149" s="24">
        <f t="shared" si="111"/>
        <v>1.8927957306940364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-1.1368683772161603E-12</v>
      </c>
      <c r="AJ149" s="14">
        <f>AI149*VLOOKUP('Données projet'!$B$10,Paramètres!$A$1:$I$89,3,0)*VLOOKUP('Données projet'!$B$10,Paramètres!$A$1:$I$89,5,0)</f>
        <v>-1.0818439477588981E-12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592.76231355549089</v>
      </c>
      <c r="AO149" s="62">
        <f t="shared" si="144"/>
        <v>200.66895551079014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189.87411866085174</v>
      </c>
      <c r="AV149" s="23">
        <f>EXP(-LN(2)/25)*AV148+(1-EXP(-LN(2)/25))/(LN(2)/25)*Calculateur!AQ149*Calculateur!AS149*VLOOKUP('Données projet'!$B$10,Paramètres!$A$1:$I$89,3,0)*0.475*44/12</f>
        <v>49.798115742762057</v>
      </c>
      <c r="AW149" s="23">
        <f>EXP(-LN(2)/2)*AW148+(1-EXP(-LN(2)/2))/(LN(2)/2)*AQ149*AT149*VLOOKUP('Données projet'!$B$10,Paramètres!$A$1:$I$89,3,0)*0.475*44/12</f>
        <v>1.4619339287639348E-12</v>
      </c>
      <c r="AX149" s="23">
        <f t="shared" si="114"/>
        <v>239.67223440361525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-2.0572770154103635E-13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316.71836722354374</v>
      </c>
      <c r="BJ149" s="62">
        <f t="shared" si="146"/>
        <v>164.34067012996618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107.56144348906588</v>
      </c>
      <c r="BQ149" s="23">
        <f>EXP(-LN(2)/25)*BQ148+(1-EXP(-LN(2)/25))/(LN(2)/25)*Calculateur!BL149*Calculateur!BN149*VLOOKUP('Données projet'!$B$11,Paramètres!$A$1:$I$89,3,0)*0.475*44/12</f>
        <v>1.9379923372615573</v>
      </c>
      <c r="BR149" s="23">
        <f>EXP(-LN(2)/2)*BR148+(1-EXP(-LN(2)/2))/(LN(2)/2)*BL149*BO149*VLOOKUP('Données projet'!$B$11,Paramètres!$A$1:$I$89,3,0)*0.475*44/12</f>
        <v>9.4448745110349798E-14</v>
      </c>
      <c r="BS149" s="24">
        <f t="shared" si="117"/>
        <v>109.49943582632754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2.8421709430404007E-14</v>
      </c>
      <c r="BZ149" s="14">
        <f>BY149*VLOOKUP('Données projet'!$B$12,Paramètres!$A$1:$I$89,3,0)*VLOOKUP('Données projet'!$B$12,Paramètres!$A$1:$I$89,5,0)</f>
        <v>3.2366642699344085E-14</v>
      </c>
      <c r="CA149" s="14">
        <f t="shared" si="147"/>
        <v>5.5446527398450045E-13</v>
      </c>
      <c r="CB149" s="22">
        <f t="shared" si="118"/>
        <v>1.0220655882243624E-12</v>
      </c>
      <c r="CC149" s="62">
        <f t="shared" si="119"/>
        <v>286.21154539383167</v>
      </c>
      <c r="CD149" s="62">
        <f ca="1">AVERAGE(OFFSET($CC$3,0,0,'Données projet'!$E$12+1,1))-AVERAGE(OFFSET($H$3,0,0,'Données projet'!$E$12+1,1))</f>
        <v>454.9779384236806</v>
      </c>
      <c r="CE149" s="62">
        <f t="shared" si="148"/>
        <v>379.32753348721906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46.01567506287963</v>
      </c>
      <c r="CL149" s="23">
        <f>EXP(-LN(2)/25)*CL148+(1-EXP(-LN(2)/25))/(LN(2)/25)*Calculateur!CG149*Calculateur!CI149*VLOOKUP('Données projet'!$B$12,Paramètres!$A$1:$I$89,3,0)*0.475*44/12</f>
        <v>15.175159972376525</v>
      </c>
      <c r="CM149" s="23">
        <f>EXP(-LN(2)/2)*CM148+(1-EXP(-LN(2)/2))/(LN(2)/2)*CG149*CJ149*VLOOKUP('Données projet'!$B$12,Paramètres!$A$1:$I$89,3,0)*0.475*44/12</f>
        <v>1.4801320295366195E-8</v>
      </c>
      <c r="CN149" s="24">
        <f t="shared" si="120"/>
        <v>61.19083505005748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252.10592533338991</v>
      </c>
      <c r="CZ149" s="62">
        <f t="shared" si="150"/>
        <v>272.71831345325313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13.679344776964351</v>
      </c>
      <c r="DH149" s="23">
        <f>EXP(-LN(2)/2)*DH148+(1-EXP(-LN(2)/2))/(LN(2)/2)*DB149*DE149*VLOOKUP('Données projet'!$B$13,Paramètres!$A$1:$I$89,3,0)*0.475*44/12</f>
        <v>1.9224839532505245E-12</v>
      </c>
      <c r="DI149" s="24">
        <f t="shared" si="123"/>
        <v>13.679344776966273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423.0896575168394</v>
      </c>
      <c r="DU149" s="62">
        <f t="shared" si="152"/>
        <v>305.98537395014284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41.245929773624901</v>
      </c>
      <c r="EB149" s="23">
        <f>EXP(-LN(2)/25)*EB148+(1-EXP(-LN(2)/25))/(LN(2)/25)*Calculateur!DW149*Calculateur!DY149*VLOOKUP('Données projet'!$B$14,Paramètres!$A$1:$I$89,3,0)*0.475*44/12</f>
        <v>28.697347687516611</v>
      </c>
      <c r="EC149" s="23">
        <f>EXP(-LN(2)/2)*EC148+(1-EXP(-LN(2)/2))/(LN(2)/2)*DW149*DZ149*VLOOKUP('Données projet'!$B$14,Paramètres!$A$1:$I$89,3,0)*0.475*44/12</f>
        <v>3.7690883827699895E-13</v>
      </c>
      <c r="ED149" s="24">
        <f t="shared" si="126"/>
        <v>69.943277461141903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2.2737367544323206E-13</v>
      </c>
      <c r="EK149" s="18">
        <f>EJ149*VLOOKUP('Données projet'!$B$15,Paramètres!$A$1:$I$89,3,0)*VLOOKUP('Données projet'!$B$15,Paramètres!$A$1:$I$89,5,0)</f>
        <v>1.3596945791505279E-13</v>
      </c>
      <c r="EL149" s="14">
        <f t="shared" si="153"/>
        <v>1.9708830566360721E-12</v>
      </c>
      <c r="EM149" s="22">
        <f t="shared" si="127"/>
        <v>3.669434796176543E-12</v>
      </c>
      <c r="EN149" s="62">
        <f t="shared" si="128"/>
        <v>286.21154539383434</v>
      </c>
      <c r="EO149" s="62">
        <f ca="1">AVERAGE(OFFSET($EN$3,0,0,'Données projet'!$E$15+1,1))-AVERAGE(OFFSET($H$3,0,0,'Données projet'!$E$15+1,1))</f>
        <v>281.21543175875604</v>
      </c>
      <c r="EP149" s="62">
        <f t="shared" si="154"/>
        <v>366.68536296857428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17.38911569790783</v>
      </c>
      <c r="EW149" s="23">
        <f>EXP(-LN(2)/25)*EW148+(1-EXP(-LN(2)/25))/(LN(2)/25)*Calculateur!ER149*Calculateur!ET149*VLOOKUP('Données projet'!$B$15,Paramètres!$A$1:$I$89,3,0)*0.475*44/12</f>
        <v>2.9787946759122037</v>
      </c>
      <c r="EX149" s="23">
        <f>EXP(-LN(2)/2)*EX148+(1-EXP(-LN(2)/2))/(LN(2)/2)*ER149*EU149*VLOOKUP('Données projet'!$B$15,Paramètres!$A$1:$I$89,3,0)*0.475*44/12</f>
        <v>5.9310952783252432E-13</v>
      </c>
      <c r="EY149" s="24">
        <f t="shared" si="129"/>
        <v>20.367910373820628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2.2737367544323206E-13</v>
      </c>
      <c r="FF149" s="18">
        <f>FE149*VLOOKUP('Données projet'!$B$16,Paramètres!$A$1:$I$89,3,0)*VLOOKUP('Données projet'!$B$16,Paramètres!$A$1:$I$89,5,0)</f>
        <v>1.2710188457276673E-13</v>
      </c>
      <c r="FG149" s="14">
        <f t="shared" si="155"/>
        <v>1.856866851063998E-12</v>
      </c>
      <c r="FH149" s="22">
        <f t="shared" si="130"/>
        <v>3.4554122145673649E-12</v>
      </c>
      <c r="FI149" s="62">
        <f t="shared" si="131"/>
        <v>286.21154539383411</v>
      </c>
      <c r="FJ149" s="62">
        <f ca="1">AVERAGE(OFFSET($FI$3,0,0,'Données projet'!$E$16+1,1))-AVERAGE(OFFSET($H$3,0,0,'Données projet'!$E$16+1,1))</f>
        <v>280.9225643428145</v>
      </c>
      <c r="FK149" s="62">
        <f t="shared" si="156"/>
        <v>236.89414218053955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54.396856910876451</v>
      </c>
      <c r="FR149" s="23">
        <f>EXP(-LN(2)/25)*FR148+(1-EXP(-LN(2)/25))/(LN(2)/25)*Calculateur!FM149*Calculateur!FO149*VLOOKUP('Données projet'!$B$16,Paramètres!$A$1:$I$89,3,0)*0.475*44/12</f>
        <v>9.5337696980550426</v>
      </c>
      <c r="FS149" s="23">
        <f>EXP(-LN(2)/2)*FS148+(1-EXP(-LN(2)/2))/(LN(2)/2)*FM149*FP149*VLOOKUP('Données projet'!$B$16,Paramètres!$A$1:$I$89,3,0)*0.475*44/12</f>
        <v>1.5612776765151629E-14</v>
      </c>
      <c r="FT149" s="24">
        <f t="shared" si="132"/>
        <v>63.930626608931505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-5.6843418860808015E-13</v>
      </c>
      <c r="GA149" s="18">
        <f>FZ149*VLOOKUP('Données projet'!$B$17,Paramètres!$A$1:$I$89,3,0)*VLOOKUP('Données projet'!$B$17,Paramètres!$A$1:$I$89,5,0)</f>
        <v>-2.5124791136477147E-13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325.67421864225201</v>
      </c>
      <c r="GF149" s="62">
        <f t="shared" si="158"/>
        <v>542.01920418736745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35.205105161157739</v>
      </c>
      <c r="GM149" s="23">
        <f>EXP(-LN(2)/25)*GM148+(1-EXP(-LN(2)/25))/(LN(2)/25)*Calculateur!GH149*Calculateur!GJ149*VLOOKUP('Données projet'!$B$17,Paramètres!$A$1:$I$89,3,0)*0.475*44/12</f>
        <v>11.173480678093126</v>
      </c>
      <c r="GN149" s="23">
        <f>EXP(-LN(2)/2)*GN148+(1-EXP(-LN(2)/2))/(LN(2)/2)*GH149*GK149*VLOOKUP('Données projet'!$B$17,Paramètres!$A$1:$I$89,3,0)*0.475*44/12</f>
        <v>1.5902082206688308E-14</v>
      </c>
      <c r="GO149" s="23">
        <f t="shared" si="135"/>
        <v>46.378585839250881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-2.5579538487363607E-13</v>
      </c>
      <c r="GV149" s="18">
        <f>GU149*VLOOKUP('Données projet'!$B$18,Paramètres!$A$1:$I$89,3,0)*VLOOKUP('Données projet'!$B$18,Paramètres!$A$1:$I$89,5,0)</f>
        <v>-2.5937652026186701E-13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220.89224520315713</v>
      </c>
      <c r="HA149" s="62">
        <f t="shared" si="160"/>
        <v>141.82763623159096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-2.8421709430404007E-14</v>
      </c>
      <c r="O150" s="14">
        <f>N150*VLOOKUP('Données projet'!$B$9,Paramètres!$A$1:$I$89,3,0)*VLOOKUP('Données projet'!$B$9,Paramètres!$A$1:$I$89,5,0)</f>
        <v>-2.7489477361086758E-14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84.959354125980269</v>
      </c>
      <c r="T150" s="62">
        <f t="shared" si="142"/>
        <v>89.658970210276806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1.8410371318888314</v>
      </c>
      <c r="AB150" s="23">
        <f>EXP(-LN(2)/2)*AB149+(1-EXP(-LN(2)/2))/(LN(2)/2)*V150*Y150*VLOOKUP('Données projet'!$B$9,Paramètres!$A$1:$I$89,3,0)*0.475*44/12</f>
        <v>8.414888665260094E-12</v>
      </c>
      <c r="AC150" s="24">
        <f t="shared" si="111"/>
        <v>1.8410371318972463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-1.1368683772161603E-12</v>
      </c>
      <c r="AJ150" s="14">
        <f>AI150*VLOOKUP('Données projet'!$B$10,Paramètres!$A$1:$I$89,3,0)*VLOOKUP('Données projet'!$B$10,Paramètres!$A$1:$I$89,5,0)</f>
        <v>-1.0818439477588981E-12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592.76231355549089</v>
      </c>
      <c r="AO150" s="62">
        <f t="shared" si="144"/>
        <v>200.66895551079014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186.15080300568934</v>
      </c>
      <c r="AV150" s="23">
        <f>EXP(-LN(2)/25)*AV149+(1-EXP(-LN(2)/25))/(LN(2)/25)*Calculateur!AQ150*Calculateur!AS150*VLOOKUP('Données projet'!$B$10,Paramètres!$A$1:$I$89,3,0)*0.475*44/12</f>
        <v>48.436383649007134</v>
      </c>
      <c r="AW150" s="23">
        <f>EXP(-LN(2)/2)*AW149+(1-EXP(-LN(2)/2))/(LN(2)/2)*AQ150*AT150*VLOOKUP('Données projet'!$B$10,Paramètres!$A$1:$I$89,3,0)*0.475*44/12</f>
        <v>1.0337433946756694E-12</v>
      </c>
      <c r="AX150" s="23">
        <f t="shared" si="114"/>
        <v>234.58718665469749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-2.0572770154103635E-13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316.71836722354374</v>
      </c>
      <c r="BJ150" s="62">
        <f t="shared" si="146"/>
        <v>164.34067012996618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105.45222918824777</v>
      </c>
      <c r="BQ150" s="23">
        <f>EXP(-LN(2)/25)*BQ149+(1-EXP(-LN(2)/25))/(LN(2)/25)*Calculateur!BL150*Calculateur!BN150*VLOOKUP('Données projet'!$B$11,Paramètres!$A$1:$I$89,3,0)*0.475*44/12</f>
        <v>1.8849978348845524</v>
      </c>
      <c r="BR150" s="23">
        <f>EXP(-LN(2)/2)*BR149+(1-EXP(-LN(2)/2))/(LN(2)/2)*BL150*BO150*VLOOKUP('Données projet'!$B$11,Paramètres!$A$1:$I$89,3,0)*0.475*44/12</f>
        <v>6.6785348142088115E-14</v>
      </c>
      <c r="BS150" s="24">
        <f t="shared" si="117"/>
        <v>107.3372270231324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2.8421709430404007E-14</v>
      </c>
      <c r="BZ150" s="14">
        <f>BY150*VLOOKUP('Données projet'!$B$12,Paramètres!$A$1:$I$89,3,0)*VLOOKUP('Données projet'!$B$12,Paramètres!$A$1:$I$89,5,0)</f>
        <v>3.2366642699344085E-14</v>
      </c>
      <c r="CA150" s="14">
        <f t="shared" si="147"/>
        <v>5.5446527398450045E-13</v>
      </c>
      <c r="CB150" s="22">
        <f t="shared" si="118"/>
        <v>1.0220655882243624E-12</v>
      </c>
      <c r="CC150" s="62">
        <f t="shared" si="119"/>
        <v>286.33509249264944</v>
      </c>
      <c r="CD150" s="62">
        <f ca="1">AVERAGE(OFFSET($CC$3,0,0,'Données projet'!$E$12+1,1))-AVERAGE(OFFSET($H$3,0,0,'Données projet'!$E$12+1,1))</f>
        <v>454.9779384236806</v>
      </c>
      <c r="CE150" s="62">
        <f t="shared" si="148"/>
        <v>379.32753348721906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45.113335741686981</v>
      </c>
      <c r="CL150" s="23">
        <f>EXP(-LN(2)/25)*CL149+(1-EXP(-LN(2)/25))/(LN(2)/25)*Calculateur!CG150*Calculateur!CI150*VLOOKUP('Données projet'!$B$12,Paramètres!$A$1:$I$89,3,0)*0.475*44/12</f>
        <v>14.76019442490491</v>
      </c>
      <c r="CM150" s="23">
        <f>EXP(-LN(2)/2)*CM149+(1-EXP(-LN(2)/2))/(LN(2)/2)*CG150*CJ150*VLOOKUP('Données projet'!$B$12,Paramètres!$A$1:$I$89,3,0)*0.475*44/12</f>
        <v>1.046611395136751E-8</v>
      </c>
      <c r="CN150" s="24">
        <f t="shared" si="120"/>
        <v>59.873530177058008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252.10592533338991</v>
      </c>
      <c r="CZ150" s="62">
        <f t="shared" si="150"/>
        <v>272.71831345325313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13.305282374672784</v>
      </c>
      <c r="DH150" s="23">
        <f>EXP(-LN(2)/2)*DH149+(1-EXP(-LN(2)/2))/(LN(2)/2)*DB150*DE150*VLOOKUP('Données projet'!$B$13,Paramètres!$A$1:$I$89,3,0)*0.475*44/12</f>
        <v>1.3594014400657675E-12</v>
      </c>
      <c r="DI150" s="24">
        <f t="shared" si="123"/>
        <v>13.305282374674142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423.0896575168394</v>
      </c>
      <c r="DU150" s="62">
        <f t="shared" si="152"/>
        <v>305.98537395014284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40.437122248297179</v>
      </c>
      <c r="EB150" s="23">
        <f>EXP(-LN(2)/25)*EB149+(1-EXP(-LN(2)/25))/(LN(2)/25)*Calculateur!DW150*Calculateur!DY150*VLOOKUP('Données projet'!$B$14,Paramètres!$A$1:$I$89,3,0)*0.475*44/12</f>
        <v>27.912617205873545</v>
      </c>
      <c r="EC150" s="23">
        <f>EXP(-LN(2)/2)*EC149+(1-EXP(-LN(2)/2))/(LN(2)/2)*DW150*DZ150*VLOOKUP('Données projet'!$B$14,Paramètres!$A$1:$I$89,3,0)*0.475*44/12</f>
        <v>2.6651479543480972E-13</v>
      </c>
      <c r="ED150" s="24">
        <f t="shared" si="126"/>
        <v>68.349739454171001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2.2737367544323206E-13</v>
      </c>
      <c r="EK150" s="18">
        <f>EJ150*VLOOKUP('Données projet'!$B$15,Paramètres!$A$1:$I$89,3,0)*VLOOKUP('Données projet'!$B$15,Paramètres!$A$1:$I$89,5,0)</f>
        <v>1.3596945791505279E-13</v>
      </c>
      <c r="EL150" s="14">
        <f t="shared" si="153"/>
        <v>1.9708830566360721E-12</v>
      </c>
      <c r="EM150" s="22">
        <f t="shared" si="127"/>
        <v>3.669434796176543E-12</v>
      </c>
      <c r="EN150" s="62">
        <f t="shared" si="128"/>
        <v>286.33509249265211</v>
      </c>
      <c r="EO150" s="62">
        <f ca="1">AVERAGE(OFFSET($EN$3,0,0,'Données projet'!$E$15+1,1))-AVERAGE(OFFSET($H$3,0,0,'Données projet'!$E$15+1,1))</f>
        <v>281.21543175875604</v>
      </c>
      <c r="EP150" s="62">
        <f t="shared" si="154"/>
        <v>366.68536296857428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17.048125745385146</v>
      </c>
      <c r="EW150" s="23">
        <f>EXP(-LN(2)/25)*EW149+(1-EXP(-LN(2)/25))/(LN(2)/25)*Calculateur!ER150*Calculateur!ET150*VLOOKUP('Données projet'!$B$15,Paramètres!$A$1:$I$89,3,0)*0.475*44/12</f>
        <v>2.8973393788513806</v>
      </c>
      <c r="EX150" s="23">
        <f>EXP(-LN(2)/2)*EX149+(1-EXP(-LN(2)/2))/(LN(2)/2)*ER150*EU150*VLOOKUP('Données projet'!$B$15,Paramètres!$A$1:$I$89,3,0)*0.475*44/12</f>
        <v>4.193917691167293E-13</v>
      </c>
      <c r="EY150" s="24">
        <f t="shared" si="129"/>
        <v>19.945465124236947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2.2737367544323206E-13</v>
      </c>
      <c r="FF150" s="18">
        <f>FE150*VLOOKUP('Données projet'!$B$16,Paramètres!$A$1:$I$89,3,0)*VLOOKUP('Données projet'!$B$16,Paramètres!$A$1:$I$89,5,0)</f>
        <v>1.2710188457276673E-13</v>
      </c>
      <c r="FG150" s="14">
        <f t="shared" si="155"/>
        <v>1.856866851063998E-12</v>
      </c>
      <c r="FH150" s="22">
        <f t="shared" si="130"/>
        <v>3.4554122145673649E-12</v>
      </c>
      <c r="FI150" s="62">
        <f t="shared" si="131"/>
        <v>286.33509249265188</v>
      </c>
      <c r="FJ150" s="62">
        <f ca="1">AVERAGE(OFFSET($FI$3,0,0,'Données projet'!$E$16+1,1))-AVERAGE(OFFSET($H$3,0,0,'Données projet'!$E$16+1,1))</f>
        <v>280.9225643428145</v>
      </c>
      <c r="FK150" s="62">
        <f t="shared" si="156"/>
        <v>236.89414218053955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53.330167725660743</v>
      </c>
      <c r="FR150" s="23">
        <f>EXP(-LN(2)/25)*FR149+(1-EXP(-LN(2)/25))/(LN(2)/25)*Calculateur!FM150*Calculateur!FO150*VLOOKUP('Données projet'!$B$16,Paramètres!$A$1:$I$89,3,0)*0.475*44/12</f>
        <v>9.2730682643025695</v>
      </c>
      <c r="FS150" s="23">
        <f>EXP(-LN(2)/2)*FS149+(1-EXP(-LN(2)/2))/(LN(2)/2)*FM150*FP150*VLOOKUP('Données projet'!$B$16,Paramètres!$A$1:$I$89,3,0)*0.475*44/12</f>
        <v>1.1039900323790486E-14</v>
      </c>
      <c r="FT150" s="24">
        <f t="shared" si="132"/>
        <v>62.603235989963324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-5.6843418860808015E-13</v>
      </c>
      <c r="GA150" s="18">
        <f>FZ150*VLOOKUP('Données projet'!$B$17,Paramètres!$A$1:$I$89,3,0)*VLOOKUP('Données projet'!$B$17,Paramètres!$A$1:$I$89,5,0)</f>
        <v>-2.5124791136477147E-13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325.67421864225201</v>
      </c>
      <c r="GF150" s="62">
        <f t="shared" si="158"/>
        <v>542.01920418736745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34.514754521941299</v>
      </c>
      <c r="GM150" s="23">
        <f>EXP(-LN(2)/25)*GM149+(1-EXP(-LN(2)/25))/(LN(2)/25)*Calculateur!GH150*Calculateur!GJ150*VLOOKUP('Données projet'!$B$17,Paramètres!$A$1:$I$89,3,0)*0.475*44/12</f>
        <v>10.867941261362859</v>
      </c>
      <c r="GN150" s="23">
        <f>EXP(-LN(2)/2)*GN149+(1-EXP(-LN(2)/2))/(LN(2)/2)*GH150*GK150*VLOOKUP('Données projet'!$B$17,Paramètres!$A$1:$I$89,3,0)*0.475*44/12</f>
        <v>1.124447016333524E-14</v>
      </c>
      <c r="GO150" s="23">
        <f t="shared" si="135"/>
        <v>45.382695783304172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-2.5579538487363607E-13</v>
      </c>
      <c r="GV150" s="18">
        <f>GU150*VLOOKUP('Données projet'!$B$18,Paramètres!$A$1:$I$89,3,0)*VLOOKUP('Données projet'!$B$18,Paramètres!$A$1:$I$89,5,0)</f>
        <v>-2.5937652026186701E-13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220.89224520315713</v>
      </c>
      <c r="HA150" s="62">
        <f t="shared" si="160"/>
        <v>141.82763623159096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-2.8421709430404007E-14</v>
      </c>
      <c r="O151" s="14">
        <f>N151*VLOOKUP('Données projet'!$B$9,Paramètres!$A$1:$I$89,3,0)*VLOOKUP('Données projet'!$B$9,Paramètres!$A$1:$I$89,5,0)</f>
        <v>-2.7489477361086758E-14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84.959354125980269</v>
      </c>
      <c r="T151" s="62">
        <f t="shared" si="142"/>
        <v>89.658970210276806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1.7906938747013963</v>
      </c>
      <c r="AB151" s="23">
        <f>EXP(-LN(2)/2)*AB150+(1-EXP(-LN(2)/2))/(LN(2)/2)*V151*Y151*VLOOKUP('Données projet'!$B$9,Paramètres!$A$1:$I$89,3,0)*0.475*44/12</f>
        <v>5.9502248381352283E-12</v>
      </c>
      <c r="AC151" s="24">
        <f t="shared" si="111"/>
        <v>1.7906938747073464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-1.1368683772161603E-12</v>
      </c>
      <c r="AJ151" s="14">
        <f>AI151*VLOOKUP('Données projet'!$B$10,Paramètres!$A$1:$I$89,3,0)*VLOOKUP('Données projet'!$B$10,Paramètres!$A$1:$I$89,5,0)</f>
        <v>-1.0818439477588981E-12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592.76231355549089</v>
      </c>
      <c r="AO151" s="62">
        <f t="shared" si="144"/>
        <v>200.66895551079014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182.50049929952638</v>
      </c>
      <c r="AV151" s="23">
        <f>EXP(-LN(2)/25)*AV150+(1-EXP(-LN(2)/25))/(LN(2)/25)*Calculateur!AQ151*Calculateur!AS151*VLOOKUP('Données projet'!$B$10,Paramètres!$A$1:$I$89,3,0)*0.475*44/12</f>
        <v>47.111888190966319</v>
      </c>
      <c r="AW151" s="23">
        <f>EXP(-LN(2)/2)*AW150+(1-EXP(-LN(2)/2))/(LN(2)/2)*AQ151*AT151*VLOOKUP('Données projet'!$B$10,Paramètres!$A$1:$I$89,3,0)*0.475*44/12</f>
        <v>7.3096696438196739E-13</v>
      </c>
      <c r="AX151" s="23">
        <f t="shared" si="114"/>
        <v>229.61238749049343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-2.0572770154103635E-13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316.71836722354374</v>
      </c>
      <c r="BJ151" s="62">
        <f t="shared" si="146"/>
        <v>164.34067012996618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103.38437529337502</v>
      </c>
      <c r="BQ151" s="23">
        <f>EXP(-LN(2)/25)*BQ150+(1-EXP(-LN(2)/25))/(LN(2)/25)*Calculateur!BL151*Calculateur!BN151*VLOOKUP('Données projet'!$B$11,Paramètres!$A$1:$I$89,3,0)*0.475*44/12</f>
        <v>1.8334524699619064</v>
      </c>
      <c r="BR151" s="23">
        <f>EXP(-LN(2)/2)*BR150+(1-EXP(-LN(2)/2))/(LN(2)/2)*BL151*BO151*VLOOKUP('Données projet'!$B$11,Paramètres!$A$1:$I$89,3,0)*0.475*44/12</f>
        <v>4.7224372555174899E-14</v>
      </c>
      <c r="BS151" s="24">
        <f t="shared" si="117"/>
        <v>105.21782776333697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2.8421709430404007E-14</v>
      </c>
      <c r="BZ151" s="14">
        <f>BY151*VLOOKUP('Données projet'!$B$12,Paramètres!$A$1:$I$89,3,0)*VLOOKUP('Données projet'!$B$12,Paramètres!$A$1:$I$89,5,0)</f>
        <v>3.2366642699344085E-14</v>
      </c>
      <c r="CA151" s="14">
        <f t="shared" si="147"/>
        <v>5.5446527398450045E-13</v>
      </c>
      <c r="CB151" s="22">
        <f t="shared" si="118"/>
        <v>1.0220655882243624E-12</v>
      </c>
      <c r="CC151" s="62">
        <f t="shared" si="119"/>
        <v>286.45649632551272</v>
      </c>
      <c r="CD151" s="62">
        <f ca="1">AVERAGE(OFFSET($CC$3,0,0,'Données projet'!$E$12+1,1))-AVERAGE(OFFSET($H$3,0,0,'Données projet'!$E$12+1,1))</f>
        <v>454.9779384236806</v>
      </c>
      <c r="CE151" s="62">
        <f t="shared" si="148"/>
        <v>379.32753348721906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44.228690744210283</v>
      </c>
      <c r="CL151" s="23">
        <f>EXP(-LN(2)/25)*CL150+(1-EXP(-LN(2)/25))/(LN(2)/25)*Calculateur!CG151*Calculateur!CI151*VLOOKUP('Données projet'!$B$12,Paramètres!$A$1:$I$89,3,0)*0.475*44/12</f>
        <v>14.356576132150995</v>
      </c>
      <c r="CM151" s="23">
        <f>EXP(-LN(2)/2)*CM150+(1-EXP(-LN(2)/2))/(LN(2)/2)*CG151*CJ151*VLOOKUP('Données projet'!$B$12,Paramètres!$A$1:$I$89,3,0)*0.475*44/12</f>
        <v>7.400660147683099E-9</v>
      </c>
      <c r="CN151" s="24">
        <f t="shared" si="120"/>
        <v>58.585266883761932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252.10592533338991</v>
      </c>
      <c r="CZ151" s="62">
        <f t="shared" si="150"/>
        <v>272.71831345325313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12.941448728442966</v>
      </c>
      <c r="DH151" s="23">
        <f>EXP(-LN(2)/2)*DH150+(1-EXP(-LN(2)/2))/(LN(2)/2)*DB151*DE151*VLOOKUP('Données projet'!$B$13,Paramètres!$A$1:$I$89,3,0)*0.475*44/12</f>
        <v>9.6124197662526226E-13</v>
      </c>
      <c r="DI151" s="24">
        <f t="shared" si="123"/>
        <v>12.941448728443927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423.0896575168394</v>
      </c>
      <c r="DU151" s="62">
        <f t="shared" si="152"/>
        <v>305.98537395014284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39.644174945217252</v>
      </c>
      <c r="EB151" s="23">
        <f>EXP(-LN(2)/25)*EB150+(1-EXP(-LN(2)/25))/(LN(2)/25)*Calculateur!DW151*Calculateur!DY151*VLOOKUP('Données projet'!$B$14,Paramètres!$A$1:$I$89,3,0)*0.475*44/12</f>
        <v>27.149345220518189</v>
      </c>
      <c r="EC151" s="23">
        <f>EXP(-LN(2)/2)*EC150+(1-EXP(-LN(2)/2))/(LN(2)/2)*DW151*DZ151*VLOOKUP('Données projet'!$B$14,Paramètres!$A$1:$I$89,3,0)*0.475*44/12</f>
        <v>1.8845441913849948E-13</v>
      </c>
      <c r="ED151" s="24">
        <f t="shared" si="126"/>
        <v>66.793520165735629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2.2737367544323206E-13</v>
      </c>
      <c r="EK151" s="18">
        <f>EJ151*VLOOKUP('Données projet'!$B$15,Paramètres!$A$1:$I$89,3,0)*VLOOKUP('Données projet'!$B$15,Paramètres!$A$1:$I$89,5,0)</f>
        <v>1.3596945791505279E-13</v>
      </c>
      <c r="EL151" s="14">
        <f t="shared" si="153"/>
        <v>1.9708830566360721E-12</v>
      </c>
      <c r="EM151" s="22">
        <f t="shared" si="127"/>
        <v>3.669434796176543E-12</v>
      </c>
      <c r="EN151" s="62">
        <f t="shared" si="128"/>
        <v>286.45649632551539</v>
      </c>
      <c r="EO151" s="62">
        <f ca="1">AVERAGE(OFFSET($EN$3,0,0,'Données projet'!$E$15+1,1))-AVERAGE(OFFSET($H$3,0,0,'Données projet'!$E$15+1,1))</f>
        <v>281.21543175875604</v>
      </c>
      <c r="EP151" s="62">
        <f t="shared" si="154"/>
        <v>366.68536296857428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16.713822397848098</v>
      </c>
      <c r="EW151" s="23">
        <f>EXP(-LN(2)/25)*EW150+(1-EXP(-LN(2)/25))/(LN(2)/25)*Calculateur!ER151*Calculateur!ET151*VLOOKUP('Données projet'!$B$15,Paramètres!$A$1:$I$89,3,0)*0.475*44/12</f>
        <v>2.8181114811722336</v>
      </c>
      <c r="EX151" s="23">
        <f>EXP(-LN(2)/2)*EX150+(1-EXP(-LN(2)/2))/(LN(2)/2)*ER151*EU151*VLOOKUP('Données projet'!$B$15,Paramètres!$A$1:$I$89,3,0)*0.475*44/12</f>
        <v>2.9655476391626216E-13</v>
      </c>
      <c r="EY151" s="24">
        <f t="shared" si="129"/>
        <v>19.531933879020627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2.2737367544323206E-13</v>
      </c>
      <c r="FF151" s="18">
        <f>FE151*VLOOKUP('Données projet'!$B$16,Paramètres!$A$1:$I$89,3,0)*VLOOKUP('Données projet'!$B$16,Paramètres!$A$1:$I$89,5,0)</f>
        <v>1.2710188457276673E-13</v>
      </c>
      <c r="FG151" s="14">
        <f t="shared" si="155"/>
        <v>1.856866851063998E-12</v>
      </c>
      <c r="FH151" s="22">
        <f t="shared" si="130"/>
        <v>3.4554122145673649E-12</v>
      </c>
      <c r="FI151" s="62">
        <f t="shared" si="131"/>
        <v>286.45649632551516</v>
      </c>
      <c r="FJ151" s="62">
        <f ca="1">AVERAGE(OFFSET($FI$3,0,0,'Données projet'!$E$16+1,1))-AVERAGE(OFFSET($H$3,0,0,'Données projet'!$E$16+1,1))</f>
        <v>280.9225643428145</v>
      </c>
      <c r="FK151" s="62">
        <f t="shared" si="156"/>
        <v>236.89414218053955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52.28439566475096</v>
      </c>
      <c r="FR151" s="23">
        <f>EXP(-LN(2)/25)*FR150+(1-EXP(-LN(2)/25))/(LN(2)/25)*Calculateur!FM151*Calculateur!FO151*VLOOKUP('Données projet'!$B$16,Paramètres!$A$1:$I$89,3,0)*0.475*44/12</f>
        <v>9.0194957249657488</v>
      </c>
      <c r="FS151" s="23">
        <f>EXP(-LN(2)/2)*FS150+(1-EXP(-LN(2)/2))/(LN(2)/2)*FM151*FP151*VLOOKUP('Données projet'!$B$16,Paramètres!$A$1:$I$89,3,0)*0.475*44/12</f>
        <v>7.8063883825758144E-15</v>
      </c>
      <c r="FT151" s="24">
        <f t="shared" si="132"/>
        <v>61.303891389716718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-5.6843418860808015E-13</v>
      </c>
      <c r="GA151" s="18">
        <f>FZ151*VLOOKUP('Données projet'!$B$17,Paramètres!$A$1:$I$89,3,0)*VLOOKUP('Données projet'!$B$17,Paramètres!$A$1:$I$89,5,0)</f>
        <v>-2.5124791136477147E-13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325.67421864225201</v>
      </c>
      <c r="GF151" s="62">
        <f t="shared" si="158"/>
        <v>542.01920418736745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33.837941237687581</v>
      </c>
      <c r="GM151" s="23">
        <f>EXP(-LN(2)/25)*GM150+(1-EXP(-LN(2)/25))/(LN(2)/25)*Calculateur!GH151*Calculateur!GJ151*VLOOKUP('Données projet'!$B$17,Paramètres!$A$1:$I$89,3,0)*0.475*44/12</f>
        <v>10.5707568360507</v>
      </c>
      <c r="GN151" s="23">
        <f>EXP(-LN(2)/2)*GN150+(1-EXP(-LN(2)/2))/(LN(2)/2)*GH151*GK151*VLOOKUP('Données projet'!$B$17,Paramètres!$A$1:$I$89,3,0)*0.475*44/12</f>
        <v>7.9510411033441539E-15</v>
      </c>
      <c r="GO151" s="23">
        <f t="shared" si="135"/>
        <v>44.408698073738286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-2.5579538487363607E-13</v>
      </c>
      <c r="GV151" s="18">
        <f>GU151*VLOOKUP('Données projet'!$B$18,Paramètres!$A$1:$I$89,3,0)*VLOOKUP('Données projet'!$B$18,Paramètres!$A$1:$I$89,5,0)</f>
        <v>-2.5937652026186701E-13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220.89224520315713</v>
      </c>
      <c r="HA151" s="62">
        <f t="shared" si="160"/>
        <v>141.82763623159096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-2.8421709430404007E-14</v>
      </c>
      <c r="O152" s="14">
        <f>N152*VLOOKUP('Données projet'!$B$9,Paramètres!$A$1:$I$89,3,0)*VLOOKUP('Données projet'!$B$9,Paramètres!$A$1:$I$89,5,0)</f>
        <v>-2.7489477361086758E-14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84.959354125980269</v>
      </c>
      <c r="T152" s="62">
        <f t="shared" si="142"/>
        <v>89.658970210276806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1.7417272565291884</v>
      </c>
      <c r="AB152" s="23">
        <f>EXP(-LN(2)/2)*AB151+(1-EXP(-LN(2)/2))/(LN(2)/2)*V152*Y152*VLOOKUP('Données projet'!$B$9,Paramètres!$A$1:$I$89,3,0)*0.475*44/12</f>
        <v>4.207444332630047E-12</v>
      </c>
      <c r="AC152" s="24">
        <f t="shared" si="111"/>
        <v>1.7417272565333959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-1.1368683772161603E-12</v>
      </c>
      <c r="AJ152" s="14">
        <f>AI152*VLOOKUP('Données projet'!$B$10,Paramètres!$A$1:$I$89,3,0)*VLOOKUP('Données projet'!$B$10,Paramètres!$A$1:$I$89,5,0)</f>
        <v>-1.0818439477588981E-12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592.76231355549089</v>
      </c>
      <c r="AO152" s="62">
        <f t="shared" si="144"/>
        <v>200.66895551079014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178.92177582257585</v>
      </c>
      <c r="AV152" s="23">
        <f>EXP(-LN(2)/25)*AV151+(1-EXP(-LN(2)/25))/(LN(2)/25)*Calculateur!AQ152*Calculateur!AS152*VLOOKUP('Données projet'!$B$10,Paramètres!$A$1:$I$89,3,0)*0.475*44/12</f>
        <v>45.823611130877822</v>
      </c>
      <c r="AW152" s="23">
        <f>EXP(-LN(2)/2)*AW151+(1-EXP(-LN(2)/2))/(LN(2)/2)*AQ152*AT152*VLOOKUP('Données projet'!$B$10,Paramètres!$A$1:$I$89,3,0)*0.475*44/12</f>
        <v>5.1687169733783468E-13</v>
      </c>
      <c r="AX152" s="23">
        <f t="shared" si="114"/>
        <v>224.74538695345419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-2.0572770154103635E-13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316.71836722354374</v>
      </c>
      <c r="BJ152" s="62">
        <f t="shared" si="146"/>
        <v>164.34067012996618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101.35707075211438</v>
      </c>
      <c r="BQ152" s="23">
        <f>EXP(-LN(2)/25)*BQ151+(1-EXP(-LN(2)/25))/(LN(2)/25)*Calculateur!BL152*Calculateur!BN152*VLOOKUP('Données projet'!$B$11,Paramètres!$A$1:$I$89,3,0)*0.475*44/12</f>
        <v>1.783316615753723</v>
      </c>
      <c r="BR152" s="23">
        <f>EXP(-LN(2)/2)*BR151+(1-EXP(-LN(2)/2))/(LN(2)/2)*BL152*BO152*VLOOKUP('Données projet'!$B$11,Paramètres!$A$1:$I$89,3,0)*0.475*44/12</f>
        <v>3.3392674071044057E-14</v>
      </c>
      <c r="BS152" s="24">
        <f t="shared" si="117"/>
        <v>103.14038736786813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2.8421709430404007E-14</v>
      </c>
      <c r="BZ152" s="14">
        <f>BY152*VLOOKUP('Données projet'!$B$12,Paramètres!$A$1:$I$89,3,0)*VLOOKUP('Données projet'!$B$12,Paramètres!$A$1:$I$89,5,0)</f>
        <v>3.2366642699344085E-14</v>
      </c>
      <c r="CA152" s="14">
        <f t="shared" si="147"/>
        <v>5.5446527398450045E-13</v>
      </c>
      <c r="CB152" s="22">
        <f t="shared" si="118"/>
        <v>1.0220655882243624E-12</v>
      </c>
      <c r="CC152" s="62">
        <f t="shared" si="119"/>
        <v>286.57579407329411</v>
      </c>
      <c r="CD152" s="62">
        <f ca="1">AVERAGE(OFFSET($CC$3,0,0,'Données projet'!$E$12+1,1))-AVERAGE(OFFSET($H$3,0,0,'Données projet'!$E$12+1,1))</f>
        <v>454.9779384236806</v>
      </c>
      <c r="CE152" s="62">
        <f t="shared" si="148"/>
        <v>379.32753348721906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43.361393095553929</v>
      </c>
      <c r="CL152" s="23">
        <f>EXP(-LN(2)/25)*CL151+(1-EXP(-LN(2)/25))/(LN(2)/25)*Calculateur!CG152*Calculateur!CI152*VLOOKUP('Données projet'!$B$12,Paramètres!$A$1:$I$89,3,0)*0.475*44/12</f>
        <v>13.963994802837799</v>
      </c>
      <c r="CM152" s="23">
        <f>EXP(-LN(2)/2)*CM151+(1-EXP(-LN(2)/2))/(LN(2)/2)*CG152*CJ152*VLOOKUP('Données projet'!$B$12,Paramètres!$A$1:$I$89,3,0)*0.475*44/12</f>
        <v>5.2330569756837558E-9</v>
      </c>
      <c r="CN152" s="24">
        <f t="shared" si="120"/>
        <v>57.32538790362478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252.10592533338991</v>
      </c>
      <c r="CZ152" s="62">
        <f t="shared" si="150"/>
        <v>272.71831345325313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12.587564132402482</v>
      </c>
      <c r="DH152" s="23">
        <f>EXP(-LN(2)/2)*DH151+(1-EXP(-LN(2)/2))/(LN(2)/2)*DB152*DE152*VLOOKUP('Données projet'!$B$13,Paramètres!$A$1:$I$89,3,0)*0.475*44/12</f>
        <v>6.7970072003288375E-13</v>
      </c>
      <c r="DI152" s="24">
        <f t="shared" si="123"/>
        <v>12.587564132403163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423.0896575168394</v>
      </c>
      <c r="DU152" s="62">
        <f t="shared" si="152"/>
        <v>305.98537395014284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38.866776855100625</v>
      </c>
      <c r="EB152" s="23">
        <f>EXP(-LN(2)/25)*EB151+(1-EXP(-LN(2)/25))/(LN(2)/25)*Calculateur!DW152*Calculateur!DY152*VLOOKUP('Données projet'!$B$14,Paramètres!$A$1:$I$89,3,0)*0.475*44/12</f>
        <v>26.406944947741106</v>
      </c>
      <c r="EC152" s="23">
        <f>EXP(-LN(2)/2)*EC151+(1-EXP(-LN(2)/2))/(LN(2)/2)*DW152*DZ152*VLOOKUP('Données projet'!$B$14,Paramètres!$A$1:$I$89,3,0)*0.475*44/12</f>
        <v>1.3325739771740486E-13</v>
      </c>
      <c r="ED152" s="24">
        <f t="shared" si="126"/>
        <v>65.273721802841862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2.2737367544323206E-13</v>
      </c>
      <c r="EK152" s="18">
        <f>EJ152*VLOOKUP('Données projet'!$B$15,Paramètres!$A$1:$I$89,3,0)*VLOOKUP('Données projet'!$B$15,Paramètres!$A$1:$I$89,5,0)</f>
        <v>1.3596945791505279E-13</v>
      </c>
      <c r="EL152" s="14">
        <f t="shared" si="153"/>
        <v>1.9708830566360721E-12</v>
      </c>
      <c r="EM152" s="22">
        <f t="shared" si="127"/>
        <v>3.669434796176543E-12</v>
      </c>
      <c r="EN152" s="62">
        <f t="shared" si="128"/>
        <v>286.57579407329678</v>
      </c>
      <c r="EO152" s="62">
        <f ca="1">AVERAGE(OFFSET($EN$3,0,0,'Données projet'!$E$15+1,1))-AVERAGE(OFFSET($H$3,0,0,'Données projet'!$E$15+1,1))</f>
        <v>281.21543175875604</v>
      </c>
      <c r="EP152" s="62">
        <f t="shared" si="154"/>
        <v>366.68536296857428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16.386074535051343</v>
      </c>
      <c r="EW152" s="23">
        <f>EXP(-LN(2)/25)*EW151+(1-EXP(-LN(2)/25))/(LN(2)/25)*Calculateur!ER152*Calculateur!ET152*VLOOKUP('Données projet'!$B$15,Paramètres!$A$1:$I$89,3,0)*0.475*44/12</f>
        <v>2.7410500745215369</v>
      </c>
      <c r="EX152" s="23">
        <f>EXP(-LN(2)/2)*EX151+(1-EXP(-LN(2)/2))/(LN(2)/2)*ER152*EU152*VLOOKUP('Données projet'!$B$15,Paramètres!$A$1:$I$89,3,0)*0.475*44/12</f>
        <v>2.0969588455836465E-13</v>
      </c>
      <c r="EY152" s="24">
        <f t="shared" si="129"/>
        <v>19.127124609573091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2.2737367544323206E-13</v>
      </c>
      <c r="FF152" s="18">
        <f>FE152*VLOOKUP('Données projet'!$B$16,Paramètres!$A$1:$I$89,3,0)*VLOOKUP('Données projet'!$B$16,Paramètres!$A$1:$I$89,5,0)</f>
        <v>1.2710188457276673E-13</v>
      </c>
      <c r="FG152" s="14">
        <f t="shared" si="155"/>
        <v>1.856866851063998E-12</v>
      </c>
      <c r="FH152" s="22">
        <f t="shared" si="130"/>
        <v>3.4554122145673649E-12</v>
      </c>
      <c r="FI152" s="62">
        <f t="shared" si="131"/>
        <v>286.57579407329655</v>
      </c>
      <c r="FJ152" s="62">
        <f ca="1">AVERAGE(OFFSET($FI$3,0,0,'Données projet'!$E$16+1,1))-AVERAGE(OFFSET($H$3,0,0,'Données projet'!$E$16+1,1))</f>
        <v>280.9225643428145</v>
      </c>
      <c r="FK152" s="62">
        <f t="shared" si="156"/>
        <v>236.89414218053955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51.259130556097638</v>
      </c>
      <c r="FR152" s="23">
        <f>EXP(-LN(2)/25)*FR151+(1-EXP(-LN(2)/25))/(LN(2)/25)*Calculateur!FM152*Calculateur!FO152*VLOOKUP('Données projet'!$B$16,Paramètres!$A$1:$I$89,3,0)*0.475*44/12</f>
        <v>8.7728571400518938</v>
      </c>
      <c r="FS152" s="23">
        <f>EXP(-LN(2)/2)*FS151+(1-EXP(-LN(2)/2))/(LN(2)/2)*FM152*FP152*VLOOKUP('Données projet'!$B$16,Paramètres!$A$1:$I$89,3,0)*0.475*44/12</f>
        <v>5.5199501618952431E-15</v>
      </c>
      <c r="FT152" s="24">
        <f t="shared" si="132"/>
        <v>60.031987696149535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-5.6843418860808015E-13</v>
      </c>
      <c r="GA152" s="18">
        <f>FZ152*VLOOKUP('Données projet'!$B$17,Paramètres!$A$1:$I$89,3,0)*VLOOKUP('Données projet'!$B$17,Paramètres!$A$1:$I$89,5,0)</f>
        <v>-2.5124791136477147E-13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325.67421864225201</v>
      </c>
      <c r="GF152" s="62">
        <f t="shared" si="158"/>
        <v>542.01920418736745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33.174399849122743</v>
      </c>
      <c r="GM152" s="23">
        <f>EXP(-LN(2)/25)*GM151+(1-EXP(-LN(2)/25))/(LN(2)/25)*Calculateur!GH152*Calculateur!GJ152*VLOOKUP('Données projet'!$B$17,Paramètres!$A$1:$I$89,3,0)*0.475*44/12</f>
        <v>10.281698934476951</v>
      </c>
      <c r="GN152" s="23">
        <f>EXP(-LN(2)/2)*GN151+(1-EXP(-LN(2)/2))/(LN(2)/2)*GH152*GK152*VLOOKUP('Données projet'!$B$17,Paramètres!$A$1:$I$89,3,0)*0.475*44/12</f>
        <v>5.6222350816676201E-15</v>
      </c>
      <c r="GO152" s="23">
        <f t="shared" si="135"/>
        <v>43.4560987835997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-2.5579538487363607E-13</v>
      </c>
      <c r="GV152" s="18">
        <f>GU152*VLOOKUP('Données projet'!$B$18,Paramètres!$A$1:$I$89,3,0)*VLOOKUP('Données projet'!$B$18,Paramètres!$A$1:$I$89,5,0)</f>
        <v>-2.5937652026186701E-13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220.89224520315713</v>
      </c>
      <c r="HA152" s="62">
        <f t="shared" si="160"/>
        <v>141.82763623159096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-2.8421709430404007E-14</v>
      </c>
      <c r="O153" s="14">
        <f>N153*VLOOKUP('Données projet'!$B$9,Paramètres!$A$1:$I$89,3,0)*VLOOKUP('Données projet'!$B$9,Paramètres!$A$1:$I$89,5,0)</f>
        <v>-2.7489477361086758E-14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84.959354125980269</v>
      </c>
      <c r="T153" s="62">
        <f t="shared" si="142"/>
        <v>89.658970210276806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1.6940996331059421</v>
      </c>
      <c r="AB153" s="23">
        <f>EXP(-LN(2)/2)*AB152+(1-EXP(-LN(2)/2))/(LN(2)/2)*V153*Y153*VLOOKUP('Données projet'!$B$9,Paramètres!$A$1:$I$89,3,0)*0.475*44/12</f>
        <v>2.9751124190676141E-12</v>
      </c>
      <c r="AC153" s="24">
        <f t="shared" si="111"/>
        <v>1.6940996331089173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-1.1368683772161603E-12</v>
      </c>
      <c r="AJ153" s="14">
        <f>AI153*VLOOKUP('Données projet'!$B$10,Paramètres!$A$1:$I$89,3,0)*VLOOKUP('Données projet'!$B$10,Paramètres!$A$1:$I$89,5,0)</f>
        <v>-1.0818439477588981E-12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592.76231355549089</v>
      </c>
      <c r="AO153" s="62">
        <f t="shared" si="144"/>
        <v>200.66895551079014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175.41322893020256</v>
      </c>
      <c r="AV153" s="23">
        <f>EXP(-LN(2)/25)*AV152+(1-EXP(-LN(2)/25))/(LN(2)/25)*Calculateur!AQ153*Calculateur!AS153*VLOOKUP('Données projet'!$B$10,Paramètres!$A$1:$I$89,3,0)*0.475*44/12</f>
        <v>44.570562074744991</v>
      </c>
      <c r="AW153" s="23">
        <f>EXP(-LN(2)/2)*AW152+(1-EXP(-LN(2)/2))/(LN(2)/2)*AQ153*AT153*VLOOKUP('Données projet'!$B$10,Paramètres!$A$1:$I$89,3,0)*0.475*44/12</f>
        <v>3.654834821909837E-13</v>
      </c>
      <c r="AX153" s="23">
        <f t="shared" si="114"/>
        <v>219.98379100494793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-2.0572770154103635E-13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316.71836722354374</v>
      </c>
      <c r="BJ153" s="62">
        <f t="shared" si="146"/>
        <v>164.34067012996618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99.369520416374186</v>
      </c>
      <c r="BQ153" s="23">
        <f>EXP(-LN(2)/25)*BQ152+(1-EXP(-LN(2)/25))/(LN(2)/25)*Calculateur!BL153*Calculateur!BN153*VLOOKUP('Données projet'!$B$11,Paramètres!$A$1:$I$89,3,0)*0.475*44/12</f>
        <v>1.7345517291153925</v>
      </c>
      <c r="BR153" s="23">
        <f>EXP(-LN(2)/2)*BR152+(1-EXP(-LN(2)/2))/(LN(2)/2)*BL153*BO153*VLOOKUP('Données projet'!$B$11,Paramètres!$A$1:$I$89,3,0)*0.475*44/12</f>
        <v>2.3612186277587449E-14</v>
      </c>
      <c r="BS153" s="24">
        <f t="shared" si="117"/>
        <v>101.10407214548961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2.8421709430404007E-14</v>
      </c>
      <c r="BZ153" s="14">
        <f>BY153*VLOOKUP('Données projet'!$B$12,Paramètres!$A$1:$I$89,3,0)*VLOOKUP('Données projet'!$B$12,Paramètres!$A$1:$I$89,5,0)</f>
        <v>3.2366642699344085E-14</v>
      </c>
      <c r="CA153" s="14">
        <f t="shared" si="147"/>
        <v>5.5446527398450045E-13</v>
      </c>
      <c r="CB153" s="22">
        <f t="shared" si="118"/>
        <v>1.0220655882243624E-12</v>
      </c>
      <c r="CC153" s="62">
        <f t="shared" si="119"/>
        <v>286.69302227186137</v>
      </c>
      <c r="CD153" s="62">
        <f ca="1">AVERAGE(OFFSET($CC$3,0,0,'Données projet'!$E$12+1,1))-AVERAGE(OFFSET($H$3,0,0,'Données projet'!$E$12+1,1))</f>
        <v>454.9779384236806</v>
      </c>
      <c r="CE153" s="62">
        <f t="shared" si="148"/>
        <v>379.32753348721906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42.5111026247884</v>
      </c>
      <c r="CL153" s="23">
        <f>EXP(-LN(2)/25)*CL152+(1-EXP(-LN(2)/25))/(LN(2)/25)*Calculateur!CG153*Calculateur!CI153*VLOOKUP('Données projet'!$B$12,Paramètres!$A$1:$I$89,3,0)*0.475*44/12</f>
        <v>13.582148630619628</v>
      </c>
      <c r="CM153" s="23">
        <f>EXP(-LN(2)/2)*CM152+(1-EXP(-LN(2)/2))/(LN(2)/2)*CG153*CJ153*VLOOKUP('Données projet'!$B$12,Paramètres!$A$1:$I$89,3,0)*0.475*44/12</f>
        <v>3.7003300738415499E-9</v>
      </c>
      <c r="CN153" s="24">
        <f t="shared" si="120"/>
        <v>56.093251259108357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252.10592533338991</v>
      </c>
      <c r="CZ153" s="62">
        <f t="shared" si="150"/>
        <v>272.71831345325313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12.243356529250708</v>
      </c>
      <c r="DH153" s="23">
        <f>EXP(-LN(2)/2)*DH152+(1-EXP(-LN(2)/2))/(LN(2)/2)*DB153*DE153*VLOOKUP('Données projet'!$B$13,Paramètres!$A$1:$I$89,3,0)*0.475*44/12</f>
        <v>4.8062098831263113E-13</v>
      </c>
      <c r="DI153" s="24">
        <f t="shared" si="123"/>
        <v>12.243356529251189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423.0896575168394</v>
      </c>
      <c r="DU153" s="62">
        <f t="shared" si="152"/>
        <v>305.98537395014284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38.104623067365168</v>
      </c>
      <c r="EB153" s="23">
        <f>EXP(-LN(2)/25)*EB152+(1-EXP(-LN(2)/25))/(LN(2)/25)*Calculateur!DW153*Calculateur!DY153*VLOOKUP('Données projet'!$B$14,Paramètres!$A$1:$I$89,3,0)*0.475*44/12</f>
        <v>25.684845649464243</v>
      </c>
      <c r="EC153" s="23">
        <f>EXP(-LN(2)/2)*EC152+(1-EXP(-LN(2)/2))/(LN(2)/2)*DW153*DZ153*VLOOKUP('Données projet'!$B$14,Paramètres!$A$1:$I$89,3,0)*0.475*44/12</f>
        <v>9.4227209569249738E-14</v>
      </c>
      <c r="ED153" s="24">
        <f t="shared" si="126"/>
        <v>63.789468716829504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2.2737367544323206E-13</v>
      </c>
      <c r="EK153" s="18">
        <f>EJ153*VLOOKUP('Données projet'!$B$15,Paramètres!$A$1:$I$89,3,0)*VLOOKUP('Données projet'!$B$15,Paramètres!$A$1:$I$89,5,0)</f>
        <v>1.3596945791505279E-13</v>
      </c>
      <c r="EL153" s="14">
        <f t="shared" si="153"/>
        <v>1.9708830566360721E-12</v>
      </c>
      <c r="EM153" s="22">
        <f t="shared" si="127"/>
        <v>3.669434796176543E-12</v>
      </c>
      <c r="EN153" s="62">
        <f t="shared" si="128"/>
        <v>286.69302227186404</v>
      </c>
      <c r="EO153" s="62">
        <f ca="1">AVERAGE(OFFSET($EN$3,0,0,'Données projet'!$E$15+1,1))-AVERAGE(OFFSET($H$3,0,0,'Données projet'!$E$15+1,1))</f>
        <v>281.21543175875604</v>
      </c>
      <c r="EP153" s="62">
        <f t="shared" si="154"/>
        <v>366.68536296857428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16.064753607937575</v>
      </c>
      <c r="EW153" s="23">
        <f>EXP(-LN(2)/25)*EW152+(1-EXP(-LN(2)/25))/(LN(2)/25)*Calculateur!ER153*Calculateur!ET153*VLOOKUP('Données projet'!$B$15,Paramètres!$A$1:$I$89,3,0)*0.475*44/12</f>
        <v>2.666095916088187</v>
      </c>
      <c r="EX153" s="23">
        <f>EXP(-LN(2)/2)*EX152+(1-EXP(-LN(2)/2))/(LN(2)/2)*ER153*EU153*VLOOKUP('Données projet'!$B$15,Paramètres!$A$1:$I$89,3,0)*0.475*44/12</f>
        <v>1.4827738195813108E-13</v>
      </c>
      <c r="EY153" s="24">
        <f t="shared" si="129"/>
        <v>18.730849524025913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2.2737367544323206E-13</v>
      </c>
      <c r="FF153" s="18">
        <f>FE153*VLOOKUP('Données projet'!$B$16,Paramètres!$A$1:$I$89,3,0)*VLOOKUP('Données projet'!$B$16,Paramètres!$A$1:$I$89,5,0)</f>
        <v>1.2710188457276673E-13</v>
      </c>
      <c r="FG153" s="14">
        <f t="shared" si="155"/>
        <v>1.856866851063998E-12</v>
      </c>
      <c r="FH153" s="22">
        <f t="shared" si="130"/>
        <v>3.4554122145673649E-12</v>
      </c>
      <c r="FI153" s="62">
        <f t="shared" si="131"/>
        <v>286.69302227186381</v>
      </c>
      <c r="FJ153" s="62">
        <f ca="1">AVERAGE(OFFSET($FI$3,0,0,'Données projet'!$E$16+1,1))-AVERAGE(OFFSET($H$3,0,0,'Données projet'!$E$16+1,1))</f>
        <v>280.9225643428145</v>
      </c>
      <c r="FK153" s="62">
        <f t="shared" si="156"/>
        <v>236.89414218053955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50.253970270875044</v>
      </c>
      <c r="FR153" s="23">
        <f>EXP(-LN(2)/25)*FR152+(1-EXP(-LN(2)/25))/(LN(2)/25)*Calculateur!FM153*Calculateur!FO153*VLOOKUP('Données projet'!$B$16,Paramètres!$A$1:$I$89,3,0)*0.475*44/12</f>
        <v>8.5329629002126683</v>
      </c>
      <c r="FS153" s="23">
        <f>EXP(-LN(2)/2)*FS152+(1-EXP(-LN(2)/2))/(LN(2)/2)*FM153*FP153*VLOOKUP('Données projet'!$B$16,Paramètres!$A$1:$I$89,3,0)*0.475*44/12</f>
        <v>3.9031941912879072E-15</v>
      </c>
      <c r="FT153" s="24">
        <f t="shared" si="132"/>
        <v>58.786933171087718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-5.6843418860808015E-13</v>
      </c>
      <c r="GA153" s="18">
        <f>FZ153*VLOOKUP('Données projet'!$B$17,Paramètres!$A$1:$I$89,3,0)*VLOOKUP('Données projet'!$B$17,Paramètres!$A$1:$I$89,5,0)</f>
        <v>-2.5124791136477147E-13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325.67421864225201</v>
      </c>
      <c r="GF153" s="62">
        <f t="shared" si="158"/>
        <v>542.01920418736745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32.523870102467377</v>
      </c>
      <c r="GM153" s="23">
        <f>EXP(-LN(2)/25)*GM152+(1-EXP(-LN(2)/25))/(LN(2)/25)*Calculateur!GH153*Calculateur!GJ153*VLOOKUP('Données projet'!$B$17,Paramètres!$A$1:$I$89,3,0)*0.475*44/12</f>
        <v>10.000545336422631</v>
      </c>
      <c r="GN153" s="23">
        <f>EXP(-LN(2)/2)*GN152+(1-EXP(-LN(2)/2))/(LN(2)/2)*GH153*GK153*VLOOKUP('Données projet'!$B$17,Paramètres!$A$1:$I$89,3,0)*0.475*44/12</f>
        <v>3.9755205516720769E-15</v>
      </c>
      <c r="GO153" s="23">
        <f t="shared" si="135"/>
        <v>42.524415438890017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-2.5579538487363607E-13</v>
      </c>
      <c r="GV153" s="18">
        <f>GU153*VLOOKUP('Données projet'!$B$18,Paramètres!$A$1:$I$89,3,0)*VLOOKUP('Données projet'!$B$18,Paramètres!$A$1:$I$89,5,0)</f>
        <v>-2.5937652026186701E-13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220.89224520315713</v>
      </c>
      <c r="HA153" s="62">
        <f t="shared" si="160"/>
        <v>141.82763623159096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-2.8421709430404007E-14</v>
      </c>
      <c r="O154" s="14">
        <f>N154*VLOOKUP('Données projet'!$B$9,Paramètres!$A$1:$I$89,3,0)*VLOOKUP('Données projet'!$B$9,Paramètres!$A$1:$I$89,5,0)</f>
        <v>-2.7489477361086758E-14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84.959354125980269</v>
      </c>
      <c r="T154" s="62">
        <f t="shared" si="142"/>
        <v>89.658970210276806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1.6477743895498325</v>
      </c>
      <c r="AB154" s="23">
        <f>EXP(-LN(2)/2)*AB153+(1-EXP(-LN(2)/2))/(LN(2)/2)*V154*Y154*VLOOKUP('Données projet'!$B$9,Paramètres!$A$1:$I$89,3,0)*0.475*44/12</f>
        <v>2.1037221663150235E-12</v>
      </c>
      <c r="AC154" s="24">
        <f t="shared" ref="AC154:AC203" si="163">SUM(Z154:AB154)</f>
        <v>1.6477743895519361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-1.1368683772161603E-12</v>
      </c>
      <c r="AJ154" s="14">
        <f>AI154*VLOOKUP('Données projet'!$B$10,Paramètres!$A$1:$I$89,3,0)*VLOOKUP('Données projet'!$B$10,Paramètres!$A$1:$I$89,5,0)</f>
        <v>-1.0818439477588981E-12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592.76231355549089</v>
      </c>
      <c r="AO154" s="62">
        <f t="shared" si="144"/>
        <v>200.66895551079014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171.97348250238642</v>
      </c>
      <c r="AV154" s="23">
        <f>EXP(-LN(2)/25)*AV153+(1-EXP(-LN(2)/25))/(LN(2)/25)*Calculateur!AQ154*Calculateur!AS154*VLOOKUP('Données projet'!$B$10,Paramètres!$A$1:$I$89,3,0)*0.475*44/12</f>
        <v>43.351777710947097</v>
      </c>
      <c r="AW154" s="23">
        <f>EXP(-LN(2)/2)*AW153+(1-EXP(-LN(2)/2))/(LN(2)/2)*AQ154*AT154*VLOOKUP('Données projet'!$B$10,Paramètres!$A$1:$I$89,3,0)*0.475*44/12</f>
        <v>2.5843584866891734E-13</v>
      </c>
      <c r="AX154" s="23">
        <f t="shared" ref="AX154:AX203" si="166">SUM(AU154:AW154)</f>
        <v>215.32526021333376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-2.0572770154103635E-13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316.71836722354374</v>
      </c>
      <c r="BJ154" s="62">
        <f t="shared" si="146"/>
        <v>164.34067012996618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97.420944730431856</v>
      </c>
      <c r="BQ154" s="23">
        <f>EXP(-LN(2)/25)*BQ153+(1-EXP(-LN(2)/25))/(LN(2)/25)*Calculateur!BL154*Calculateur!BN154*VLOOKUP('Données projet'!$B$11,Paramètres!$A$1:$I$89,3,0)*0.475*44/12</f>
        <v>1.687120320866621</v>
      </c>
      <c r="BR154" s="23">
        <f>EXP(-LN(2)/2)*BR153+(1-EXP(-LN(2)/2))/(LN(2)/2)*BL154*BO154*VLOOKUP('Données projet'!$B$11,Paramètres!$A$1:$I$89,3,0)*0.475*44/12</f>
        <v>1.6696337035522029E-14</v>
      </c>
      <c r="BS154" s="24">
        <f t="shared" ref="BS154:BS203" si="169">SUM(BP154:BR154)</f>
        <v>99.108065051298496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2.8421709430404007E-14</v>
      </c>
      <c r="BZ154" s="14">
        <f>BY154*VLOOKUP('Données projet'!$B$12,Paramètres!$A$1:$I$89,3,0)*VLOOKUP('Données projet'!$B$12,Paramètres!$A$1:$I$89,5,0)</f>
        <v>3.2366642699344085E-14</v>
      </c>
      <c r="CA154" s="14">
        <f t="shared" ref="CA154:CA203" si="170">EXP(-1.0587+0.8836*LN(BZ154)+0.284)</f>
        <v>5.5446527398450045E-13</v>
      </c>
      <c r="CB154" s="22">
        <f t="shared" ref="CB154:CB203" si="171">(BZ154+CA154)*0.475*44/12</f>
        <v>1.0220655882243624E-12</v>
      </c>
      <c r="CC154" s="62">
        <f t="shared" si="119"/>
        <v>286.80821682326638</v>
      </c>
      <c r="CD154" s="62">
        <f ca="1">AVERAGE(OFFSET($CC$3,0,0,'Données projet'!$E$12+1,1))-AVERAGE(OFFSET($H$3,0,0,'Données projet'!$E$12+1,1))</f>
        <v>454.9779384236806</v>
      </c>
      <c r="CE154" s="62">
        <f t="shared" si="148"/>
        <v>379.32753348721906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41.677485831528607</v>
      </c>
      <c r="CL154" s="23">
        <f>EXP(-LN(2)/25)*CL153+(1-EXP(-LN(2)/25))/(LN(2)/25)*Calculateur!CG154*Calculateur!CI154*VLOOKUP('Données projet'!$B$12,Paramètres!$A$1:$I$89,3,0)*0.475*44/12</f>
        <v>13.210744062061179</v>
      </c>
      <c r="CM154" s="23">
        <f>EXP(-LN(2)/2)*CM153+(1-EXP(-LN(2)/2))/(LN(2)/2)*CG154*CJ154*VLOOKUP('Données projet'!$B$12,Paramètres!$A$1:$I$89,3,0)*0.475*44/12</f>
        <v>2.6165284878418783E-9</v>
      </c>
      <c r="CN154" s="24">
        <f t="shared" ref="CN154:CN203" si="172">SUM(CK154:CM154)</f>
        <v>54.888229896206319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252.10592533338991</v>
      </c>
      <c r="CZ154" s="62">
        <f t="shared" si="150"/>
        <v>272.71831345325313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11.908561301108209</v>
      </c>
      <c r="DH154" s="23">
        <f>EXP(-LN(2)/2)*DH153+(1-EXP(-LN(2)/2))/(LN(2)/2)*DB154*DE154*VLOOKUP('Données projet'!$B$13,Paramètres!$A$1:$I$89,3,0)*0.475*44/12</f>
        <v>3.3985036001644188E-13</v>
      </c>
      <c r="DI154" s="24">
        <f t="shared" ref="DI154:DI203" si="175">SUM(DF154:DH154)</f>
        <v>11.908561301108548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423.0896575168394</v>
      </c>
      <c r="DU154" s="62">
        <f t="shared" si="152"/>
        <v>305.98537395014284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37.357414650539297</v>
      </c>
      <c r="EB154" s="23">
        <f>EXP(-LN(2)/25)*EB153+(1-EXP(-LN(2)/25))/(LN(2)/25)*Calculateur!DW154*Calculateur!DY154*VLOOKUP('Données projet'!$B$14,Paramètres!$A$1:$I$89,3,0)*0.475*44/12</f>
        <v>24.982492194472314</v>
      </c>
      <c r="EC154" s="23">
        <f>EXP(-LN(2)/2)*EC153+(1-EXP(-LN(2)/2))/(LN(2)/2)*DW154*DZ154*VLOOKUP('Données projet'!$B$14,Paramètres!$A$1:$I$89,3,0)*0.475*44/12</f>
        <v>6.6628698858702431E-14</v>
      </c>
      <c r="ED154" s="24">
        <f t="shared" ref="ED154:ED203" si="178">SUM(EA154:EC154)</f>
        <v>62.339906845011676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2.2737367544323206E-13</v>
      </c>
      <c r="EK154" s="18">
        <f>EJ154*VLOOKUP('Données projet'!$B$15,Paramètres!$A$1:$I$89,3,0)*VLOOKUP('Données projet'!$B$15,Paramètres!$A$1:$I$89,5,0)</f>
        <v>1.3596945791505279E-13</v>
      </c>
      <c r="EL154" s="14">
        <f t="shared" ref="EL154:EL203" si="179">EXP(-1.0587+0.8836*LN(EK154)+0.284)</f>
        <v>1.9708830566360721E-12</v>
      </c>
      <c r="EM154" s="22">
        <f t="shared" ref="EM154:EM203" si="180">(EK154+EL154)*0.475*44/12</f>
        <v>3.669434796176543E-12</v>
      </c>
      <c r="EN154" s="62">
        <f t="shared" si="128"/>
        <v>286.80821682326905</v>
      </c>
      <c r="EO154" s="62">
        <f ca="1">AVERAGE(OFFSET($EN$3,0,0,'Données projet'!$E$15+1,1))-AVERAGE(OFFSET($H$3,0,0,'Données projet'!$E$15+1,1))</f>
        <v>281.21543175875604</v>
      </c>
      <c r="EP154" s="62">
        <f t="shared" si="154"/>
        <v>366.68536296857428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15.749733588218096</v>
      </c>
      <c r="EW154" s="23">
        <f>EXP(-LN(2)/25)*EW153+(1-EXP(-LN(2)/25))/(LN(2)/25)*Calculateur!ER154*Calculateur!ET154*VLOOKUP('Données projet'!$B$15,Paramètres!$A$1:$I$89,3,0)*0.475*44/12</f>
        <v>2.5931913830588647</v>
      </c>
      <c r="EX154" s="23">
        <f>EXP(-LN(2)/2)*EX153+(1-EXP(-LN(2)/2))/(LN(2)/2)*ER154*EU154*VLOOKUP('Données projet'!$B$15,Paramètres!$A$1:$I$89,3,0)*0.475*44/12</f>
        <v>1.0484794227918232E-13</v>
      </c>
      <c r="EY154" s="24">
        <f t="shared" ref="EY154:EY203" si="181">SUM(EV154:EX154)</f>
        <v>18.342924971277068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2.2737367544323206E-13</v>
      </c>
      <c r="FF154" s="18">
        <f>FE154*VLOOKUP('Données projet'!$B$16,Paramètres!$A$1:$I$89,3,0)*VLOOKUP('Données projet'!$B$16,Paramètres!$A$1:$I$89,5,0)</f>
        <v>1.2710188457276673E-13</v>
      </c>
      <c r="FG154" s="14">
        <f t="shared" ref="FG154:FG203" si="182">EXP(-1.0587+0.8836*LN(FF154)+0.284)</f>
        <v>1.856866851063998E-12</v>
      </c>
      <c r="FH154" s="22">
        <f t="shared" ref="FH154:FH203" si="183">(FF154+FG154)*0.475*44/12</f>
        <v>3.4554122145673649E-12</v>
      </c>
      <c r="FI154" s="62">
        <f t="shared" si="131"/>
        <v>286.80821682326882</v>
      </c>
      <c r="FJ154" s="62">
        <f ca="1">AVERAGE(OFFSET($FI$3,0,0,'Données projet'!$E$16+1,1))-AVERAGE(OFFSET($H$3,0,0,'Données projet'!$E$16+1,1))</f>
        <v>280.9225643428145</v>
      </c>
      <c r="FK154" s="62">
        <f t="shared" si="156"/>
        <v>236.89414218053955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49.268520565758429</v>
      </c>
      <c r="FR154" s="23">
        <f>EXP(-LN(2)/25)*FR153+(1-EXP(-LN(2)/25))/(LN(2)/25)*Calculateur!FM154*Calculateur!FO154*VLOOKUP('Données projet'!$B$16,Paramètres!$A$1:$I$89,3,0)*0.475*44/12</f>
        <v>8.2996285809773358</v>
      </c>
      <c r="FS154" s="23">
        <f>EXP(-LN(2)/2)*FS153+(1-EXP(-LN(2)/2))/(LN(2)/2)*FM154*FP154*VLOOKUP('Données projet'!$B$16,Paramètres!$A$1:$I$89,3,0)*0.475*44/12</f>
        <v>2.7599750809476216E-15</v>
      </c>
      <c r="FT154" s="24">
        <f t="shared" ref="FT154:FT203" si="184">SUM(FQ154:FS154)</f>
        <v>57.568149146735763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-5.6843418860808015E-13</v>
      </c>
      <c r="GA154" s="18">
        <f>FZ154*VLOOKUP('Données projet'!$B$17,Paramètres!$A$1:$I$89,3,0)*VLOOKUP('Données projet'!$B$17,Paramètres!$A$1:$I$89,5,0)</f>
        <v>-2.5124791136477147E-13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325.67421864225201</v>
      </c>
      <c r="GF154" s="62">
        <f t="shared" si="158"/>
        <v>542.01920418736745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31.886096847359955</v>
      </c>
      <c r="GM154" s="23">
        <f>EXP(-LN(2)/25)*GM153+(1-EXP(-LN(2)/25))/(LN(2)/25)*Calculateur!GH154*Calculateur!GJ154*VLOOKUP('Données projet'!$B$17,Paramètres!$A$1:$I$89,3,0)*0.475*44/12</f>
        <v>9.727079898292331</v>
      </c>
      <c r="GN154" s="23">
        <f>EXP(-LN(2)/2)*GN153+(1-EXP(-LN(2)/2))/(LN(2)/2)*GH154*GK154*VLOOKUP('Données projet'!$B$17,Paramètres!$A$1:$I$89,3,0)*0.475*44/12</f>
        <v>2.8111175408338101E-15</v>
      </c>
      <c r="GO154" s="23">
        <f t="shared" ref="GO154:GO203" si="187">SUM(GL154:GN154)</f>
        <v>41.613176745652282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-2.5579538487363607E-13</v>
      </c>
      <c r="GV154" s="18">
        <f>GU154*VLOOKUP('Données projet'!$B$18,Paramètres!$A$1:$I$89,3,0)*VLOOKUP('Données projet'!$B$18,Paramètres!$A$1:$I$89,5,0)</f>
        <v>-2.5937652026186701E-13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220.89224520315713</v>
      </c>
      <c r="HA154" s="62">
        <f t="shared" si="160"/>
        <v>141.82763623159096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-2.8421709430404007E-14</v>
      </c>
      <c r="O155" s="14">
        <f>N155*VLOOKUP('Données projet'!$B$9,Paramètres!$A$1:$I$89,3,0)*VLOOKUP('Données projet'!$B$9,Paramètres!$A$1:$I$89,5,0)</f>
        <v>-2.7489477361086758E-14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84.959354125980269</v>
      </c>
      <c r="T155" s="62">
        <f t="shared" si="142"/>
        <v>89.658970210276806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1.6027159122149033</v>
      </c>
      <c r="AB155" s="23">
        <f>EXP(-LN(2)/2)*AB154+(1-EXP(-LN(2)/2))/(LN(2)/2)*V155*Y155*VLOOKUP('Données projet'!$B$9,Paramètres!$A$1:$I$89,3,0)*0.475*44/12</f>
        <v>1.4875562095338071E-12</v>
      </c>
      <c r="AC155" s="24">
        <f t="shared" si="163"/>
        <v>1.6027159122163908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-1.1368683772161603E-12</v>
      </c>
      <c r="AJ155" s="14">
        <f>AI155*VLOOKUP('Données projet'!$B$10,Paramètres!$A$1:$I$89,3,0)*VLOOKUP('Données projet'!$B$10,Paramètres!$A$1:$I$89,5,0)</f>
        <v>-1.0818439477588981E-12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592.76231355549089</v>
      </c>
      <c r="AO155" s="62">
        <f t="shared" si="144"/>
        <v>200.66895551079014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168.60118740398158</v>
      </c>
      <c r="AV155" s="23">
        <f>EXP(-LN(2)/25)*AV154+(1-EXP(-LN(2)/25))/(LN(2)/25)*Calculateur!AQ155*Calculateur!AS155*VLOOKUP('Données projet'!$B$10,Paramètres!$A$1:$I$89,3,0)*0.475*44/12</f>
        <v>42.166321069670339</v>
      </c>
      <c r="AW155" s="23">
        <f>EXP(-LN(2)/2)*AW154+(1-EXP(-LN(2)/2))/(LN(2)/2)*AQ155*AT155*VLOOKUP('Données projet'!$B$10,Paramètres!$A$1:$I$89,3,0)*0.475*44/12</f>
        <v>1.8274174109549185E-13</v>
      </c>
      <c r="AX155" s="23">
        <f t="shared" si="166"/>
        <v>210.7675084736521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-2.0572770154103635E-13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316.71836722354374</v>
      </c>
      <c r="BJ155" s="62">
        <f t="shared" si="146"/>
        <v>164.34067012996618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95.510579425177042</v>
      </c>
      <c r="BQ155" s="23">
        <f>EXP(-LN(2)/25)*BQ154+(1-EXP(-LN(2)/25))/(LN(2)/25)*Calculateur!BL155*Calculateur!BN155*VLOOKUP('Données projet'!$B$11,Paramètres!$A$1:$I$89,3,0)*0.475*44/12</f>
        <v>1.6409859269707217</v>
      </c>
      <c r="BR155" s="23">
        <f>EXP(-LN(2)/2)*BR154+(1-EXP(-LN(2)/2))/(LN(2)/2)*BL155*BO155*VLOOKUP('Données projet'!$B$11,Paramètres!$A$1:$I$89,3,0)*0.475*44/12</f>
        <v>1.1806093138793725E-14</v>
      </c>
      <c r="BS155" s="24">
        <f t="shared" si="169"/>
        <v>97.151565352147784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2.8421709430404007E-14</v>
      </c>
      <c r="BZ155" s="14">
        <f>BY155*VLOOKUP('Données projet'!$B$12,Paramètres!$A$1:$I$89,3,0)*VLOOKUP('Données projet'!$B$12,Paramètres!$A$1:$I$89,5,0)</f>
        <v>3.2366642699344085E-14</v>
      </c>
      <c r="CA155" s="14">
        <f t="shared" si="170"/>
        <v>5.5446527398450045E-13</v>
      </c>
      <c r="CB155" s="22">
        <f t="shared" si="171"/>
        <v>1.0220655882243624E-12</v>
      </c>
      <c r="CC155" s="62">
        <f t="shared" si="119"/>
        <v>286.92141300674092</v>
      </c>
      <c r="CD155" s="62">
        <f ca="1">AVERAGE(OFFSET($CC$3,0,0,'Données projet'!$E$12+1,1))-AVERAGE(OFFSET($H$3,0,0,'Données projet'!$E$12+1,1))</f>
        <v>454.9779384236806</v>
      </c>
      <c r="CE155" s="62">
        <f t="shared" si="148"/>
        <v>379.32753348721906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40.8602157551286</v>
      </c>
      <c r="CL155" s="23">
        <f>EXP(-LN(2)/25)*CL154+(1-EXP(-LN(2)/25))/(LN(2)/25)*Calculateur!CG155*Calculateur!CI155*VLOOKUP('Données projet'!$B$12,Paramètres!$A$1:$I$89,3,0)*0.475*44/12</f>
        <v>12.849495570961279</v>
      </c>
      <c r="CM155" s="23">
        <f>EXP(-LN(2)/2)*CM154+(1-EXP(-LN(2)/2))/(LN(2)/2)*CG155*CJ155*VLOOKUP('Données projet'!$B$12,Paramètres!$A$1:$I$89,3,0)*0.475*44/12</f>
        <v>1.8501650369207752E-9</v>
      </c>
      <c r="CN155" s="24">
        <f t="shared" si="172"/>
        <v>53.709711327940049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252.10592533338991</v>
      </c>
      <c r="CZ155" s="62">
        <f t="shared" si="150"/>
        <v>272.71831345325313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11.582921066085383</v>
      </c>
      <c r="DH155" s="23">
        <f>EXP(-LN(2)/2)*DH154+(1-EXP(-LN(2)/2))/(LN(2)/2)*DB155*DE155*VLOOKUP('Données projet'!$B$13,Paramètres!$A$1:$I$89,3,0)*0.475*44/12</f>
        <v>2.4031049415631556E-13</v>
      </c>
      <c r="DI155" s="24">
        <f t="shared" si="175"/>
        <v>11.582921066085623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423.0896575168394</v>
      </c>
      <c r="DU155" s="62">
        <f t="shared" si="152"/>
        <v>305.98537395014284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36.62485853501525</v>
      </c>
      <c r="EB155" s="23">
        <f>EXP(-LN(2)/25)*EB154+(1-EXP(-LN(2)/25))/(LN(2)/25)*Calculateur!DW155*Calculateur!DY155*VLOOKUP('Données projet'!$B$14,Paramètres!$A$1:$I$89,3,0)*0.475*44/12</f>
        <v>24.299344631642303</v>
      </c>
      <c r="EC155" s="23">
        <f>EXP(-LN(2)/2)*EC154+(1-EXP(-LN(2)/2))/(LN(2)/2)*DW155*DZ155*VLOOKUP('Données projet'!$B$14,Paramètres!$A$1:$I$89,3,0)*0.475*44/12</f>
        <v>4.7113604784624869E-14</v>
      </c>
      <c r="ED155" s="24">
        <f t="shared" si="178"/>
        <v>60.924203166657598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2.2737367544323206E-13</v>
      </c>
      <c r="EK155" s="18">
        <f>EJ155*VLOOKUP('Données projet'!$B$15,Paramètres!$A$1:$I$89,3,0)*VLOOKUP('Données projet'!$B$15,Paramètres!$A$1:$I$89,5,0)</f>
        <v>1.3596945791505279E-13</v>
      </c>
      <c r="EL155" s="14">
        <f t="shared" si="179"/>
        <v>1.9708830566360721E-12</v>
      </c>
      <c r="EM155" s="22">
        <f t="shared" si="180"/>
        <v>3.669434796176543E-12</v>
      </c>
      <c r="EN155" s="62">
        <f t="shared" si="128"/>
        <v>286.92141300674359</v>
      </c>
      <c r="EO155" s="62">
        <f ca="1">AVERAGE(OFFSET($EN$3,0,0,'Données projet'!$E$15+1,1))-AVERAGE(OFFSET($H$3,0,0,'Données projet'!$E$15+1,1))</f>
        <v>281.21543175875604</v>
      </c>
      <c r="EP155" s="62">
        <f t="shared" si="154"/>
        <v>366.68536296857428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15.440890918942076</v>
      </c>
      <c r="EW155" s="23">
        <f>EXP(-LN(2)/25)*EW154+(1-EXP(-LN(2)/25))/(LN(2)/25)*Calculateur!ER155*Calculateur!ET155*VLOOKUP('Données projet'!$B$15,Paramètres!$A$1:$I$89,3,0)*0.475*44/12</f>
        <v>2.522280428319112</v>
      </c>
      <c r="EX155" s="23">
        <f>EXP(-LN(2)/2)*EX154+(1-EXP(-LN(2)/2))/(LN(2)/2)*ER155*EU155*VLOOKUP('Données projet'!$B$15,Paramètres!$A$1:$I$89,3,0)*0.475*44/12</f>
        <v>7.413869097906554E-14</v>
      </c>
      <c r="EY155" s="24">
        <f t="shared" si="181"/>
        <v>17.963171347261262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2.2737367544323206E-13</v>
      </c>
      <c r="FF155" s="18">
        <f>FE155*VLOOKUP('Données projet'!$B$16,Paramètres!$A$1:$I$89,3,0)*VLOOKUP('Données projet'!$B$16,Paramètres!$A$1:$I$89,5,0)</f>
        <v>1.2710188457276673E-13</v>
      </c>
      <c r="FG155" s="14">
        <f t="shared" si="182"/>
        <v>1.856866851063998E-12</v>
      </c>
      <c r="FH155" s="22">
        <f t="shared" si="183"/>
        <v>3.4554122145673649E-12</v>
      </c>
      <c r="FI155" s="62">
        <f t="shared" si="131"/>
        <v>286.92141300674336</v>
      </c>
      <c r="FJ155" s="62">
        <f ca="1">AVERAGE(OFFSET($FI$3,0,0,'Données projet'!$E$16+1,1))-AVERAGE(OFFSET($H$3,0,0,'Données projet'!$E$16+1,1))</f>
        <v>280.9225643428145</v>
      </c>
      <c r="FK155" s="62">
        <f t="shared" si="156"/>
        <v>236.89414218053955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48.302394928294177</v>
      </c>
      <c r="FR155" s="23">
        <f>EXP(-LN(2)/25)*FR154+(1-EXP(-LN(2)/25))/(LN(2)/25)*Calculateur!FM155*Calculateur!FO155*VLOOKUP('Données projet'!$B$16,Paramètres!$A$1:$I$89,3,0)*0.475*44/12</f>
        <v>8.0726748009720133</v>
      </c>
      <c r="FS155" s="23">
        <f>EXP(-LN(2)/2)*FS154+(1-EXP(-LN(2)/2))/(LN(2)/2)*FM155*FP155*VLOOKUP('Données projet'!$B$16,Paramètres!$A$1:$I$89,3,0)*0.475*44/12</f>
        <v>1.9515970956439536E-15</v>
      </c>
      <c r="FT155" s="24">
        <f t="shared" si="184"/>
        <v>56.375069729266187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-5.6843418860808015E-13</v>
      </c>
      <c r="GA155" s="18">
        <f>FZ155*VLOOKUP('Données projet'!$B$17,Paramètres!$A$1:$I$89,3,0)*VLOOKUP('Données projet'!$B$17,Paramètres!$A$1:$I$89,5,0)</f>
        <v>-2.5124791136477147E-13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325.67421864225201</v>
      </c>
      <c r="GF155" s="62">
        <f t="shared" si="158"/>
        <v>542.01920418736745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31.260829936781914</v>
      </c>
      <c r="GM155" s="23">
        <f>EXP(-LN(2)/25)*GM154+(1-EXP(-LN(2)/25))/(LN(2)/25)*Calculateur!GH155*Calculateur!GJ155*VLOOKUP('Données projet'!$B$17,Paramètres!$A$1:$I$89,3,0)*0.475*44/12</f>
        <v>9.4610923869486268</v>
      </c>
      <c r="GN155" s="23">
        <f>EXP(-LN(2)/2)*GN154+(1-EXP(-LN(2)/2))/(LN(2)/2)*GH155*GK155*VLOOKUP('Données projet'!$B$17,Paramètres!$A$1:$I$89,3,0)*0.475*44/12</f>
        <v>1.9877602758360385E-15</v>
      </c>
      <c r="GO155" s="23">
        <f t="shared" si="187"/>
        <v>40.721922323730539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-2.5579538487363607E-13</v>
      </c>
      <c r="GV155" s="18">
        <f>GU155*VLOOKUP('Données projet'!$B$18,Paramètres!$A$1:$I$89,3,0)*VLOOKUP('Données projet'!$B$18,Paramètres!$A$1:$I$89,5,0)</f>
        <v>-2.5937652026186701E-13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220.89224520315713</v>
      </c>
      <c r="HA155" s="62">
        <f t="shared" si="160"/>
        <v>141.82763623159096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-2.8421709430404007E-14</v>
      </c>
      <c r="O156" s="14">
        <f>N156*VLOOKUP('Données projet'!$B$9,Paramètres!$A$1:$I$89,3,0)*VLOOKUP('Données projet'!$B$9,Paramètres!$A$1:$I$89,5,0)</f>
        <v>-2.7489477361086758E-14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84.959354125980269</v>
      </c>
      <c r="T156" s="62">
        <f t="shared" si="142"/>
        <v>89.658970210276806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1.55888956131222</v>
      </c>
      <c r="AB156" s="23">
        <f>EXP(-LN(2)/2)*AB155+(1-EXP(-LN(2)/2))/(LN(2)/2)*V156*Y156*VLOOKUP('Données projet'!$B$9,Paramètres!$A$1:$I$89,3,0)*0.475*44/12</f>
        <v>1.0518610831575118E-12</v>
      </c>
      <c r="AC156" s="24">
        <f t="shared" si="163"/>
        <v>1.5588895613132718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-1.1368683772161603E-12</v>
      </c>
      <c r="AJ156" s="14">
        <f>AI156*VLOOKUP('Données projet'!$B$10,Paramètres!$A$1:$I$89,3,0)*VLOOKUP('Données projet'!$B$10,Paramètres!$A$1:$I$89,5,0)</f>
        <v>-1.0818439477588981E-12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592.76231355549089</v>
      </c>
      <c r="AO156" s="62">
        <f t="shared" si="144"/>
        <v>200.66895551079014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165.29502095555955</v>
      </c>
      <c r="AV156" s="23">
        <f>EXP(-LN(2)/25)*AV155+(1-EXP(-LN(2)/25))/(LN(2)/25)*Calculateur!AQ156*Calculateur!AS156*VLOOKUP('Données projet'!$B$10,Paramètres!$A$1:$I$89,3,0)*0.475*44/12</f>
        <v>41.013280802589748</v>
      </c>
      <c r="AW156" s="23">
        <f>EXP(-LN(2)/2)*AW155+(1-EXP(-LN(2)/2))/(LN(2)/2)*AQ156*AT156*VLOOKUP('Données projet'!$B$10,Paramètres!$A$1:$I$89,3,0)*0.475*44/12</f>
        <v>1.2921792433445867E-13</v>
      </c>
      <c r="AX156" s="23">
        <f t="shared" si="166"/>
        <v>206.30830175814944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-2.0572770154103635E-13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316.71836722354374</v>
      </c>
      <c r="BJ156" s="62">
        <f t="shared" si="146"/>
        <v>164.34067012996618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93.637675218350495</v>
      </c>
      <c r="BQ156" s="23">
        <f>EXP(-LN(2)/25)*BQ155+(1-EXP(-LN(2)/25))/(LN(2)/25)*Calculateur!BL156*Calculateur!BN156*VLOOKUP('Données projet'!$B$11,Paramètres!$A$1:$I$89,3,0)*0.475*44/12</f>
        <v>1.5961130805020078</v>
      </c>
      <c r="BR156" s="23">
        <f>EXP(-LN(2)/2)*BR155+(1-EXP(-LN(2)/2))/(LN(2)/2)*BL156*BO156*VLOOKUP('Données projet'!$B$11,Paramètres!$A$1:$I$89,3,0)*0.475*44/12</f>
        <v>8.3481685177610143E-15</v>
      </c>
      <c r="BS156" s="24">
        <f t="shared" si="169"/>
        <v>95.233788298852517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2.8421709430404007E-14</v>
      </c>
      <c r="BZ156" s="14">
        <f>BY156*VLOOKUP('Données projet'!$B$12,Paramètres!$A$1:$I$89,3,0)*VLOOKUP('Données projet'!$B$12,Paramètres!$A$1:$I$89,5,0)</f>
        <v>3.2366642699344085E-14</v>
      </c>
      <c r="CA156" s="14">
        <f t="shared" si="170"/>
        <v>5.5446527398450045E-13</v>
      </c>
      <c r="CB156" s="22">
        <f t="shared" si="171"/>
        <v>1.0220655882243624E-12</v>
      </c>
      <c r="CC156" s="62">
        <f t="shared" si="119"/>
        <v>287.03264548950102</v>
      </c>
      <c r="CD156" s="62">
        <f ca="1">AVERAGE(OFFSET($CC$3,0,0,'Données projet'!$E$12+1,1))-AVERAGE(OFFSET($H$3,0,0,'Données projet'!$E$12+1,1))</f>
        <v>454.9779384236806</v>
      </c>
      <c r="CE156" s="62">
        <f t="shared" si="148"/>
        <v>379.32753348721906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40.058971846441267</v>
      </c>
      <c r="CL156" s="23">
        <f>EXP(-LN(2)/25)*CL155+(1-EXP(-LN(2)/25))/(LN(2)/25)*Calculateur!CG156*Calculateur!CI156*VLOOKUP('Données projet'!$B$12,Paramètres!$A$1:$I$89,3,0)*0.475*44/12</f>
        <v>12.498125438847739</v>
      </c>
      <c r="CM156" s="23">
        <f>EXP(-LN(2)/2)*CM155+(1-EXP(-LN(2)/2))/(LN(2)/2)*CG156*CJ156*VLOOKUP('Données projet'!$B$12,Paramètres!$A$1:$I$89,3,0)*0.475*44/12</f>
        <v>1.3082642439209394E-9</v>
      </c>
      <c r="CN156" s="24">
        <f t="shared" si="172"/>
        <v>52.557097286597269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252.10592533338991</v>
      </c>
      <c r="CZ156" s="62">
        <f t="shared" si="150"/>
        <v>272.71831345325313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11.266185480413933</v>
      </c>
      <c r="DH156" s="23">
        <f>EXP(-LN(2)/2)*DH155+(1-EXP(-LN(2)/2))/(LN(2)/2)*DB156*DE156*VLOOKUP('Données projet'!$B$13,Paramètres!$A$1:$I$89,3,0)*0.475*44/12</f>
        <v>1.6992518000822094E-13</v>
      </c>
      <c r="DI156" s="24">
        <f t="shared" si="175"/>
        <v>11.266185480414103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423.0896575168394</v>
      </c>
      <c r="DU156" s="62">
        <f t="shared" si="152"/>
        <v>305.98537395014284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35.906667398101519</v>
      </c>
      <c r="EB156" s="23">
        <f>EXP(-LN(2)/25)*EB155+(1-EXP(-LN(2)/25))/(LN(2)/25)*Calculateur!DW156*Calculateur!DY156*VLOOKUP('Données projet'!$B$14,Paramètres!$A$1:$I$89,3,0)*0.475*44/12</f>
        <v>23.634877774843048</v>
      </c>
      <c r="EC156" s="23">
        <f>EXP(-LN(2)/2)*EC155+(1-EXP(-LN(2)/2))/(LN(2)/2)*DW156*DZ156*VLOOKUP('Données projet'!$B$14,Paramètres!$A$1:$I$89,3,0)*0.475*44/12</f>
        <v>3.3314349429351216E-14</v>
      </c>
      <c r="ED156" s="24">
        <f t="shared" si="178"/>
        <v>59.541545172944602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2.2737367544323206E-13</v>
      </c>
      <c r="EK156" s="18">
        <f>EJ156*VLOOKUP('Données projet'!$B$15,Paramètres!$A$1:$I$89,3,0)*VLOOKUP('Données projet'!$B$15,Paramètres!$A$1:$I$89,5,0)</f>
        <v>1.3596945791505279E-13</v>
      </c>
      <c r="EL156" s="14">
        <f t="shared" si="179"/>
        <v>1.9708830566360721E-12</v>
      </c>
      <c r="EM156" s="22">
        <f t="shared" si="180"/>
        <v>3.669434796176543E-12</v>
      </c>
      <c r="EN156" s="62">
        <f t="shared" si="128"/>
        <v>287.03264548950369</v>
      </c>
      <c r="EO156" s="62">
        <f ca="1">AVERAGE(OFFSET($EN$3,0,0,'Données projet'!$E$15+1,1))-AVERAGE(OFFSET($H$3,0,0,'Données projet'!$E$15+1,1))</f>
        <v>281.21543175875604</v>
      </c>
      <c r="EP156" s="62">
        <f t="shared" si="154"/>
        <v>366.68536296857428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15.138104466035131</v>
      </c>
      <c r="EW156" s="23">
        <f>EXP(-LN(2)/25)*EW155+(1-EXP(-LN(2)/25))/(LN(2)/25)*Calculateur!ER156*Calculateur!ET156*VLOOKUP('Données projet'!$B$15,Paramètres!$A$1:$I$89,3,0)*0.475*44/12</f>
        <v>2.4533085373657628</v>
      </c>
      <c r="EX156" s="23">
        <f>EXP(-LN(2)/2)*EX155+(1-EXP(-LN(2)/2))/(LN(2)/2)*ER156*EU156*VLOOKUP('Données projet'!$B$15,Paramètres!$A$1:$I$89,3,0)*0.475*44/12</f>
        <v>5.2423971139591162E-14</v>
      </c>
      <c r="EY156" s="24">
        <f t="shared" si="181"/>
        <v>17.591413003400948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2.2737367544323206E-13</v>
      </c>
      <c r="FF156" s="18">
        <f>FE156*VLOOKUP('Données projet'!$B$16,Paramètres!$A$1:$I$89,3,0)*VLOOKUP('Données projet'!$B$16,Paramètres!$A$1:$I$89,5,0)</f>
        <v>1.2710188457276673E-13</v>
      </c>
      <c r="FG156" s="14">
        <f t="shared" si="182"/>
        <v>1.856866851063998E-12</v>
      </c>
      <c r="FH156" s="22">
        <f t="shared" si="183"/>
        <v>3.4554122145673649E-12</v>
      </c>
      <c r="FI156" s="62">
        <f t="shared" si="131"/>
        <v>287.03264548950347</v>
      </c>
      <c r="FJ156" s="62">
        <f ca="1">AVERAGE(OFFSET($FI$3,0,0,'Données projet'!$E$16+1,1))-AVERAGE(OFFSET($H$3,0,0,'Données projet'!$E$16+1,1))</f>
        <v>280.9225643428145</v>
      </c>
      <c r="FK156" s="62">
        <f t="shared" si="156"/>
        <v>236.89414218053955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47.355214425302151</v>
      </c>
      <c r="FR156" s="23">
        <f>EXP(-LN(2)/25)*FR155+(1-EXP(-LN(2)/25))/(LN(2)/25)*Calculateur!FM156*Calculateur!FO156*VLOOKUP('Données projet'!$B$16,Paramètres!$A$1:$I$89,3,0)*0.475*44/12</f>
        <v>7.8519270840159159</v>
      </c>
      <c r="FS156" s="23">
        <f>EXP(-LN(2)/2)*FS155+(1-EXP(-LN(2)/2))/(LN(2)/2)*FM156*FP156*VLOOKUP('Données projet'!$B$16,Paramètres!$A$1:$I$89,3,0)*0.475*44/12</f>
        <v>1.3799875404738108E-15</v>
      </c>
      <c r="FT156" s="24">
        <f t="shared" si="184"/>
        <v>55.207141509318063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-5.6843418860808015E-13</v>
      </c>
      <c r="GA156" s="18">
        <f>FZ156*VLOOKUP('Données projet'!$B$17,Paramètres!$A$1:$I$89,3,0)*VLOOKUP('Données projet'!$B$17,Paramètres!$A$1:$I$89,5,0)</f>
        <v>-2.5124791136477147E-13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325.67421864225201</v>
      </c>
      <c r="GF156" s="62">
        <f t="shared" si="158"/>
        <v>542.01920418736745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30.64782412894515</v>
      </c>
      <c r="GM156" s="23">
        <f>EXP(-LN(2)/25)*GM155+(1-EXP(-LN(2)/25))/(LN(2)/25)*Calculateur!GH156*Calculateur!GJ156*VLOOKUP('Données projet'!$B$17,Paramètres!$A$1:$I$89,3,0)*0.475*44/12</f>
        <v>9.2023783180902914</v>
      </c>
      <c r="GN156" s="23">
        <f>EXP(-LN(2)/2)*GN155+(1-EXP(-LN(2)/2))/(LN(2)/2)*GH156*GK156*VLOOKUP('Données projet'!$B$17,Paramètres!$A$1:$I$89,3,0)*0.475*44/12</f>
        <v>1.405558770416905E-15</v>
      </c>
      <c r="GO156" s="23">
        <f t="shared" si="187"/>
        <v>39.850202447035443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-2.5579538487363607E-13</v>
      </c>
      <c r="GV156" s="18">
        <f>GU156*VLOOKUP('Données projet'!$B$18,Paramètres!$A$1:$I$89,3,0)*VLOOKUP('Données projet'!$B$18,Paramètres!$A$1:$I$89,5,0)</f>
        <v>-2.5937652026186701E-13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220.89224520315713</v>
      </c>
      <c r="HA156" s="62">
        <f t="shared" si="160"/>
        <v>141.82763623159096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-2.8421709430404007E-14</v>
      </c>
      <c r="O157" s="14">
        <f>N157*VLOOKUP('Données projet'!$B$9,Paramètres!$A$1:$I$89,3,0)*VLOOKUP('Données projet'!$B$9,Paramètres!$A$1:$I$89,5,0)</f>
        <v>-2.7489477361086758E-14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84.959354125980269</v>
      </c>
      <c r="T157" s="62">
        <f t="shared" si="142"/>
        <v>89.658970210276806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1.5162616442796981</v>
      </c>
      <c r="AB157" s="23">
        <f>EXP(-LN(2)/2)*AB156+(1-EXP(-LN(2)/2))/(LN(2)/2)*V157*Y157*VLOOKUP('Données projet'!$B$9,Paramètres!$A$1:$I$89,3,0)*0.475*44/12</f>
        <v>7.4377810476690354E-13</v>
      </c>
      <c r="AC157" s="24">
        <f t="shared" si="163"/>
        <v>1.516261644280442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-1.1368683772161603E-12</v>
      </c>
      <c r="AJ157" s="14">
        <f>AI157*VLOOKUP('Données projet'!$B$10,Paramètres!$A$1:$I$89,3,0)*VLOOKUP('Données projet'!$B$10,Paramètres!$A$1:$I$89,5,0)</f>
        <v>-1.0818439477588981E-12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592.76231355549089</v>
      </c>
      <c r="AO157" s="62">
        <f t="shared" si="144"/>
        <v>200.66895551079014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162.05368641462866</v>
      </c>
      <c r="AV157" s="23">
        <f>EXP(-LN(2)/25)*AV156+(1-EXP(-LN(2)/25))/(LN(2)/25)*Calculateur!AQ157*Calculateur!AS157*VLOOKUP('Données projet'!$B$10,Paramètres!$A$1:$I$89,3,0)*0.475*44/12</f>
        <v>39.891770482248234</v>
      </c>
      <c r="AW157" s="23">
        <f>EXP(-LN(2)/2)*AW156+(1-EXP(-LN(2)/2))/(LN(2)/2)*AQ157*AT157*VLOOKUP('Données projet'!$B$10,Paramètres!$A$1:$I$89,3,0)*0.475*44/12</f>
        <v>9.1370870547745924E-14</v>
      </c>
      <c r="AX157" s="23">
        <f t="shared" si="166"/>
        <v>201.94545689687698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-2.0572770154103635E-13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316.71836722354374</v>
      </c>
      <c r="BJ157" s="62">
        <f t="shared" si="146"/>
        <v>164.34067012996618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91.801497520661044</v>
      </c>
      <c r="BQ157" s="23">
        <f>EXP(-LN(2)/25)*BQ156+(1-EXP(-LN(2)/25))/(LN(2)/25)*Calculateur!BL157*Calculateur!BN157*VLOOKUP('Données projet'!$B$11,Paramètres!$A$1:$I$89,3,0)*0.475*44/12</f>
        <v>1.5524672843797416</v>
      </c>
      <c r="BR157" s="23">
        <f>EXP(-LN(2)/2)*BR156+(1-EXP(-LN(2)/2))/(LN(2)/2)*BL157*BO157*VLOOKUP('Données projet'!$B$11,Paramètres!$A$1:$I$89,3,0)*0.475*44/12</f>
        <v>5.9030465693968624E-15</v>
      </c>
      <c r="BS157" s="24">
        <f t="shared" si="169"/>
        <v>93.353964805040789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2.8421709430404007E-14</v>
      </c>
      <c r="BZ157" s="14">
        <f>BY157*VLOOKUP('Données projet'!$B$12,Paramètres!$A$1:$I$89,3,0)*VLOOKUP('Données projet'!$B$12,Paramètres!$A$1:$I$89,5,0)</f>
        <v>3.2366642699344085E-14</v>
      </c>
      <c r="CA157" s="14">
        <f t="shared" si="170"/>
        <v>5.5446527398450045E-13</v>
      </c>
      <c r="CB157" s="22">
        <f t="shared" si="171"/>
        <v>1.0220655882243624E-12</v>
      </c>
      <c r="CC157" s="62">
        <f t="shared" si="119"/>
        <v>287.14194833736377</v>
      </c>
      <c r="CD157" s="62">
        <f ca="1">AVERAGE(OFFSET($CC$3,0,0,'Données projet'!$E$12+1,1))-AVERAGE(OFFSET($H$3,0,0,'Données projet'!$E$12+1,1))</f>
        <v>454.9779384236806</v>
      </c>
      <c r="CE157" s="62">
        <f t="shared" si="148"/>
        <v>379.32753348721906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39.273439842092763</v>
      </c>
      <c r="CL157" s="23">
        <f>EXP(-LN(2)/25)*CL156+(1-EXP(-LN(2)/25))/(LN(2)/25)*Calculateur!CG157*Calculateur!CI157*VLOOKUP('Données projet'!$B$12,Paramètres!$A$1:$I$89,3,0)*0.475*44/12</f>
        <v>12.156363541474596</v>
      </c>
      <c r="CM157" s="23">
        <f>EXP(-LN(2)/2)*CM156+(1-EXP(-LN(2)/2))/(LN(2)/2)*CG157*CJ157*VLOOKUP('Données projet'!$B$12,Paramètres!$A$1:$I$89,3,0)*0.475*44/12</f>
        <v>9.2508251846038778E-10</v>
      </c>
      <c r="CN157" s="24">
        <f t="shared" si="172"/>
        <v>51.429803384492445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252.10592533338991</v>
      </c>
      <c r="CZ157" s="62">
        <f t="shared" si="150"/>
        <v>272.71831345325313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10.958111045989069</v>
      </c>
      <c r="DH157" s="23">
        <f>EXP(-LN(2)/2)*DH156+(1-EXP(-LN(2)/2))/(LN(2)/2)*DB157*DE157*VLOOKUP('Données projet'!$B$13,Paramètres!$A$1:$I$89,3,0)*0.475*44/12</f>
        <v>1.2015524707815778E-13</v>
      </c>
      <c r="DI157" s="24">
        <f t="shared" si="175"/>
        <v>10.95811104598919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423.0896575168394</v>
      </c>
      <c r="DU157" s="62">
        <f t="shared" si="152"/>
        <v>305.98537395014284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35.202559551329323</v>
      </c>
      <c r="EB157" s="23">
        <f>EXP(-LN(2)/25)*EB156+(1-EXP(-LN(2)/25))/(LN(2)/25)*Calculateur!DW157*Calculateur!DY157*VLOOKUP('Données projet'!$B$14,Paramètres!$A$1:$I$89,3,0)*0.475*44/12</f>
        <v>22.988580799185762</v>
      </c>
      <c r="EC157" s="23">
        <f>EXP(-LN(2)/2)*EC156+(1-EXP(-LN(2)/2))/(LN(2)/2)*DW157*DZ157*VLOOKUP('Données projet'!$B$14,Paramètres!$A$1:$I$89,3,0)*0.475*44/12</f>
        <v>2.3556802392312435E-14</v>
      </c>
      <c r="ED157" s="24">
        <f t="shared" si="178"/>
        <v>58.191140350515106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2.2737367544323206E-13</v>
      </c>
      <c r="EK157" s="18">
        <f>EJ157*VLOOKUP('Données projet'!$B$15,Paramètres!$A$1:$I$89,3,0)*VLOOKUP('Données projet'!$B$15,Paramètres!$A$1:$I$89,5,0)</f>
        <v>1.3596945791505279E-13</v>
      </c>
      <c r="EL157" s="14">
        <f t="shared" si="179"/>
        <v>1.9708830566360721E-12</v>
      </c>
      <c r="EM157" s="22">
        <f t="shared" si="180"/>
        <v>3.669434796176543E-12</v>
      </c>
      <c r="EN157" s="62">
        <f t="shared" si="128"/>
        <v>287.14194833736644</v>
      </c>
      <c r="EO157" s="62">
        <f ca="1">AVERAGE(OFFSET($EN$3,0,0,'Données projet'!$E$15+1,1))-AVERAGE(OFFSET($H$3,0,0,'Données projet'!$E$15+1,1))</f>
        <v>281.21543175875604</v>
      </c>
      <c r="EP157" s="62">
        <f t="shared" si="154"/>
        <v>366.68536296857428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14.841255470788191</v>
      </c>
      <c r="EW157" s="23">
        <f>EXP(-LN(2)/25)*EW156+(1-EXP(-LN(2)/25))/(LN(2)/25)*Calculateur!ER157*Calculateur!ET157*VLOOKUP('Données projet'!$B$15,Paramètres!$A$1:$I$89,3,0)*0.475*44/12</f>
        <v>2.3862226863976073</v>
      </c>
      <c r="EX157" s="23">
        <f>EXP(-LN(2)/2)*EX156+(1-EXP(-LN(2)/2))/(LN(2)/2)*ER157*EU157*VLOOKUP('Données projet'!$B$15,Paramètres!$A$1:$I$89,3,0)*0.475*44/12</f>
        <v>3.706934548953277E-14</v>
      </c>
      <c r="EY157" s="24">
        <f t="shared" si="181"/>
        <v>17.227478157185836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2.2737367544323206E-13</v>
      </c>
      <c r="FF157" s="18">
        <f>FE157*VLOOKUP('Données projet'!$B$16,Paramètres!$A$1:$I$89,3,0)*VLOOKUP('Données projet'!$B$16,Paramètres!$A$1:$I$89,5,0)</f>
        <v>1.2710188457276673E-13</v>
      </c>
      <c r="FG157" s="14">
        <f t="shared" si="182"/>
        <v>1.856866851063998E-12</v>
      </c>
      <c r="FH157" s="22">
        <f t="shared" si="183"/>
        <v>3.4554122145673649E-12</v>
      </c>
      <c r="FI157" s="62">
        <f t="shared" si="131"/>
        <v>287.14194833736622</v>
      </c>
      <c r="FJ157" s="62">
        <f ca="1">AVERAGE(OFFSET($FI$3,0,0,'Données projet'!$E$16+1,1))-AVERAGE(OFFSET($H$3,0,0,'Données projet'!$E$16+1,1))</f>
        <v>280.9225643428145</v>
      </c>
      <c r="FK157" s="62">
        <f t="shared" si="156"/>
        <v>236.89414218053955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46.426607554250737</v>
      </c>
      <c r="FR157" s="23">
        <f>EXP(-LN(2)/25)*FR156+(1-EXP(-LN(2)/25))/(LN(2)/25)*Calculateur!FM157*Calculateur!FO157*VLOOKUP('Données projet'!$B$16,Paramètres!$A$1:$I$89,3,0)*0.475*44/12</f>
        <v>7.637215724988601</v>
      </c>
      <c r="FS157" s="23">
        <f>EXP(-LN(2)/2)*FS156+(1-EXP(-LN(2)/2))/(LN(2)/2)*FM157*FP157*VLOOKUP('Données projet'!$B$16,Paramètres!$A$1:$I$89,3,0)*0.475*44/12</f>
        <v>9.757985478219768E-16</v>
      </c>
      <c r="FT157" s="24">
        <f t="shared" si="184"/>
        <v>54.063823279239337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-5.6843418860808015E-13</v>
      </c>
      <c r="GA157" s="18">
        <f>FZ157*VLOOKUP('Données projet'!$B$17,Paramètres!$A$1:$I$89,3,0)*VLOOKUP('Données projet'!$B$17,Paramètres!$A$1:$I$89,5,0)</f>
        <v>-2.5124791136477147E-13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325.67421864225201</v>
      </c>
      <c r="GF157" s="62">
        <f t="shared" si="158"/>
        <v>542.01920418736745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30.046838991103442</v>
      </c>
      <c r="GM157" s="23">
        <f>EXP(-LN(2)/25)*GM156+(1-EXP(-LN(2)/25))/(LN(2)/25)*Calculateur!GH157*Calculateur!GJ157*VLOOKUP('Données projet'!$B$17,Paramètres!$A$1:$I$89,3,0)*0.475*44/12</f>
        <v>8.9507387990500682</v>
      </c>
      <c r="GN157" s="23">
        <f>EXP(-LN(2)/2)*GN156+(1-EXP(-LN(2)/2))/(LN(2)/2)*GH157*GK157*VLOOKUP('Données projet'!$B$17,Paramètres!$A$1:$I$89,3,0)*0.475*44/12</f>
        <v>9.9388013791801923E-16</v>
      </c>
      <c r="GO157" s="23">
        <f t="shared" si="187"/>
        <v>38.997577790153514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-2.5579538487363607E-13</v>
      </c>
      <c r="GV157" s="18">
        <f>GU157*VLOOKUP('Données projet'!$B$18,Paramètres!$A$1:$I$89,3,0)*VLOOKUP('Données projet'!$B$18,Paramètres!$A$1:$I$89,5,0)</f>
        <v>-2.5937652026186701E-13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220.89224520315713</v>
      </c>
      <c r="HA157" s="62">
        <f t="shared" si="160"/>
        <v>141.82763623159096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-2.8421709430404007E-14</v>
      </c>
      <c r="O158" s="14">
        <f>N158*VLOOKUP('Données projet'!$B$9,Paramètres!$A$1:$I$89,3,0)*VLOOKUP('Données projet'!$B$9,Paramètres!$A$1:$I$89,5,0)</f>
        <v>-2.7489477361086758E-14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84.959354125980269</v>
      </c>
      <c r="T158" s="62">
        <f t="shared" si="142"/>
        <v>89.658970210276806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1.4747993898801353</v>
      </c>
      <c r="AB158" s="23">
        <f>EXP(-LN(2)/2)*AB157+(1-EXP(-LN(2)/2))/(LN(2)/2)*V158*Y158*VLOOKUP('Données projet'!$B$9,Paramètres!$A$1:$I$89,3,0)*0.475*44/12</f>
        <v>5.2593054157875588E-13</v>
      </c>
      <c r="AC158" s="24">
        <f t="shared" si="163"/>
        <v>1.4747993898806613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-1.1368683772161603E-12</v>
      </c>
      <c r="AJ158" s="14">
        <f>AI158*VLOOKUP('Données projet'!$B$10,Paramètres!$A$1:$I$89,3,0)*VLOOKUP('Données projet'!$B$10,Paramètres!$A$1:$I$89,5,0)</f>
        <v>-1.0818439477588981E-12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592.76231355549089</v>
      </c>
      <c r="AO158" s="62">
        <f t="shared" si="144"/>
        <v>200.66895551079014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158.87591246702658</v>
      </c>
      <c r="AV158" s="23">
        <f>EXP(-LN(2)/25)*AV157+(1-EXP(-LN(2)/25))/(LN(2)/25)*Calculateur!AQ158*Calculateur!AS158*VLOOKUP('Données projet'!$B$10,Paramètres!$A$1:$I$89,3,0)*0.475*44/12</f>
        <v>38.80092792059412</v>
      </c>
      <c r="AW158" s="23">
        <f>EXP(-LN(2)/2)*AW157+(1-EXP(-LN(2)/2))/(LN(2)/2)*AQ158*AT158*VLOOKUP('Données projet'!$B$10,Paramètres!$A$1:$I$89,3,0)*0.475*44/12</f>
        <v>6.4608962167229335E-14</v>
      </c>
      <c r="AX158" s="23">
        <f t="shared" si="166"/>
        <v>197.67684038762076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-2.0572770154103635E-13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316.71836722354374</v>
      </c>
      <c r="BJ158" s="62">
        <f t="shared" si="146"/>
        <v>164.34067012996618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90.00132614766548</v>
      </c>
      <c r="BQ158" s="23">
        <f>EXP(-LN(2)/25)*BQ157+(1-EXP(-LN(2)/25))/(LN(2)/25)*Calculateur!BL158*Calculateur!BN158*VLOOKUP('Données projet'!$B$11,Paramètres!$A$1:$I$89,3,0)*0.475*44/12</f>
        <v>1.5100149848476712</v>
      </c>
      <c r="BR158" s="23">
        <f>EXP(-LN(2)/2)*BR157+(1-EXP(-LN(2)/2))/(LN(2)/2)*BL158*BO158*VLOOKUP('Données projet'!$B$11,Paramètres!$A$1:$I$89,3,0)*0.475*44/12</f>
        <v>4.1740842588805072E-15</v>
      </c>
      <c r="BS158" s="24">
        <f t="shared" si="169"/>
        <v>91.511341132513152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2.8421709430404007E-14</v>
      </c>
      <c r="BZ158" s="14">
        <f>BY158*VLOOKUP('Données projet'!$B$12,Paramètres!$A$1:$I$89,3,0)*VLOOKUP('Données projet'!$B$12,Paramètres!$A$1:$I$89,5,0)</f>
        <v>3.2366642699344085E-14</v>
      </c>
      <c r="CA158" s="14">
        <f t="shared" si="170"/>
        <v>5.5446527398450045E-13</v>
      </c>
      <c r="CB158" s="22">
        <f t="shared" si="171"/>
        <v>1.0220655882243624E-12</v>
      </c>
      <c r="CC158" s="62">
        <f t="shared" si="119"/>
        <v>287.24935502518071</v>
      </c>
      <c r="CD158" s="62">
        <f ca="1">AVERAGE(OFFSET($CC$3,0,0,'Données projet'!$E$12+1,1))-AVERAGE(OFFSET($H$3,0,0,'Données projet'!$E$12+1,1))</f>
        <v>454.9779384236806</v>
      </c>
      <c r="CE158" s="62">
        <f t="shared" si="148"/>
        <v>379.32753348721906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38.503311641222325</v>
      </c>
      <c r="CL158" s="23">
        <f>EXP(-LN(2)/25)*CL157+(1-EXP(-LN(2)/25))/(LN(2)/25)*Calculateur!CG158*Calculateur!CI158*VLOOKUP('Données projet'!$B$12,Paramètres!$A$1:$I$89,3,0)*0.475*44/12</f>
        <v>11.823947141157598</v>
      </c>
      <c r="CM158" s="23">
        <f>EXP(-LN(2)/2)*CM157+(1-EXP(-LN(2)/2))/(LN(2)/2)*CG158*CJ158*VLOOKUP('Données projet'!$B$12,Paramètres!$A$1:$I$89,3,0)*0.475*44/12</f>
        <v>6.5413212196046978E-10</v>
      </c>
      <c r="CN158" s="24">
        <f t="shared" si="172"/>
        <v>50.327258783034054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252.10592533338991</v>
      </c>
      <c r="CZ158" s="62">
        <f t="shared" si="150"/>
        <v>272.71831345325313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10.658460923174482</v>
      </c>
      <c r="DH158" s="23">
        <f>EXP(-LN(2)/2)*DH157+(1-EXP(-LN(2)/2))/(LN(2)/2)*DB158*DE158*VLOOKUP('Données projet'!$B$13,Paramètres!$A$1:$I$89,3,0)*0.475*44/12</f>
        <v>8.4962590004110469E-14</v>
      </c>
      <c r="DI158" s="24">
        <f t="shared" si="175"/>
        <v>10.658460923174568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423.0896575168394</v>
      </c>
      <c r="DU158" s="62">
        <f t="shared" si="152"/>
        <v>305.98537395014284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34.51225882996895</v>
      </c>
      <c r="EB158" s="23">
        <f>EXP(-LN(2)/25)*EB157+(1-EXP(-LN(2)/25))/(LN(2)/25)*Calculateur!DW158*Calculateur!DY158*VLOOKUP('Données projet'!$B$14,Paramètres!$A$1:$I$89,3,0)*0.475*44/12</f>
        <v>22.359956848315104</v>
      </c>
      <c r="EC158" s="23">
        <f>EXP(-LN(2)/2)*EC157+(1-EXP(-LN(2)/2))/(LN(2)/2)*DW158*DZ158*VLOOKUP('Données projet'!$B$14,Paramètres!$A$1:$I$89,3,0)*0.475*44/12</f>
        <v>1.6657174714675608E-14</v>
      </c>
      <c r="ED158" s="24">
        <f t="shared" si="178"/>
        <v>56.872215678284064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2.2737367544323206E-13</v>
      </c>
      <c r="EK158" s="18">
        <f>EJ158*VLOOKUP('Données projet'!$B$15,Paramètres!$A$1:$I$89,3,0)*VLOOKUP('Données projet'!$B$15,Paramètres!$A$1:$I$89,5,0)</f>
        <v>1.3596945791505279E-13</v>
      </c>
      <c r="EL158" s="14">
        <f t="shared" si="179"/>
        <v>1.9708830566360721E-12</v>
      </c>
      <c r="EM158" s="22">
        <f t="shared" si="180"/>
        <v>3.669434796176543E-12</v>
      </c>
      <c r="EN158" s="62">
        <f t="shared" si="128"/>
        <v>287.24935502518338</v>
      </c>
      <c r="EO158" s="62">
        <f ca="1">AVERAGE(OFFSET($EN$3,0,0,'Données projet'!$E$15+1,1))-AVERAGE(OFFSET($H$3,0,0,'Données projet'!$E$15+1,1))</f>
        <v>281.21543175875604</v>
      </c>
      <c r="EP158" s="62">
        <f t="shared" si="154"/>
        <v>366.68536296857428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14.550227503278034</v>
      </c>
      <c r="EW158" s="23">
        <f>EXP(-LN(2)/25)*EW157+(1-EXP(-LN(2)/25))/(LN(2)/25)*Calculateur!ER158*Calculateur!ET158*VLOOKUP('Données projet'!$B$15,Paramètres!$A$1:$I$89,3,0)*0.475*44/12</f>
        <v>2.3209713015520674</v>
      </c>
      <c r="EX158" s="23">
        <f>EXP(-LN(2)/2)*EX157+(1-EXP(-LN(2)/2))/(LN(2)/2)*ER158*EU158*VLOOKUP('Données projet'!$B$15,Paramètres!$A$1:$I$89,3,0)*0.475*44/12</f>
        <v>2.6211985569795581E-14</v>
      </c>
      <c r="EY158" s="24">
        <f t="shared" si="181"/>
        <v>16.871198804830126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2.2737367544323206E-13</v>
      </c>
      <c r="FF158" s="18">
        <f>FE158*VLOOKUP('Données projet'!$B$16,Paramètres!$A$1:$I$89,3,0)*VLOOKUP('Données projet'!$B$16,Paramètres!$A$1:$I$89,5,0)</f>
        <v>1.2710188457276673E-13</v>
      </c>
      <c r="FG158" s="14">
        <f t="shared" si="182"/>
        <v>1.856866851063998E-12</v>
      </c>
      <c r="FH158" s="22">
        <f t="shared" si="183"/>
        <v>3.4554122145673649E-12</v>
      </c>
      <c r="FI158" s="62">
        <f t="shared" si="131"/>
        <v>287.24935502518315</v>
      </c>
      <c r="FJ158" s="62">
        <f ca="1">AVERAGE(OFFSET($FI$3,0,0,'Données projet'!$E$16+1,1))-AVERAGE(OFFSET($H$3,0,0,'Données projet'!$E$16+1,1))</f>
        <v>280.9225643428145</v>
      </c>
      <c r="FK158" s="62">
        <f t="shared" si="156"/>
        <v>236.89414218053955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45.51621009754637</v>
      </c>
      <c r="FR158" s="23">
        <f>EXP(-LN(2)/25)*FR157+(1-EXP(-LN(2)/25))/(LN(2)/25)*Calculateur!FM158*Calculateur!FO158*VLOOKUP('Données projet'!$B$16,Paramètres!$A$1:$I$89,3,0)*0.475*44/12</f>
        <v>7.4283756593650683</v>
      </c>
      <c r="FS158" s="23">
        <f>EXP(-LN(2)/2)*FS157+(1-EXP(-LN(2)/2))/(LN(2)/2)*FM158*FP158*VLOOKUP('Données projet'!$B$16,Paramètres!$A$1:$I$89,3,0)*0.475*44/12</f>
        <v>6.8999377023690539E-16</v>
      </c>
      <c r="FT158" s="24">
        <f t="shared" si="184"/>
        <v>52.944585756911437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-5.6843418860808015E-13</v>
      </c>
      <c r="GA158" s="18">
        <f>FZ158*VLOOKUP('Données projet'!$B$17,Paramètres!$A$1:$I$89,3,0)*VLOOKUP('Données projet'!$B$17,Paramètres!$A$1:$I$89,5,0)</f>
        <v>-2.5124791136477147E-13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325.67421864225201</v>
      </c>
      <c r="GF158" s="62">
        <f t="shared" si="158"/>
        <v>542.01920418736745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29.45763880525007</v>
      </c>
      <c r="GM158" s="23">
        <f>EXP(-LN(2)/25)*GM157+(1-EXP(-LN(2)/25))/(LN(2)/25)*Calculateur!GH158*Calculateur!GJ158*VLOOKUP('Données projet'!$B$17,Paramètres!$A$1:$I$89,3,0)*0.475*44/12</f>
        <v>8.7059803758911478</v>
      </c>
      <c r="GN158" s="23">
        <f>EXP(-LN(2)/2)*GN157+(1-EXP(-LN(2)/2))/(LN(2)/2)*GH158*GK158*VLOOKUP('Données projet'!$B$17,Paramètres!$A$1:$I$89,3,0)*0.475*44/12</f>
        <v>7.0277938520845252E-16</v>
      </c>
      <c r="GO158" s="23">
        <f t="shared" si="187"/>
        <v>38.163619181141215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-2.5579538487363607E-13</v>
      </c>
      <c r="GV158" s="18">
        <f>GU158*VLOOKUP('Données projet'!$B$18,Paramètres!$A$1:$I$89,3,0)*VLOOKUP('Données projet'!$B$18,Paramètres!$A$1:$I$89,5,0)</f>
        <v>-2.5937652026186701E-13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220.89224520315713</v>
      </c>
      <c r="HA158" s="62">
        <f t="shared" si="160"/>
        <v>141.82763623159096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-2.8421709430404007E-14</v>
      </c>
      <c r="O159" s="14">
        <f>N159*VLOOKUP('Données projet'!$B$9,Paramètres!$A$1:$I$89,3,0)*VLOOKUP('Données projet'!$B$9,Paramètres!$A$1:$I$89,5,0)</f>
        <v>-2.7489477361086758E-14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84.959354125980269</v>
      </c>
      <c r="T159" s="62">
        <f t="shared" si="142"/>
        <v>89.658970210276806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1.4344709230075336</v>
      </c>
      <c r="AB159" s="23">
        <f>EXP(-LN(2)/2)*AB158+(1-EXP(-LN(2)/2))/(LN(2)/2)*V159*Y159*VLOOKUP('Données projet'!$B$9,Paramètres!$A$1:$I$89,3,0)*0.475*44/12</f>
        <v>3.7188905238345177E-13</v>
      </c>
      <c r="AC159" s="24">
        <f t="shared" si="163"/>
        <v>1.4344709230079056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-1.1368683772161603E-12</v>
      </c>
      <c r="AJ159" s="14">
        <f>AI159*VLOOKUP('Données projet'!$B$10,Paramètres!$A$1:$I$89,3,0)*VLOOKUP('Données projet'!$B$10,Paramètres!$A$1:$I$89,5,0)</f>
        <v>-1.0818439477588981E-12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592.76231355549089</v>
      </c>
      <c r="AO159" s="62">
        <f t="shared" si="144"/>
        <v>200.66895551079014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155.76045272828625</v>
      </c>
      <c r="AV159" s="23">
        <f>EXP(-LN(2)/25)*AV158+(1-EXP(-LN(2)/25))/(LN(2)/25)*Calculateur!AQ159*Calculateur!AS159*VLOOKUP('Données projet'!$B$10,Paramètres!$A$1:$I$89,3,0)*0.475*44/12</f>
        <v>37.739914506153355</v>
      </c>
      <c r="AW159" s="23">
        <f>EXP(-LN(2)/2)*AW158+(1-EXP(-LN(2)/2))/(LN(2)/2)*AQ159*AT159*VLOOKUP('Données projet'!$B$10,Paramètres!$A$1:$I$89,3,0)*0.475*44/12</f>
        <v>4.5685435273872962E-14</v>
      </c>
      <c r="AX159" s="23">
        <f t="shared" si="166"/>
        <v>193.50036723443966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-2.0572770154103635E-13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316.71836722354374</v>
      </c>
      <c r="BJ159" s="62">
        <f t="shared" si="146"/>
        <v>164.34067012996618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88.236455037298242</v>
      </c>
      <c r="BQ159" s="23">
        <f>EXP(-LN(2)/25)*BQ158+(1-EXP(-LN(2)/25))/(LN(2)/25)*Calculateur!BL159*Calculateur!BN159*VLOOKUP('Données projet'!$B$11,Paramètres!$A$1:$I$89,3,0)*0.475*44/12</f>
        <v>1.4687235456787748</v>
      </c>
      <c r="BR159" s="23">
        <f>EXP(-LN(2)/2)*BR158+(1-EXP(-LN(2)/2))/(LN(2)/2)*BL159*BO159*VLOOKUP('Données projet'!$B$11,Paramètres!$A$1:$I$89,3,0)*0.475*44/12</f>
        <v>2.9515232846984312E-15</v>
      </c>
      <c r="BS159" s="24">
        <f t="shared" si="169"/>
        <v>89.705178582977013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2.8421709430404007E-14</v>
      </c>
      <c r="BZ159" s="14">
        <f>BY159*VLOOKUP('Données projet'!$B$12,Paramètres!$A$1:$I$89,3,0)*VLOOKUP('Données projet'!$B$12,Paramètres!$A$1:$I$89,5,0)</f>
        <v>3.2366642699344085E-14</v>
      </c>
      <c r="CA159" s="14">
        <f t="shared" si="170"/>
        <v>5.5446527398450045E-13</v>
      </c>
      <c r="CB159" s="22">
        <f t="shared" si="171"/>
        <v>1.0220655882243624E-12</v>
      </c>
      <c r="CC159" s="62">
        <f t="shared" si="119"/>
        <v>287.35489844708934</v>
      </c>
      <c r="CD159" s="62">
        <f ca="1">AVERAGE(OFFSET($CC$3,0,0,'Données projet'!$E$12+1,1))-AVERAGE(OFFSET($H$3,0,0,'Données projet'!$E$12+1,1))</f>
        <v>454.9779384236806</v>
      </c>
      <c r="CE159" s="62">
        <f t="shared" si="148"/>
        <v>379.32753348721906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37.748285184639137</v>
      </c>
      <c r="CL159" s="23">
        <f>EXP(-LN(2)/25)*CL158+(1-EXP(-LN(2)/25))/(LN(2)/25)*Calculateur!CG159*Calculateur!CI159*VLOOKUP('Données projet'!$B$12,Paramètres!$A$1:$I$89,3,0)*0.475*44/12</f>
        <v>11.500620684788288</v>
      </c>
      <c r="CM159" s="23">
        <f>EXP(-LN(2)/2)*CM158+(1-EXP(-LN(2)/2))/(LN(2)/2)*CG159*CJ159*VLOOKUP('Données projet'!$B$12,Paramètres!$A$1:$I$89,3,0)*0.475*44/12</f>
        <v>4.6254125923019394E-10</v>
      </c>
      <c r="CN159" s="24">
        <f t="shared" si="172"/>
        <v>49.248905869889967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252.10592533338991</v>
      </c>
      <c r="CZ159" s="62">
        <f t="shared" si="150"/>
        <v>272.71831345325313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10.367004748726176</v>
      </c>
      <c r="DH159" s="23">
        <f>EXP(-LN(2)/2)*DH158+(1-EXP(-LN(2)/2))/(LN(2)/2)*DB159*DE159*VLOOKUP('Données projet'!$B$13,Paramètres!$A$1:$I$89,3,0)*0.475*44/12</f>
        <v>6.0077623539078891E-14</v>
      </c>
      <c r="DI159" s="24">
        <f t="shared" si="175"/>
        <v>10.367004748726236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423.0896575168394</v>
      </c>
      <c r="DU159" s="62">
        <f t="shared" si="152"/>
        <v>305.98537395014284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33.835494484712591</v>
      </c>
      <c r="EB159" s="23">
        <f>EXP(-LN(2)/25)*EB158+(1-EXP(-LN(2)/25))/(LN(2)/25)*Calculateur!DW159*Calculateur!DY159*VLOOKUP('Données projet'!$B$14,Paramètres!$A$1:$I$89,3,0)*0.475*44/12</f>
        <v>21.748522652438901</v>
      </c>
      <c r="EC159" s="23">
        <f>EXP(-LN(2)/2)*EC158+(1-EXP(-LN(2)/2))/(LN(2)/2)*DW159*DZ159*VLOOKUP('Données projet'!$B$14,Paramètres!$A$1:$I$89,3,0)*0.475*44/12</f>
        <v>1.1778401196156217E-14</v>
      </c>
      <c r="ED159" s="24">
        <f t="shared" si="178"/>
        <v>55.584017137151505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2.2737367544323206E-13</v>
      </c>
      <c r="EK159" s="18">
        <f>EJ159*VLOOKUP('Données projet'!$B$15,Paramètres!$A$1:$I$89,3,0)*VLOOKUP('Données projet'!$B$15,Paramètres!$A$1:$I$89,5,0)</f>
        <v>1.3596945791505279E-13</v>
      </c>
      <c r="EL159" s="14">
        <f t="shared" si="179"/>
        <v>1.9708830566360721E-12</v>
      </c>
      <c r="EM159" s="22">
        <f t="shared" si="180"/>
        <v>3.669434796176543E-12</v>
      </c>
      <c r="EN159" s="62">
        <f t="shared" si="128"/>
        <v>287.35489844709201</v>
      </c>
      <c r="EO159" s="62">
        <f ca="1">AVERAGE(OFFSET($EN$3,0,0,'Données projet'!$E$15+1,1))-AVERAGE(OFFSET($H$3,0,0,'Données projet'!$E$15+1,1))</f>
        <v>281.21543175875604</v>
      </c>
      <c r="EP159" s="62">
        <f t="shared" si="154"/>
        <v>366.68536296857428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14.264906416701219</v>
      </c>
      <c r="EW159" s="23">
        <f>EXP(-LN(2)/25)*EW158+(1-EXP(-LN(2)/25))/(LN(2)/25)*Calculateur!ER159*Calculateur!ET159*VLOOKUP('Données projet'!$B$15,Paramètres!$A$1:$I$89,3,0)*0.475*44/12</f>
        <v>2.2575042192565502</v>
      </c>
      <c r="EX159" s="23">
        <f>EXP(-LN(2)/2)*EX158+(1-EXP(-LN(2)/2))/(LN(2)/2)*ER159*EU159*VLOOKUP('Données projet'!$B$15,Paramètres!$A$1:$I$89,3,0)*0.475*44/12</f>
        <v>1.8534672744766385E-14</v>
      </c>
      <c r="EY159" s="24">
        <f t="shared" si="181"/>
        <v>16.522410635957787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2.2737367544323206E-13</v>
      </c>
      <c r="FF159" s="18">
        <f>FE159*VLOOKUP('Données projet'!$B$16,Paramètres!$A$1:$I$89,3,0)*VLOOKUP('Données projet'!$B$16,Paramètres!$A$1:$I$89,5,0)</f>
        <v>1.2710188457276673E-13</v>
      </c>
      <c r="FG159" s="14">
        <f t="shared" si="182"/>
        <v>1.856866851063998E-12</v>
      </c>
      <c r="FH159" s="22">
        <f t="shared" si="183"/>
        <v>3.4554122145673649E-12</v>
      </c>
      <c r="FI159" s="62">
        <f t="shared" si="131"/>
        <v>287.35489844709178</v>
      </c>
      <c r="FJ159" s="62">
        <f ca="1">AVERAGE(OFFSET($FI$3,0,0,'Données projet'!$E$16+1,1))-AVERAGE(OFFSET($H$3,0,0,'Données projet'!$E$16+1,1))</f>
        <v>280.9225643428145</v>
      </c>
      <c r="FK159" s="62">
        <f t="shared" si="156"/>
        <v>236.89414218053955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44.623664979680363</v>
      </c>
      <c r="FR159" s="23">
        <f>EXP(-LN(2)/25)*FR158+(1-EXP(-LN(2)/25))/(LN(2)/25)*Calculateur!FM159*Calculateur!FO159*VLOOKUP('Données projet'!$B$16,Paramètres!$A$1:$I$89,3,0)*0.475*44/12</f>
        <v>7.225246336318432</v>
      </c>
      <c r="FS159" s="23">
        <f>EXP(-LN(2)/2)*FS158+(1-EXP(-LN(2)/2))/(LN(2)/2)*FM159*FP159*VLOOKUP('Données projet'!$B$16,Paramètres!$A$1:$I$89,3,0)*0.475*44/12</f>
        <v>4.878992739109884E-16</v>
      </c>
      <c r="FT159" s="24">
        <f t="shared" si="184"/>
        <v>51.848911315998798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-5.6843418860808015E-13</v>
      </c>
      <c r="GA159" s="18">
        <f>FZ159*VLOOKUP('Données projet'!$B$17,Paramètres!$A$1:$I$89,3,0)*VLOOKUP('Données projet'!$B$17,Paramètres!$A$1:$I$89,5,0)</f>
        <v>-2.5124791136477147E-13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325.67421864225201</v>
      </c>
      <c r="GF159" s="62">
        <f t="shared" si="158"/>
        <v>542.01920418736745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28.879992475664654</v>
      </c>
      <c r="GM159" s="23">
        <f>EXP(-LN(2)/25)*GM158+(1-EXP(-LN(2)/25))/(LN(2)/25)*Calculateur!GH159*Calculateur!GJ159*VLOOKUP('Données projet'!$B$17,Paramètres!$A$1:$I$89,3,0)*0.475*44/12</f>
        <v>8.4679148846847934</v>
      </c>
      <c r="GN159" s="23">
        <f>EXP(-LN(2)/2)*GN158+(1-EXP(-LN(2)/2))/(LN(2)/2)*GH159*GK159*VLOOKUP('Données projet'!$B$17,Paramètres!$A$1:$I$89,3,0)*0.475*44/12</f>
        <v>4.9694006895900962E-16</v>
      </c>
      <c r="GO159" s="23">
        <f t="shared" si="187"/>
        <v>37.347907360349446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-2.5579538487363607E-13</v>
      </c>
      <c r="GV159" s="18">
        <f>GU159*VLOOKUP('Données projet'!$B$18,Paramètres!$A$1:$I$89,3,0)*VLOOKUP('Données projet'!$B$18,Paramètres!$A$1:$I$89,5,0)</f>
        <v>-2.5937652026186701E-13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220.89224520315713</v>
      </c>
      <c r="HA159" s="62">
        <f t="shared" si="160"/>
        <v>141.82763623159096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-2.8421709430404007E-14</v>
      </c>
      <c r="O160" s="14">
        <f>N160*VLOOKUP('Données projet'!$B$9,Paramètres!$A$1:$I$89,3,0)*VLOOKUP('Données projet'!$B$9,Paramètres!$A$1:$I$89,5,0)</f>
        <v>-2.7489477361086758E-14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84.959354125980269</v>
      </c>
      <c r="T160" s="62">
        <f t="shared" si="142"/>
        <v>89.658970210276806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1.3952452401823454</v>
      </c>
      <c r="AB160" s="23">
        <f>EXP(-LN(2)/2)*AB159+(1-EXP(-LN(2)/2))/(LN(2)/2)*V160*Y160*VLOOKUP('Données projet'!$B$9,Paramètres!$A$1:$I$89,3,0)*0.475*44/12</f>
        <v>2.6296527078937794E-13</v>
      </c>
      <c r="AC160" s="24">
        <f t="shared" si="163"/>
        <v>1.3952452401826083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-1.1368683772161603E-12</v>
      </c>
      <c r="AJ160" s="14">
        <f>AI160*VLOOKUP('Données projet'!$B$10,Paramètres!$A$1:$I$89,3,0)*VLOOKUP('Données projet'!$B$10,Paramètres!$A$1:$I$89,5,0)</f>
        <v>-1.0818439477588981E-12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592.76231355549089</v>
      </c>
      <c r="AO160" s="62">
        <f t="shared" si="144"/>
        <v>200.66895551079014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152.70608525477982</v>
      </c>
      <c r="AV160" s="23">
        <f>EXP(-LN(2)/25)*AV159+(1-EXP(-LN(2)/25))/(LN(2)/25)*Calculateur!AQ160*Calculateur!AS160*VLOOKUP('Données projet'!$B$10,Paramètres!$A$1:$I$89,3,0)*0.475*44/12</f>
        <v>36.707914559326746</v>
      </c>
      <c r="AW160" s="23">
        <f>EXP(-LN(2)/2)*AW159+(1-EXP(-LN(2)/2))/(LN(2)/2)*AQ160*AT160*VLOOKUP('Données projet'!$B$10,Paramètres!$A$1:$I$89,3,0)*0.475*44/12</f>
        <v>3.2304481083614668E-14</v>
      </c>
      <c r="AX160" s="23">
        <f t="shared" si="166"/>
        <v>189.4139998141066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-2.0572770154103635E-13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316.71836722354374</v>
      </c>
      <c r="BJ160" s="62">
        <f t="shared" si="146"/>
        <v>164.34067012996618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86.506191972940215</v>
      </c>
      <c r="BQ160" s="23">
        <f>EXP(-LN(2)/25)*BQ159+(1-EXP(-LN(2)/25))/(LN(2)/25)*Calculateur!BL160*Calculateur!BN160*VLOOKUP('Données projet'!$B$11,Paramètres!$A$1:$I$89,3,0)*0.475*44/12</f>
        <v>1.4285612230853744</v>
      </c>
      <c r="BR160" s="23">
        <f>EXP(-LN(2)/2)*BR159+(1-EXP(-LN(2)/2))/(LN(2)/2)*BL160*BO160*VLOOKUP('Données projet'!$B$11,Paramètres!$A$1:$I$89,3,0)*0.475*44/12</f>
        <v>2.0870421294402536E-15</v>
      </c>
      <c r="BS160" s="24">
        <f t="shared" si="169"/>
        <v>87.934753196025582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2.8421709430404007E-14</v>
      </c>
      <c r="BZ160" s="14">
        <f>BY160*VLOOKUP('Données projet'!$B$12,Paramètres!$A$1:$I$89,3,0)*VLOOKUP('Données projet'!$B$12,Paramètres!$A$1:$I$89,5,0)</f>
        <v>3.2366642699344085E-14</v>
      </c>
      <c r="CA160" s="14">
        <f t="shared" si="170"/>
        <v>5.5446527398450045E-13</v>
      </c>
      <c r="CB160" s="22">
        <f t="shared" si="171"/>
        <v>1.0220655882243624E-12</v>
      </c>
      <c r="CC160" s="62">
        <f t="shared" si="119"/>
        <v>287.4586109265876</v>
      </c>
      <c r="CD160" s="62">
        <f ca="1">AVERAGE(OFFSET($CC$3,0,0,'Données projet'!$E$12+1,1))-AVERAGE(OFFSET($H$3,0,0,'Données projet'!$E$12+1,1))</f>
        <v>454.9779384236806</v>
      </c>
      <c r="CE160" s="62">
        <f t="shared" si="148"/>
        <v>379.32753348721906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37.00806433634888</v>
      </c>
      <c r="CL160" s="23">
        <f>EXP(-LN(2)/25)*CL159+(1-EXP(-LN(2)/25))/(LN(2)/25)*Calculateur!CG160*Calculateur!CI160*VLOOKUP('Données projet'!$B$12,Paramètres!$A$1:$I$89,3,0)*0.475*44/12</f>
        <v>11.186135607371396</v>
      </c>
      <c r="CM160" s="23">
        <f>EXP(-LN(2)/2)*CM159+(1-EXP(-LN(2)/2))/(LN(2)/2)*CG160*CJ160*VLOOKUP('Données projet'!$B$12,Paramètres!$A$1:$I$89,3,0)*0.475*44/12</f>
        <v>3.2706606098023494E-10</v>
      </c>
      <c r="CN160" s="24">
        <f t="shared" si="172"/>
        <v>48.194199944047341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252.10592533338991</v>
      </c>
      <c r="CZ160" s="62">
        <f t="shared" si="150"/>
        <v>272.71831345325313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10.083518458695172</v>
      </c>
      <c r="DH160" s="23">
        <f>EXP(-LN(2)/2)*DH159+(1-EXP(-LN(2)/2))/(LN(2)/2)*DB160*DE160*VLOOKUP('Données projet'!$B$13,Paramètres!$A$1:$I$89,3,0)*0.475*44/12</f>
        <v>4.2481295002055235E-14</v>
      </c>
      <c r="DI160" s="24">
        <f t="shared" si="175"/>
        <v>10.083518458695215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423.0896575168394</v>
      </c>
      <c r="DU160" s="62">
        <f t="shared" si="152"/>
        <v>305.98537395014284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33.172001075481219</v>
      </c>
      <c r="EB160" s="23">
        <f>EXP(-LN(2)/25)*EB159+(1-EXP(-LN(2)/25))/(LN(2)/25)*Calculateur!DW160*Calculateur!DY160*VLOOKUP('Données projet'!$B$14,Paramètres!$A$1:$I$89,3,0)*0.475*44/12</f>
        <v>21.15380815680286</v>
      </c>
      <c r="EC160" s="23">
        <f>EXP(-LN(2)/2)*EC159+(1-EXP(-LN(2)/2))/(LN(2)/2)*DW160*DZ160*VLOOKUP('Données projet'!$B$14,Paramètres!$A$1:$I$89,3,0)*0.475*44/12</f>
        <v>8.3285873573378039E-15</v>
      </c>
      <c r="ED160" s="24">
        <f t="shared" si="178"/>
        <v>54.325809232284087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2.2737367544323206E-13</v>
      </c>
      <c r="EK160" s="18">
        <f>EJ160*VLOOKUP('Données projet'!$B$15,Paramètres!$A$1:$I$89,3,0)*VLOOKUP('Données projet'!$B$15,Paramètres!$A$1:$I$89,5,0)</f>
        <v>1.3596945791505279E-13</v>
      </c>
      <c r="EL160" s="14">
        <f t="shared" si="179"/>
        <v>1.9708830566360721E-12</v>
      </c>
      <c r="EM160" s="22">
        <f t="shared" si="180"/>
        <v>3.669434796176543E-12</v>
      </c>
      <c r="EN160" s="62">
        <f t="shared" si="128"/>
        <v>287.45861092659027</v>
      </c>
      <c r="EO160" s="62">
        <f ca="1">AVERAGE(OFFSET($EN$3,0,0,'Données projet'!$E$15+1,1))-AVERAGE(OFFSET($H$3,0,0,'Données projet'!$E$15+1,1))</f>
        <v>281.21543175875604</v>
      </c>
      <c r="EP160" s="62">
        <f t="shared" si="154"/>
        <v>366.68536296857428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13.985180302603496</v>
      </c>
      <c r="EW160" s="23">
        <f>EXP(-LN(2)/25)*EW159+(1-EXP(-LN(2)/25))/(LN(2)/25)*Calculateur!ER160*Calculateur!ET160*VLOOKUP('Données projet'!$B$15,Paramètres!$A$1:$I$89,3,0)*0.475*44/12</f>
        <v>2.1957726476639925</v>
      </c>
      <c r="EX160" s="23">
        <f>EXP(-LN(2)/2)*EX159+(1-EXP(-LN(2)/2))/(LN(2)/2)*ER160*EU160*VLOOKUP('Données projet'!$B$15,Paramètres!$A$1:$I$89,3,0)*0.475*44/12</f>
        <v>1.3105992784897791E-14</v>
      </c>
      <c r="EY160" s="24">
        <f t="shared" si="181"/>
        <v>16.180952950267503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2.2737367544323206E-13</v>
      </c>
      <c r="FF160" s="18">
        <f>FE160*VLOOKUP('Données projet'!$B$16,Paramètres!$A$1:$I$89,3,0)*VLOOKUP('Données projet'!$B$16,Paramètres!$A$1:$I$89,5,0)</f>
        <v>1.2710188457276673E-13</v>
      </c>
      <c r="FG160" s="14">
        <f t="shared" si="182"/>
        <v>1.856866851063998E-12</v>
      </c>
      <c r="FH160" s="22">
        <f t="shared" si="183"/>
        <v>3.4554122145673649E-12</v>
      </c>
      <c r="FI160" s="62">
        <f t="shared" si="131"/>
        <v>287.45861092659004</v>
      </c>
      <c r="FJ160" s="62">
        <f ca="1">AVERAGE(OFFSET($FI$3,0,0,'Données projet'!$E$16+1,1))-AVERAGE(OFFSET($H$3,0,0,'Données projet'!$E$16+1,1))</f>
        <v>280.9225643428145</v>
      </c>
      <c r="FK160" s="62">
        <f t="shared" si="156"/>
        <v>236.89414218053955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43.748622127176937</v>
      </c>
      <c r="FR160" s="23">
        <f>EXP(-LN(2)/25)*FR159+(1-EXP(-LN(2)/25))/(LN(2)/25)*Calculateur!FM160*Calculateur!FO160*VLOOKUP('Données projet'!$B$16,Paramètres!$A$1:$I$89,3,0)*0.475*44/12</f>
        <v>7.0276715952926132</v>
      </c>
      <c r="FS160" s="23">
        <f>EXP(-LN(2)/2)*FS159+(1-EXP(-LN(2)/2))/(LN(2)/2)*FM160*FP160*VLOOKUP('Données projet'!$B$16,Paramètres!$A$1:$I$89,3,0)*0.475*44/12</f>
        <v>3.449968851184527E-16</v>
      </c>
      <c r="FT160" s="24">
        <f t="shared" si="184"/>
        <v>50.776293722469546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-5.6843418860808015E-13</v>
      </c>
      <c r="GA160" s="18">
        <f>FZ160*VLOOKUP('Données projet'!$B$17,Paramètres!$A$1:$I$89,3,0)*VLOOKUP('Données projet'!$B$17,Paramètres!$A$1:$I$89,5,0)</f>
        <v>-2.5124791136477147E-13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325.67421864225201</v>
      </c>
      <c r="GF160" s="62">
        <f t="shared" si="158"/>
        <v>542.01920418736745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28.313673438272939</v>
      </c>
      <c r="GM160" s="23">
        <f>EXP(-LN(2)/25)*GM159+(1-EXP(-LN(2)/25))/(LN(2)/25)*Calculateur!GH160*Calculateur!GJ160*VLOOKUP('Données projet'!$B$17,Paramètres!$A$1:$I$89,3,0)*0.475*44/12</f>
        <v>8.2363593068547978</v>
      </c>
      <c r="GN160" s="23">
        <f>EXP(-LN(2)/2)*GN159+(1-EXP(-LN(2)/2))/(LN(2)/2)*GH160*GK160*VLOOKUP('Données projet'!$B$17,Paramètres!$A$1:$I$89,3,0)*0.475*44/12</f>
        <v>3.5138969260422626E-16</v>
      </c>
      <c r="GO160" s="23">
        <f t="shared" si="187"/>
        <v>36.550032745127737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-2.5579538487363607E-13</v>
      </c>
      <c r="GV160" s="18">
        <f>GU160*VLOOKUP('Données projet'!$B$18,Paramètres!$A$1:$I$89,3,0)*VLOOKUP('Données projet'!$B$18,Paramètres!$A$1:$I$89,5,0)</f>
        <v>-2.5937652026186701E-13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220.89224520315713</v>
      </c>
      <c r="HA160" s="62">
        <f t="shared" si="160"/>
        <v>141.82763623159096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-2.8421709430404007E-14</v>
      </c>
      <c r="O161" s="14">
        <f>N161*VLOOKUP('Données projet'!$B$9,Paramètres!$A$1:$I$89,3,0)*VLOOKUP('Données projet'!$B$9,Paramètres!$A$1:$I$89,5,0)</f>
        <v>-2.7489477361086758E-14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84.959354125980269</v>
      </c>
      <c r="T161" s="62">
        <f t="shared" si="142"/>
        <v>89.658970210276806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1.3570921857168008</v>
      </c>
      <c r="AB161" s="23">
        <f>EXP(-LN(2)/2)*AB160+(1-EXP(-LN(2)/2))/(LN(2)/2)*V161*Y161*VLOOKUP('Données projet'!$B$9,Paramètres!$A$1:$I$89,3,0)*0.475*44/12</f>
        <v>1.8594452619172588E-13</v>
      </c>
      <c r="AC161" s="24">
        <f t="shared" si="163"/>
        <v>1.3570921857169866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-1.1368683772161603E-12</v>
      </c>
      <c r="AJ161" s="14">
        <f>AI161*VLOOKUP('Données projet'!$B$10,Paramètres!$A$1:$I$89,3,0)*VLOOKUP('Données projet'!$B$10,Paramètres!$A$1:$I$89,5,0)</f>
        <v>-1.0818439477588981E-12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592.76231355549089</v>
      </c>
      <c r="AO161" s="62">
        <f t="shared" si="144"/>
        <v>200.66895551079014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149.71161206444864</v>
      </c>
      <c r="AV161" s="23">
        <f>EXP(-LN(2)/25)*AV160+(1-EXP(-LN(2)/25))/(LN(2)/25)*Calculateur!AQ161*Calculateur!AS161*VLOOKUP('Données projet'!$B$10,Paramètres!$A$1:$I$89,3,0)*0.475*44/12</f>
        <v>35.704134705316626</v>
      </c>
      <c r="AW161" s="23">
        <f>EXP(-LN(2)/2)*AW160+(1-EXP(-LN(2)/2))/(LN(2)/2)*AQ161*AT161*VLOOKUP('Données projet'!$B$10,Paramètres!$A$1:$I$89,3,0)*0.475*44/12</f>
        <v>2.2842717636936481E-14</v>
      </c>
      <c r="AX161" s="23">
        <f t="shared" si="166"/>
        <v>185.41574676976529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-2.0572770154103635E-13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316.71836722354374</v>
      </c>
      <c r="BJ161" s="62">
        <f t="shared" si="146"/>
        <v>164.34067012996618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84.809858311917992</v>
      </c>
      <c r="BQ161" s="23">
        <f>EXP(-LN(2)/25)*BQ160+(1-EXP(-LN(2)/25))/(LN(2)/25)*Calculateur!BL161*Calculateur!BN161*VLOOKUP('Données projet'!$B$11,Paramètres!$A$1:$I$89,3,0)*0.475*44/12</f>
        <v>1.3894971413153352</v>
      </c>
      <c r="BR161" s="23">
        <f>EXP(-LN(2)/2)*BR160+(1-EXP(-LN(2)/2))/(LN(2)/2)*BL161*BO161*VLOOKUP('Données projet'!$B$11,Paramètres!$A$1:$I$89,3,0)*0.475*44/12</f>
        <v>1.4757616423492156E-15</v>
      </c>
      <c r="BS161" s="24">
        <f t="shared" si="169"/>
        <v>86.199355453233323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2.8421709430404007E-14</v>
      </c>
      <c r="BZ161" s="14">
        <f>BY161*VLOOKUP('Données projet'!$B$12,Paramètres!$A$1:$I$89,3,0)*VLOOKUP('Données projet'!$B$12,Paramètres!$A$1:$I$89,5,0)</f>
        <v>3.2366642699344085E-14</v>
      </c>
      <c r="CA161" s="14">
        <f t="shared" si="170"/>
        <v>5.5446527398450045E-13</v>
      </c>
      <c r="CB161" s="22">
        <f t="shared" si="171"/>
        <v>1.0220655882243624E-12</v>
      </c>
      <c r="CC161" s="62">
        <f t="shared" si="119"/>
        <v>287.56052422643302</v>
      </c>
      <c r="CD161" s="62">
        <f ca="1">AVERAGE(OFFSET($CC$3,0,0,'Données projet'!$E$12+1,1))-AVERAGE(OFFSET($H$3,0,0,'Données projet'!$E$12+1,1))</f>
        <v>454.9779384236806</v>
      </c>
      <c r="CE161" s="62">
        <f t="shared" si="148"/>
        <v>379.32753348721906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36.282358767403458</v>
      </c>
      <c r="CL161" s="23">
        <f>EXP(-LN(2)/25)*CL160+(1-EXP(-LN(2)/25))/(LN(2)/25)*Calculateur!CG161*Calculateur!CI161*VLOOKUP('Données projet'!$B$12,Paramètres!$A$1:$I$89,3,0)*0.475*44/12</f>
        <v>10.880250140934519</v>
      </c>
      <c r="CM161" s="23">
        <f>EXP(-LN(2)/2)*CM160+(1-EXP(-LN(2)/2))/(LN(2)/2)*CG161*CJ161*VLOOKUP('Données projet'!$B$12,Paramètres!$A$1:$I$89,3,0)*0.475*44/12</f>
        <v>2.3127062961509702E-10</v>
      </c>
      <c r="CN161" s="24">
        <f t="shared" si="172"/>
        <v>47.162608908569247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252.10592533338991</v>
      </c>
      <c r="CZ161" s="62">
        <f t="shared" si="150"/>
        <v>272.71831345325313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9.8077841161729626</v>
      </c>
      <c r="DH161" s="23">
        <f>EXP(-LN(2)/2)*DH160+(1-EXP(-LN(2)/2))/(LN(2)/2)*DB161*DE161*VLOOKUP('Données projet'!$B$13,Paramètres!$A$1:$I$89,3,0)*0.475*44/12</f>
        <v>3.0038811769539446E-14</v>
      </c>
      <c r="DI161" s="24">
        <f t="shared" si="175"/>
        <v>9.8077841161729928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423.0896575168394</v>
      </c>
      <c r="DU161" s="62">
        <f t="shared" si="152"/>
        <v>305.98537395014284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32.521518367313853</v>
      </c>
      <c r="EB161" s="23">
        <f>EXP(-LN(2)/25)*EB160+(1-EXP(-LN(2)/25))/(LN(2)/25)*Calculateur!DW161*Calculateur!DY161*VLOOKUP('Données projet'!$B$14,Paramètres!$A$1:$I$89,3,0)*0.475*44/12</f>
        <v>20.575356160324663</v>
      </c>
      <c r="EC161" s="23">
        <f>EXP(-LN(2)/2)*EC160+(1-EXP(-LN(2)/2))/(LN(2)/2)*DW161*DZ161*VLOOKUP('Données projet'!$B$14,Paramètres!$A$1:$I$89,3,0)*0.475*44/12</f>
        <v>5.8892005980781086E-15</v>
      </c>
      <c r="ED161" s="24">
        <f t="shared" si="178"/>
        <v>53.096874527638526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2.2737367544323206E-13</v>
      </c>
      <c r="EK161" s="18">
        <f>EJ161*VLOOKUP('Données projet'!$B$15,Paramètres!$A$1:$I$89,3,0)*VLOOKUP('Données projet'!$B$15,Paramètres!$A$1:$I$89,5,0)</f>
        <v>1.3596945791505279E-13</v>
      </c>
      <c r="EL161" s="14">
        <f t="shared" si="179"/>
        <v>1.9708830566360721E-12</v>
      </c>
      <c r="EM161" s="22">
        <f t="shared" si="180"/>
        <v>3.669434796176543E-12</v>
      </c>
      <c r="EN161" s="62">
        <f t="shared" si="128"/>
        <v>287.56052422643569</v>
      </c>
      <c r="EO161" s="62">
        <f ca="1">AVERAGE(OFFSET($EN$3,0,0,'Données projet'!$E$15+1,1))-AVERAGE(OFFSET($H$3,0,0,'Données projet'!$E$15+1,1))</f>
        <v>281.21543175875604</v>
      </c>
      <c r="EP161" s="62">
        <f t="shared" si="154"/>
        <v>366.68536296857428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13.710939446987148</v>
      </c>
      <c r="EW161" s="23">
        <f>EXP(-LN(2)/25)*EW160+(1-EXP(-LN(2)/25))/(LN(2)/25)*Calculateur!ER161*Calculateur!ET161*VLOOKUP('Données projet'!$B$15,Paramètres!$A$1:$I$89,3,0)*0.475*44/12</f>
        <v>2.1357291291429554</v>
      </c>
      <c r="EX161" s="23">
        <f>EXP(-LN(2)/2)*EX160+(1-EXP(-LN(2)/2))/(LN(2)/2)*ER161*EU161*VLOOKUP('Données projet'!$B$15,Paramètres!$A$1:$I$89,3,0)*0.475*44/12</f>
        <v>9.2673363723831925E-15</v>
      </c>
      <c r="EY161" s="24">
        <f t="shared" si="181"/>
        <v>15.846668576130112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2.2737367544323206E-13</v>
      </c>
      <c r="FF161" s="18">
        <f>FE161*VLOOKUP('Données projet'!$B$16,Paramètres!$A$1:$I$89,3,0)*VLOOKUP('Données projet'!$B$16,Paramètres!$A$1:$I$89,5,0)</f>
        <v>1.2710188457276673E-13</v>
      </c>
      <c r="FG161" s="14">
        <f t="shared" si="182"/>
        <v>1.856866851063998E-12</v>
      </c>
      <c r="FH161" s="22">
        <f t="shared" si="183"/>
        <v>3.4554122145673649E-12</v>
      </c>
      <c r="FI161" s="62">
        <f t="shared" si="131"/>
        <v>287.56052422643546</v>
      </c>
      <c r="FJ161" s="62">
        <f ca="1">AVERAGE(OFFSET($FI$3,0,0,'Données projet'!$E$16+1,1))-AVERAGE(OFFSET($H$3,0,0,'Données projet'!$E$16+1,1))</f>
        <v>280.9225643428145</v>
      </c>
      <c r="FK161" s="62">
        <f t="shared" si="156"/>
        <v>236.89414218053955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42.890738331287665</v>
      </c>
      <c r="FR161" s="23">
        <f>EXP(-LN(2)/25)*FR160+(1-EXP(-LN(2)/25))/(LN(2)/25)*Calculateur!FM161*Calculateur!FO161*VLOOKUP('Données projet'!$B$16,Paramètres!$A$1:$I$89,3,0)*0.475*44/12</f>
        <v>6.8354995459501495</v>
      </c>
      <c r="FS161" s="23">
        <f>EXP(-LN(2)/2)*FS160+(1-EXP(-LN(2)/2))/(LN(2)/2)*FM161*FP161*VLOOKUP('Données projet'!$B$16,Paramètres!$A$1:$I$89,3,0)*0.475*44/12</f>
        <v>2.439496369554942E-16</v>
      </c>
      <c r="FT161" s="24">
        <f t="shared" si="184"/>
        <v>49.726237877237814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-5.6843418860808015E-13</v>
      </c>
      <c r="GA161" s="18">
        <f>FZ161*VLOOKUP('Données projet'!$B$17,Paramètres!$A$1:$I$89,3,0)*VLOOKUP('Données projet'!$B$17,Paramètres!$A$1:$I$89,5,0)</f>
        <v>-2.5124791136477147E-13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325.67421864225201</v>
      </c>
      <c r="GF161" s="62">
        <f t="shared" si="158"/>
        <v>542.01920418736745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27.75845957178397</v>
      </c>
      <c r="GM161" s="23">
        <f>EXP(-LN(2)/25)*GM160+(1-EXP(-LN(2)/25))/(LN(2)/25)*Calculateur!GH161*Calculateur!GJ161*VLOOKUP('Données projet'!$B$17,Paramètres!$A$1:$I$89,3,0)*0.475*44/12</f>
        <v>8.0111356284775415</v>
      </c>
      <c r="GN161" s="23">
        <f>EXP(-LN(2)/2)*GN160+(1-EXP(-LN(2)/2))/(LN(2)/2)*GH161*GK161*VLOOKUP('Données projet'!$B$17,Paramètres!$A$1:$I$89,3,0)*0.475*44/12</f>
        <v>2.4847003447950481E-16</v>
      </c>
      <c r="GO161" s="23">
        <f t="shared" si="187"/>
        <v>35.769595200261513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-2.5579538487363607E-13</v>
      </c>
      <c r="GV161" s="18">
        <f>GU161*VLOOKUP('Données projet'!$B$18,Paramètres!$A$1:$I$89,3,0)*VLOOKUP('Données projet'!$B$18,Paramètres!$A$1:$I$89,5,0)</f>
        <v>-2.5937652026186701E-13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220.89224520315713</v>
      </c>
      <c r="HA161" s="62">
        <f t="shared" si="160"/>
        <v>141.82763623159096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-2.8421709430404007E-14</v>
      </c>
      <c r="O162" s="14">
        <f>N162*VLOOKUP('Données projet'!$B$9,Paramètres!$A$1:$I$89,3,0)*VLOOKUP('Données projet'!$B$9,Paramètres!$A$1:$I$89,5,0)</f>
        <v>-2.7489477361086758E-14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84.959354125980269</v>
      </c>
      <c r="T162" s="62">
        <f t="shared" si="142"/>
        <v>89.658970210276806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1.3199824285319985</v>
      </c>
      <c r="AB162" s="23">
        <f>EXP(-LN(2)/2)*AB161+(1-EXP(-LN(2)/2))/(LN(2)/2)*V162*Y162*VLOOKUP('Données projet'!$B$9,Paramètres!$A$1:$I$89,3,0)*0.475*44/12</f>
        <v>1.3148263539468897E-13</v>
      </c>
      <c r="AC162" s="24">
        <f t="shared" si="163"/>
        <v>1.31998242853213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-1.1368683772161603E-12</v>
      </c>
      <c r="AJ162" s="14">
        <f>AI162*VLOOKUP('Données projet'!$B$10,Paramètres!$A$1:$I$89,3,0)*VLOOKUP('Données projet'!$B$10,Paramètres!$A$1:$I$89,5,0)</f>
        <v>-1.0818439477588981E-12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592.76231355549089</v>
      </c>
      <c r="AO162" s="62">
        <f t="shared" si="144"/>
        <v>200.66895551079014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146.77585866693155</v>
      </c>
      <c r="AV162" s="23">
        <f>EXP(-LN(2)/25)*AV161+(1-EXP(-LN(2)/25))/(LN(2)/25)*Calculateur!AQ162*Calculateur!AS162*VLOOKUP('Données projet'!$B$10,Paramètres!$A$1:$I$89,3,0)*0.475*44/12</f>
        <v>34.727803264200901</v>
      </c>
      <c r="AW162" s="23">
        <f>EXP(-LN(2)/2)*AW161+(1-EXP(-LN(2)/2))/(LN(2)/2)*AQ162*AT162*VLOOKUP('Données projet'!$B$10,Paramètres!$A$1:$I$89,3,0)*0.475*44/12</f>
        <v>1.6152240541807334E-14</v>
      </c>
      <c r="AX162" s="23">
        <f t="shared" si="166"/>
        <v>181.50366193113248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-2.0572770154103635E-13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316.71836722354374</v>
      </c>
      <c r="BJ162" s="62">
        <f t="shared" si="146"/>
        <v>164.34067012996618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83.146788719327049</v>
      </c>
      <c r="BQ162" s="23">
        <f>EXP(-LN(2)/25)*BQ161+(1-EXP(-LN(2)/25))/(LN(2)/25)*Calculateur!BL162*Calculateur!BN162*VLOOKUP('Données projet'!$B$11,Paramètres!$A$1:$I$89,3,0)*0.475*44/12</f>
        <v>1.3515012689155885</v>
      </c>
      <c r="BR162" s="23">
        <f>EXP(-LN(2)/2)*BR161+(1-EXP(-LN(2)/2))/(LN(2)/2)*BL162*BO162*VLOOKUP('Données projet'!$B$11,Paramètres!$A$1:$I$89,3,0)*0.475*44/12</f>
        <v>1.0435210647201268E-15</v>
      </c>
      <c r="BS162" s="24">
        <f t="shared" si="169"/>
        <v>84.498289988242632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2.8421709430404007E-14</v>
      </c>
      <c r="BZ162" s="14">
        <f>BY162*VLOOKUP('Données projet'!$B$12,Paramètres!$A$1:$I$89,3,0)*VLOOKUP('Données projet'!$B$12,Paramètres!$A$1:$I$89,5,0)</f>
        <v>3.2366642699344085E-14</v>
      </c>
      <c r="CA162" s="14">
        <f t="shared" si="170"/>
        <v>5.5446527398450045E-13</v>
      </c>
      <c r="CB162" s="22">
        <f t="shared" si="171"/>
        <v>1.0220655882243624E-12</v>
      </c>
      <c r="CC162" s="62">
        <f t="shared" si="119"/>
        <v>287.66066955836999</v>
      </c>
      <c r="CD162" s="62">
        <f ca="1">AVERAGE(OFFSET($CC$3,0,0,'Données projet'!$E$12+1,1))-AVERAGE(OFFSET($H$3,0,0,'Données projet'!$E$12+1,1))</f>
        <v>454.9779384236806</v>
      </c>
      <c r="CE162" s="62">
        <f t="shared" si="148"/>
        <v>379.32753348721906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35.570883842028366</v>
      </c>
      <c r="CL162" s="23">
        <f>EXP(-LN(2)/25)*CL161+(1-EXP(-LN(2)/25))/(LN(2)/25)*Calculateur!CG162*Calculateur!CI162*VLOOKUP('Données projet'!$B$12,Paramètres!$A$1:$I$89,3,0)*0.475*44/12</f>
        <v>10.582729128663177</v>
      </c>
      <c r="CM162" s="23">
        <f>EXP(-LN(2)/2)*CM161+(1-EXP(-LN(2)/2))/(LN(2)/2)*CG162*CJ162*VLOOKUP('Données projet'!$B$12,Paramètres!$A$1:$I$89,3,0)*0.475*44/12</f>
        <v>1.635330304901175E-10</v>
      </c>
      <c r="CN162" s="24">
        <f t="shared" si="172"/>
        <v>46.153612970855072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252.10592533338991</v>
      </c>
      <c r="CZ162" s="62">
        <f t="shared" si="150"/>
        <v>272.71831345325313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9.5395897437472623</v>
      </c>
      <c r="DH162" s="23">
        <f>EXP(-LN(2)/2)*DH161+(1-EXP(-LN(2)/2))/(LN(2)/2)*DB162*DE162*VLOOKUP('Données projet'!$B$13,Paramètres!$A$1:$I$89,3,0)*0.475*44/12</f>
        <v>2.1240647501027617E-14</v>
      </c>
      <c r="DI162" s="24">
        <f t="shared" si="175"/>
        <v>9.5395897437472836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423.0896575168394</v>
      </c>
      <c r="DU162" s="62">
        <f t="shared" si="152"/>
        <v>305.98537395014284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31.883791228298374</v>
      </c>
      <c r="EB162" s="23">
        <f>EXP(-LN(2)/25)*EB161+(1-EXP(-LN(2)/25))/(LN(2)/25)*Calculateur!DW162*Calculateur!DY162*VLOOKUP('Données projet'!$B$14,Paramètres!$A$1:$I$89,3,0)*0.475*44/12</f>
        <v>20.01272196410963</v>
      </c>
      <c r="EC162" s="23">
        <f>EXP(-LN(2)/2)*EC161+(1-EXP(-LN(2)/2))/(LN(2)/2)*DW162*DZ162*VLOOKUP('Données projet'!$B$14,Paramètres!$A$1:$I$89,3,0)*0.475*44/12</f>
        <v>4.1642936786689019E-15</v>
      </c>
      <c r="ED162" s="24">
        <f t="shared" si="178"/>
        <v>51.896513192408015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2.2737367544323206E-13</v>
      </c>
      <c r="EK162" s="18">
        <f>EJ162*VLOOKUP('Données projet'!$B$15,Paramètres!$A$1:$I$89,3,0)*VLOOKUP('Données projet'!$B$15,Paramètres!$A$1:$I$89,5,0)</f>
        <v>1.3596945791505279E-13</v>
      </c>
      <c r="EL162" s="14">
        <f t="shared" si="179"/>
        <v>1.9708830566360721E-12</v>
      </c>
      <c r="EM162" s="22">
        <f t="shared" si="180"/>
        <v>3.669434796176543E-12</v>
      </c>
      <c r="EN162" s="62">
        <f t="shared" si="128"/>
        <v>287.66066955837266</v>
      </c>
      <c r="EO162" s="62">
        <f ca="1">AVERAGE(OFFSET($EN$3,0,0,'Données projet'!$E$15+1,1))-AVERAGE(OFFSET($H$3,0,0,'Données projet'!$E$15+1,1))</f>
        <v>281.21543175875604</v>
      </c>
      <c r="EP162" s="62">
        <f t="shared" si="154"/>
        <v>366.68536296857428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13.442076287279029</v>
      </c>
      <c r="EW162" s="23">
        <f>EXP(-LN(2)/25)*EW161+(1-EXP(-LN(2)/25))/(LN(2)/25)*Calculateur!ER162*Calculateur!ET162*VLOOKUP('Données projet'!$B$15,Paramètres!$A$1:$I$89,3,0)*0.475*44/12</f>
        <v>2.0773275037934278</v>
      </c>
      <c r="EX162" s="23">
        <f>EXP(-LN(2)/2)*EX161+(1-EXP(-LN(2)/2))/(LN(2)/2)*ER162*EU162*VLOOKUP('Données projet'!$B$15,Paramètres!$A$1:$I$89,3,0)*0.475*44/12</f>
        <v>6.5529963924488953E-15</v>
      </c>
      <c r="EY162" s="24">
        <f t="shared" si="181"/>
        <v>15.519403791072463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2.2737367544323206E-13</v>
      </c>
      <c r="FF162" s="18">
        <f>FE162*VLOOKUP('Données projet'!$B$16,Paramètres!$A$1:$I$89,3,0)*VLOOKUP('Données projet'!$B$16,Paramètres!$A$1:$I$89,5,0)</f>
        <v>1.2710188457276673E-13</v>
      </c>
      <c r="FG162" s="14">
        <f t="shared" si="182"/>
        <v>1.856866851063998E-12</v>
      </c>
      <c r="FH162" s="22">
        <f t="shared" si="183"/>
        <v>3.4554122145673649E-12</v>
      </c>
      <c r="FI162" s="62">
        <f t="shared" si="131"/>
        <v>287.66066955837243</v>
      </c>
      <c r="FJ162" s="62">
        <f ca="1">AVERAGE(OFFSET($FI$3,0,0,'Données projet'!$E$16+1,1))-AVERAGE(OFFSET($H$3,0,0,'Données projet'!$E$16+1,1))</f>
        <v>280.9225643428145</v>
      </c>
      <c r="FK162" s="62">
        <f t="shared" si="156"/>
        <v>236.89414218053955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42.049677113378337</v>
      </c>
      <c r="FR162" s="23">
        <f>EXP(-LN(2)/25)*FR161+(1-EXP(-LN(2)/25))/(LN(2)/25)*Calculateur!FM162*Calculateur!FO162*VLOOKUP('Données projet'!$B$16,Paramètres!$A$1:$I$89,3,0)*0.475*44/12</f>
        <v>6.6485824514028442</v>
      </c>
      <c r="FS162" s="23">
        <f>EXP(-LN(2)/2)*FS161+(1-EXP(-LN(2)/2))/(LN(2)/2)*FM162*FP162*VLOOKUP('Données projet'!$B$16,Paramètres!$A$1:$I$89,3,0)*0.475*44/12</f>
        <v>1.7249844255922635E-16</v>
      </c>
      <c r="FT162" s="24">
        <f t="shared" si="184"/>
        <v>48.698259564781182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-5.6843418860808015E-13</v>
      </c>
      <c r="GA162" s="18">
        <f>FZ162*VLOOKUP('Données projet'!$B$17,Paramètres!$A$1:$I$89,3,0)*VLOOKUP('Données projet'!$B$17,Paramètres!$A$1:$I$89,5,0)</f>
        <v>-2.5124791136477147E-13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325.67421864225201</v>
      </c>
      <c r="GF162" s="62">
        <f t="shared" si="158"/>
        <v>542.01920418736745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27.214133110569829</v>
      </c>
      <c r="GM162" s="23">
        <f>EXP(-LN(2)/25)*GM161+(1-EXP(-LN(2)/25))/(LN(2)/25)*Calculateur!GH162*Calculateur!GJ162*VLOOKUP('Données projet'!$B$17,Paramètres!$A$1:$I$89,3,0)*0.475*44/12</f>
        <v>7.79207070342951</v>
      </c>
      <c r="GN162" s="23">
        <f>EXP(-LN(2)/2)*GN161+(1-EXP(-LN(2)/2))/(LN(2)/2)*GH162*GK162*VLOOKUP('Données projet'!$B$17,Paramètres!$A$1:$I$89,3,0)*0.475*44/12</f>
        <v>1.7569484630211313E-16</v>
      </c>
      <c r="GO162" s="23">
        <f t="shared" si="187"/>
        <v>35.006203813999342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-2.5579538487363607E-13</v>
      </c>
      <c r="GV162" s="18">
        <f>GU162*VLOOKUP('Données projet'!$B$18,Paramètres!$A$1:$I$89,3,0)*VLOOKUP('Données projet'!$B$18,Paramètres!$A$1:$I$89,5,0)</f>
        <v>-2.5937652026186701E-13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220.89224520315713</v>
      </c>
      <c r="HA162" s="62">
        <f t="shared" si="160"/>
        <v>141.82763623159096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-2.8421709430404007E-14</v>
      </c>
      <c r="O163" s="14">
        <f>N163*VLOOKUP('Données projet'!$B$9,Paramètres!$A$1:$I$89,3,0)*VLOOKUP('Données projet'!$B$9,Paramètres!$A$1:$I$89,5,0)</f>
        <v>-2.7489477361086758E-14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84.959354125980269</v>
      </c>
      <c r="T163" s="62">
        <f t="shared" si="142"/>
        <v>89.658970210276806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1.2838874396089319</v>
      </c>
      <c r="AB163" s="23">
        <f>EXP(-LN(2)/2)*AB162+(1-EXP(-LN(2)/2))/(LN(2)/2)*V163*Y163*VLOOKUP('Données projet'!$B$9,Paramètres!$A$1:$I$89,3,0)*0.475*44/12</f>
        <v>9.2972263095862942E-14</v>
      </c>
      <c r="AC163" s="24">
        <f t="shared" si="163"/>
        <v>1.283887439609025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-1.1368683772161603E-12</v>
      </c>
      <c r="AJ163" s="14">
        <f>AI163*VLOOKUP('Données projet'!$B$10,Paramètres!$A$1:$I$89,3,0)*VLOOKUP('Données projet'!$B$10,Paramètres!$A$1:$I$89,5,0)</f>
        <v>-1.0818439477588981E-12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592.76231355549089</v>
      </c>
      <c r="AO163" s="62">
        <f t="shared" si="144"/>
        <v>200.66895551079014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143.89767360290702</v>
      </c>
      <c r="AV163" s="23">
        <f>EXP(-LN(2)/25)*AV162+(1-EXP(-LN(2)/25))/(LN(2)/25)*Calculateur!AQ163*Calculateur!AS163*VLOOKUP('Données projet'!$B$10,Paramètres!$A$1:$I$89,3,0)*0.475*44/12</f>
        <v>33.778169657685524</v>
      </c>
      <c r="AW163" s="23">
        <f>EXP(-LN(2)/2)*AW162+(1-EXP(-LN(2)/2))/(LN(2)/2)*AQ163*AT163*VLOOKUP('Données projet'!$B$10,Paramètres!$A$1:$I$89,3,0)*0.475*44/12</f>
        <v>1.142135881846824E-14</v>
      </c>
      <c r="AX163" s="23">
        <f t="shared" si="166"/>
        <v>177.67584326059256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-2.0572770154103635E-13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316.71836722354374</v>
      </c>
      <c r="BJ163" s="62">
        <f t="shared" si="146"/>
        <v>164.34067012996618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81.516330907074519</v>
      </c>
      <c r="BQ163" s="23">
        <f>EXP(-LN(2)/25)*BQ162+(1-EXP(-LN(2)/25))/(LN(2)/25)*Calculateur!BL163*Calculateur!BN163*VLOOKUP('Données projet'!$B$11,Paramètres!$A$1:$I$89,3,0)*0.475*44/12</f>
        <v>1.3145443956447289</v>
      </c>
      <c r="BR163" s="23">
        <f>EXP(-LN(2)/2)*BR162+(1-EXP(-LN(2)/2))/(LN(2)/2)*BL163*BO163*VLOOKUP('Données projet'!$B$11,Paramètres!$A$1:$I$89,3,0)*0.475*44/12</f>
        <v>7.378808211746078E-16</v>
      </c>
      <c r="BS163" s="24">
        <f t="shared" si="169"/>
        <v>82.830875302719249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2.8421709430404007E-14</v>
      </c>
      <c r="BZ163" s="14">
        <f>BY163*VLOOKUP('Données projet'!$B$12,Paramètres!$A$1:$I$89,3,0)*VLOOKUP('Données projet'!$B$12,Paramètres!$A$1:$I$89,5,0)</f>
        <v>3.2366642699344085E-14</v>
      </c>
      <c r="CA163" s="14">
        <f t="shared" si="170"/>
        <v>5.5446527398450045E-13</v>
      </c>
      <c r="CB163" s="22">
        <f t="shared" si="171"/>
        <v>1.0220655882243624E-12</v>
      </c>
      <c r="CC163" s="62">
        <f t="shared" si="119"/>
        <v>287.75907759268938</v>
      </c>
      <c r="CD163" s="62">
        <f ca="1">AVERAGE(OFFSET($CC$3,0,0,'Données projet'!$E$12+1,1))-AVERAGE(OFFSET($H$3,0,0,'Données projet'!$E$12+1,1))</f>
        <v>454.9779384236806</v>
      </c>
      <c r="CE163" s="62">
        <f t="shared" si="148"/>
        <v>379.32753348721906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34.873360505983023</v>
      </c>
      <c r="CL163" s="23">
        <f>EXP(-LN(2)/25)*CL162+(1-EXP(-LN(2)/25))/(LN(2)/25)*Calculateur!CG163*Calculateur!CI163*VLOOKUP('Données projet'!$B$12,Paramètres!$A$1:$I$89,3,0)*0.475*44/12</f>
        <v>10.293343844118345</v>
      </c>
      <c r="CM163" s="23">
        <f>EXP(-LN(2)/2)*CM162+(1-EXP(-LN(2)/2))/(LN(2)/2)*CG163*CJ163*VLOOKUP('Données projet'!$B$12,Paramètres!$A$1:$I$89,3,0)*0.475*44/12</f>
        <v>1.1563531480754852E-10</v>
      </c>
      <c r="CN163" s="24">
        <f t="shared" si="172"/>
        <v>45.166704350217003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252.10592533338991</v>
      </c>
      <c r="CZ163" s="62">
        <f t="shared" si="150"/>
        <v>272.71831345325313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9.278729160539271</v>
      </c>
      <c r="DH163" s="23">
        <f>EXP(-LN(2)/2)*DH162+(1-EXP(-LN(2)/2))/(LN(2)/2)*DB163*DE163*VLOOKUP('Données projet'!$B$13,Paramètres!$A$1:$I$89,3,0)*0.475*44/12</f>
        <v>1.5019405884769723E-14</v>
      </c>
      <c r="DI163" s="24">
        <f t="shared" si="175"/>
        <v>9.2787291605392852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423.0896575168394</v>
      </c>
      <c r="DU163" s="62">
        <f t="shared" si="152"/>
        <v>305.98537395014284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31.258569529503841</v>
      </c>
      <c r="EB163" s="23">
        <f>EXP(-LN(2)/25)*EB162+(1-EXP(-LN(2)/25))/(LN(2)/25)*Calculateur!DW163*Calculateur!DY163*VLOOKUP('Données projet'!$B$14,Paramètres!$A$1:$I$89,3,0)*0.475*44/12</f>
        <v>19.465473029577744</v>
      </c>
      <c r="EC163" s="23">
        <f>EXP(-LN(2)/2)*EC162+(1-EXP(-LN(2)/2))/(LN(2)/2)*DW163*DZ163*VLOOKUP('Données projet'!$B$14,Paramètres!$A$1:$I$89,3,0)*0.475*44/12</f>
        <v>2.9446002990390543E-15</v>
      </c>
      <c r="ED163" s="24">
        <f t="shared" si="178"/>
        <v>50.724042559081582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2.2737367544323206E-13</v>
      </c>
      <c r="EK163" s="18">
        <f>EJ163*VLOOKUP('Données projet'!$B$15,Paramètres!$A$1:$I$89,3,0)*VLOOKUP('Données projet'!$B$15,Paramètres!$A$1:$I$89,5,0)</f>
        <v>1.3596945791505279E-13</v>
      </c>
      <c r="EL163" s="14">
        <f t="shared" si="179"/>
        <v>1.9708830566360721E-12</v>
      </c>
      <c r="EM163" s="22">
        <f t="shared" si="180"/>
        <v>3.669434796176543E-12</v>
      </c>
      <c r="EN163" s="62">
        <f t="shared" si="128"/>
        <v>287.75907759269205</v>
      </c>
      <c r="EO163" s="62">
        <f ca="1">AVERAGE(OFFSET($EN$3,0,0,'Données projet'!$E$15+1,1))-AVERAGE(OFFSET($H$3,0,0,'Données projet'!$E$15+1,1))</f>
        <v>281.21543175875604</v>
      </c>
      <c r="EP163" s="62">
        <f t="shared" si="154"/>
        <v>366.68536296857428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13.178485370142452</v>
      </c>
      <c r="EW163" s="23">
        <f>EXP(-LN(2)/25)*EW162+(1-EXP(-LN(2)/25))/(LN(2)/25)*Calculateur!ER163*Calculateur!ET163*VLOOKUP('Données projet'!$B$15,Paramètres!$A$1:$I$89,3,0)*0.475*44/12</f>
        <v>2.020522873960291</v>
      </c>
      <c r="EX163" s="23">
        <f>EXP(-LN(2)/2)*EX162+(1-EXP(-LN(2)/2))/(LN(2)/2)*ER163*EU163*VLOOKUP('Données projet'!$B$15,Paramètres!$A$1:$I$89,3,0)*0.475*44/12</f>
        <v>4.6336681861915962E-15</v>
      </c>
      <c r="EY163" s="24">
        <f t="shared" si="181"/>
        <v>15.199008244102748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2.2737367544323206E-13</v>
      </c>
      <c r="FF163" s="18">
        <f>FE163*VLOOKUP('Données projet'!$B$16,Paramètres!$A$1:$I$89,3,0)*VLOOKUP('Données projet'!$B$16,Paramètres!$A$1:$I$89,5,0)</f>
        <v>1.2710188457276673E-13</v>
      </c>
      <c r="FG163" s="14">
        <f t="shared" si="182"/>
        <v>1.856866851063998E-12</v>
      </c>
      <c r="FH163" s="22">
        <f t="shared" si="183"/>
        <v>3.4554122145673649E-12</v>
      </c>
      <c r="FI163" s="62">
        <f t="shared" si="131"/>
        <v>287.75907759269182</v>
      </c>
      <c r="FJ163" s="62">
        <f ca="1">AVERAGE(OFFSET($FI$3,0,0,'Données projet'!$E$16+1,1))-AVERAGE(OFFSET($H$3,0,0,'Données projet'!$E$16+1,1))</f>
        <v>280.9225643428145</v>
      </c>
      <c r="FK163" s="62">
        <f t="shared" si="156"/>
        <v>236.89414218053955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41.225108592955522</v>
      </c>
      <c r="FR163" s="23">
        <f>EXP(-LN(2)/25)*FR162+(1-EXP(-LN(2)/25))/(LN(2)/25)*Calculateur!FM163*Calculateur!FO163*VLOOKUP('Données projet'!$B$16,Paramètres!$A$1:$I$89,3,0)*0.475*44/12</f>
        <v>6.4667766146354779</v>
      </c>
      <c r="FS163" s="23">
        <f>EXP(-LN(2)/2)*FS162+(1-EXP(-LN(2)/2))/(LN(2)/2)*FM163*FP163*VLOOKUP('Données projet'!$B$16,Paramètres!$A$1:$I$89,3,0)*0.475*44/12</f>
        <v>1.219748184777471E-16</v>
      </c>
      <c r="FT163" s="24">
        <f t="shared" si="184"/>
        <v>47.691885207591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-5.6843418860808015E-13</v>
      </c>
      <c r="GA163" s="18">
        <f>FZ163*VLOOKUP('Données projet'!$B$17,Paramètres!$A$1:$I$89,3,0)*VLOOKUP('Données projet'!$B$17,Paramètres!$A$1:$I$89,5,0)</f>
        <v>-2.5124791136477147E-13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325.67421864225201</v>
      </c>
      <c r="GF163" s="62">
        <f t="shared" si="158"/>
        <v>542.01920418736745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26.680480559253738</v>
      </c>
      <c r="GM163" s="23">
        <f>EXP(-LN(2)/25)*GM162+(1-EXP(-LN(2)/25))/(LN(2)/25)*Calculateur!GH163*Calculateur!GJ163*VLOOKUP('Données projet'!$B$17,Paramètres!$A$1:$I$89,3,0)*0.475*44/12</f>
        <v>7.5789961202770408</v>
      </c>
      <c r="GN163" s="23">
        <f>EXP(-LN(2)/2)*GN162+(1-EXP(-LN(2)/2))/(LN(2)/2)*GH163*GK163*VLOOKUP('Données projet'!$B$17,Paramètres!$A$1:$I$89,3,0)*0.475*44/12</f>
        <v>1.242350172397524E-16</v>
      </c>
      <c r="GO163" s="23">
        <f t="shared" si="187"/>
        <v>34.259476679530778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-2.5579538487363607E-13</v>
      </c>
      <c r="GV163" s="18">
        <f>GU163*VLOOKUP('Données projet'!$B$18,Paramètres!$A$1:$I$89,3,0)*VLOOKUP('Données projet'!$B$18,Paramètres!$A$1:$I$89,5,0)</f>
        <v>-2.5937652026186701E-13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220.89224520315713</v>
      </c>
      <c r="HA163" s="62">
        <f t="shared" si="160"/>
        <v>141.82763623159096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-2.8421709430404007E-14</v>
      </c>
      <c r="O164" s="14">
        <f>N164*VLOOKUP('Données projet'!$B$9,Paramètres!$A$1:$I$89,3,0)*VLOOKUP('Données projet'!$B$9,Paramètres!$A$1:$I$89,5,0)</f>
        <v>-2.7489477361086758E-14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84.959354125980269</v>
      </c>
      <c r="T164" s="62">
        <f t="shared" si="142"/>
        <v>89.658970210276806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1.2487794700561197</v>
      </c>
      <c r="AB164" s="23">
        <f>EXP(-LN(2)/2)*AB163+(1-EXP(-LN(2)/2))/(LN(2)/2)*V164*Y164*VLOOKUP('Données projet'!$B$9,Paramètres!$A$1:$I$89,3,0)*0.475*44/12</f>
        <v>6.5741317697344485E-14</v>
      </c>
      <c r="AC164" s="24">
        <f t="shared" si="163"/>
        <v>1.2487794700561854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-1.1368683772161603E-12</v>
      </c>
      <c r="AJ164" s="14">
        <f>AI164*VLOOKUP('Données projet'!$B$10,Paramètres!$A$1:$I$89,3,0)*VLOOKUP('Données projet'!$B$10,Paramètres!$A$1:$I$89,5,0)</f>
        <v>-1.0818439477588981E-12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592.76231355549089</v>
      </c>
      <c r="AO164" s="62">
        <f t="shared" si="144"/>
        <v>200.66895551079014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141.07592799246845</v>
      </c>
      <c r="AV164" s="23">
        <f>EXP(-LN(2)/25)*AV163+(1-EXP(-LN(2)/25))/(LN(2)/25)*Calculateur!AQ164*Calculateur!AS164*VLOOKUP('Données projet'!$B$10,Paramètres!$A$1:$I$89,3,0)*0.475*44/12</f>
        <v>32.854503832079374</v>
      </c>
      <c r="AW164" s="23">
        <f>EXP(-LN(2)/2)*AW163+(1-EXP(-LN(2)/2))/(LN(2)/2)*AQ164*AT164*VLOOKUP('Données projet'!$B$10,Paramètres!$A$1:$I$89,3,0)*0.475*44/12</f>
        <v>8.0761202709036669E-15</v>
      </c>
      <c r="AX164" s="23">
        <f t="shared" si="166"/>
        <v>173.93043182454784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-2.0572770154103635E-13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316.71836722354374</v>
      </c>
      <c r="BJ164" s="62">
        <f t="shared" si="146"/>
        <v>164.34067012996618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79.917845378039189</v>
      </c>
      <c r="BQ164" s="23">
        <f>EXP(-LN(2)/25)*BQ163+(1-EXP(-LN(2)/25))/(LN(2)/25)*Calculateur!BL164*Calculateur!BN164*VLOOKUP('Données projet'!$B$11,Paramètres!$A$1:$I$89,3,0)*0.475*44/12</f>
        <v>1.2785981100169386</v>
      </c>
      <c r="BR164" s="23">
        <f>EXP(-LN(2)/2)*BR163+(1-EXP(-LN(2)/2))/(LN(2)/2)*BL164*BO164*VLOOKUP('Données projet'!$B$11,Paramètres!$A$1:$I$89,3,0)*0.475*44/12</f>
        <v>5.217605323600634E-16</v>
      </c>
      <c r="BS164" s="24">
        <f t="shared" si="169"/>
        <v>81.196443488056133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2.8421709430404007E-14</v>
      </c>
      <c r="BZ164" s="14">
        <f>BY164*VLOOKUP('Données projet'!$B$12,Paramètres!$A$1:$I$89,3,0)*VLOOKUP('Données projet'!$B$12,Paramètres!$A$1:$I$89,5,0)</f>
        <v>3.2366642699344085E-14</v>
      </c>
      <c r="CA164" s="14">
        <f t="shared" si="170"/>
        <v>5.5446527398450045E-13</v>
      </c>
      <c r="CB164" s="22">
        <f t="shared" si="171"/>
        <v>1.0220655882243624E-12</v>
      </c>
      <c r="CC164" s="62">
        <f t="shared" si="119"/>
        <v>287.85577846762072</v>
      </c>
      <c r="CD164" s="62">
        <f ca="1">AVERAGE(OFFSET($CC$3,0,0,'Données projet'!$E$12+1,1))-AVERAGE(OFFSET($H$3,0,0,'Données projet'!$E$12+1,1))</f>
        <v>454.9779384236806</v>
      </c>
      <c r="CE164" s="62">
        <f t="shared" si="148"/>
        <v>379.32753348721906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34.189515177110302</v>
      </c>
      <c r="CL164" s="23">
        <f>EXP(-LN(2)/25)*CL163+(1-EXP(-LN(2)/25))/(LN(2)/25)*Calculateur!CG164*Calculateur!CI164*VLOOKUP('Données projet'!$B$12,Paramètres!$A$1:$I$89,3,0)*0.475*44/12</f>
        <v>10.011871815397502</v>
      </c>
      <c r="CM164" s="23">
        <f>EXP(-LN(2)/2)*CM163+(1-EXP(-LN(2)/2))/(LN(2)/2)*CG164*CJ164*VLOOKUP('Données projet'!$B$12,Paramètres!$A$1:$I$89,3,0)*0.475*44/12</f>
        <v>8.1766515245058761E-11</v>
      </c>
      <c r="CN164" s="24">
        <f t="shared" si="172"/>
        <v>44.201386992589576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252.10592533338991</v>
      </c>
      <c r="CZ164" s="62">
        <f t="shared" si="150"/>
        <v>272.71831345325313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9.0250018236971652</v>
      </c>
      <c r="DH164" s="23">
        <f>EXP(-LN(2)/2)*DH163+(1-EXP(-LN(2)/2))/(LN(2)/2)*DB164*DE164*VLOOKUP('Données projet'!$B$13,Paramètres!$A$1:$I$89,3,0)*0.475*44/12</f>
        <v>1.0620323750513809E-14</v>
      </c>
      <c r="DI164" s="24">
        <f t="shared" si="175"/>
        <v>9.0250018236971759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423.0896575168394</v>
      </c>
      <c r="DU164" s="62">
        <f t="shared" si="152"/>
        <v>305.98537395014284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30.64560804687509</v>
      </c>
      <c r="EB164" s="23">
        <f>EXP(-LN(2)/25)*EB163+(1-EXP(-LN(2)/25))/(LN(2)/25)*Calculateur!DW164*Calculateur!DY164*VLOOKUP('Données projet'!$B$14,Paramètres!$A$1:$I$89,3,0)*0.475*44/12</f>
        <v>18.933188645939204</v>
      </c>
      <c r="EC164" s="23">
        <f>EXP(-LN(2)/2)*EC163+(1-EXP(-LN(2)/2))/(LN(2)/2)*DW164*DZ164*VLOOKUP('Données projet'!$B$14,Paramètres!$A$1:$I$89,3,0)*0.475*44/12</f>
        <v>2.082146839334451E-15</v>
      </c>
      <c r="ED164" s="24">
        <f t="shared" si="178"/>
        <v>49.578796692814294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2.2737367544323206E-13</v>
      </c>
      <c r="EK164" s="18">
        <f>EJ164*VLOOKUP('Données projet'!$B$15,Paramètres!$A$1:$I$89,3,0)*VLOOKUP('Données projet'!$B$15,Paramètres!$A$1:$I$89,5,0)</f>
        <v>1.3596945791505279E-13</v>
      </c>
      <c r="EL164" s="14">
        <f t="shared" si="179"/>
        <v>1.9708830566360721E-12</v>
      </c>
      <c r="EM164" s="22">
        <f t="shared" si="180"/>
        <v>3.669434796176543E-12</v>
      </c>
      <c r="EN164" s="62">
        <f t="shared" si="128"/>
        <v>287.8557784676234</v>
      </c>
      <c r="EO164" s="62">
        <f ca="1">AVERAGE(OFFSET($EN$3,0,0,'Données projet'!$E$15+1,1))-AVERAGE(OFFSET($H$3,0,0,'Données projet'!$E$15+1,1))</f>
        <v>281.21543175875604</v>
      </c>
      <c r="EP164" s="62">
        <f t="shared" si="154"/>
        <v>366.68536296857428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12.92006331011634</v>
      </c>
      <c r="EW164" s="23">
        <f>EXP(-LN(2)/25)*EW163+(1-EXP(-LN(2)/25))/(LN(2)/25)*Calculateur!ER164*Calculateur!ET164*VLOOKUP('Données projet'!$B$15,Paramètres!$A$1:$I$89,3,0)*0.475*44/12</f>
        <v>1.9652715697171668</v>
      </c>
      <c r="EX164" s="23">
        <f>EXP(-LN(2)/2)*EX163+(1-EXP(-LN(2)/2))/(LN(2)/2)*ER164*EU164*VLOOKUP('Données projet'!$B$15,Paramètres!$A$1:$I$89,3,0)*0.475*44/12</f>
        <v>3.2764981962244476E-15</v>
      </c>
      <c r="EY164" s="24">
        <f t="shared" si="181"/>
        <v>14.885334879833511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2.2737367544323206E-13</v>
      </c>
      <c r="FF164" s="18">
        <f>FE164*VLOOKUP('Données projet'!$B$16,Paramètres!$A$1:$I$89,3,0)*VLOOKUP('Données projet'!$B$16,Paramètres!$A$1:$I$89,5,0)</f>
        <v>1.2710188457276673E-13</v>
      </c>
      <c r="FG164" s="14">
        <f t="shared" si="182"/>
        <v>1.856866851063998E-12</v>
      </c>
      <c r="FH164" s="22">
        <f t="shared" si="183"/>
        <v>3.4554122145673649E-12</v>
      </c>
      <c r="FI164" s="62">
        <f t="shared" si="131"/>
        <v>287.85577846762317</v>
      </c>
      <c r="FJ164" s="62">
        <f ca="1">AVERAGE(OFFSET($FI$3,0,0,'Données projet'!$E$16+1,1))-AVERAGE(OFFSET($H$3,0,0,'Données projet'!$E$16+1,1))</f>
        <v>280.9225643428145</v>
      </c>
      <c r="FK164" s="62">
        <f t="shared" si="156"/>
        <v>236.89414218053955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40.416709358281061</v>
      </c>
      <c r="FR164" s="23">
        <f>EXP(-LN(2)/25)*FR163+(1-EXP(-LN(2)/25))/(LN(2)/25)*Calculateur!FM164*Calculateur!FO164*VLOOKUP('Données projet'!$B$16,Paramètres!$A$1:$I$89,3,0)*0.475*44/12</f>
        <v>6.2899422680352686</v>
      </c>
      <c r="FS164" s="23">
        <f>EXP(-LN(2)/2)*FS163+(1-EXP(-LN(2)/2))/(LN(2)/2)*FM164*FP164*VLOOKUP('Données projet'!$B$16,Paramètres!$A$1:$I$89,3,0)*0.475*44/12</f>
        <v>8.6249221279613174E-17</v>
      </c>
      <c r="FT164" s="24">
        <f t="shared" si="184"/>
        <v>46.706651626316329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-5.6843418860808015E-13</v>
      </c>
      <c r="GA164" s="18">
        <f>FZ164*VLOOKUP('Données projet'!$B$17,Paramètres!$A$1:$I$89,3,0)*VLOOKUP('Données projet'!$B$17,Paramètres!$A$1:$I$89,5,0)</f>
        <v>-2.5124791136477147E-13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325.67421864225201</v>
      </c>
      <c r="GF164" s="62">
        <f t="shared" si="158"/>
        <v>542.01920418736745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26.157292608973041</v>
      </c>
      <c r="GM164" s="23">
        <f>EXP(-LN(2)/25)*GM163+(1-EXP(-LN(2)/25))/(LN(2)/25)*Calculateur!GH164*Calculateur!GJ164*VLOOKUP('Données projet'!$B$17,Paramètres!$A$1:$I$89,3,0)*0.475*44/12</f>
        <v>7.371748072805981</v>
      </c>
      <c r="GN164" s="23">
        <f>EXP(-LN(2)/2)*GN163+(1-EXP(-LN(2)/2))/(LN(2)/2)*GH164*GK164*VLOOKUP('Données projet'!$B$17,Paramètres!$A$1:$I$89,3,0)*0.475*44/12</f>
        <v>8.7847423151056564E-17</v>
      </c>
      <c r="GO164" s="23">
        <f t="shared" si="187"/>
        <v>33.529040681779023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-2.5579538487363607E-13</v>
      </c>
      <c r="GV164" s="18">
        <f>GU164*VLOOKUP('Données projet'!$B$18,Paramètres!$A$1:$I$89,3,0)*VLOOKUP('Données projet'!$B$18,Paramètres!$A$1:$I$89,5,0)</f>
        <v>-2.5937652026186701E-13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220.89224520315713</v>
      </c>
      <c r="HA164" s="62">
        <f t="shared" si="160"/>
        <v>141.82763623159096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-2.8421709430404007E-14</v>
      </c>
      <c r="O165" s="14">
        <f>N165*VLOOKUP('Données projet'!$B$9,Paramètres!$A$1:$I$89,3,0)*VLOOKUP('Données projet'!$B$9,Paramètres!$A$1:$I$89,5,0)</f>
        <v>-2.7489477361086758E-14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84.959354125980269</v>
      </c>
      <c r="T165" s="62">
        <f t="shared" si="142"/>
        <v>89.658970210276806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1.214631529776977</v>
      </c>
      <c r="AB165" s="23">
        <f>EXP(-LN(2)/2)*AB164+(1-EXP(-LN(2)/2))/(LN(2)/2)*V165*Y165*VLOOKUP('Données projet'!$B$9,Paramètres!$A$1:$I$89,3,0)*0.475*44/12</f>
        <v>4.6486131547931471E-14</v>
      </c>
      <c r="AC165" s="24">
        <f t="shared" si="163"/>
        <v>1.2146315297770234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-1.1368683772161603E-12</v>
      </c>
      <c r="AJ165" s="14">
        <f>AI165*VLOOKUP('Données projet'!$B$10,Paramètres!$A$1:$I$89,3,0)*VLOOKUP('Données projet'!$B$10,Paramètres!$A$1:$I$89,5,0)</f>
        <v>-1.0818439477588981E-12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592.76231355549089</v>
      </c>
      <c r="AO165" s="62">
        <f t="shared" si="144"/>
        <v>200.66895551079014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138.3095150923557</v>
      </c>
      <c r="AV165" s="23">
        <f>EXP(-LN(2)/25)*AV164+(1-EXP(-LN(2)/25))/(LN(2)/25)*Calculateur!AQ165*Calculateur!AS165*VLOOKUP('Données projet'!$B$10,Paramètres!$A$1:$I$89,3,0)*0.475*44/12</f>
        <v>31.956095697047896</v>
      </c>
      <c r="AW165" s="23">
        <f>EXP(-LN(2)/2)*AW164+(1-EXP(-LN(2)/2))/(LN(2)/2)*AQ165*AT165*VLOOKUP('Données projet'!$B$10,Paramètres!$A$1:$I$89,3,0)*0.475*44/12</f>
        <v>5.7106794092341202E-15</v>
      </c>
      <c r="AX165" s="23">
        <f t="shared" si="166"/>
        <v>170.26561078940358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-2.0572770154103635E-13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316.71836722354374</v>
      </c>
      <c r="BJ165" s="62">
        <f t="shared" si="146"/>
        <v>164.34067012996618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78.350705175248351</v>
      </c>
      <c r="BQ165" s="23">
        <f>EXP(-LN(2)/25)*BQ164+(1-EXP(-LN(2)/25))/(LN(2)/25)*Calculateur!BL165*Calculateur!BN165*VLOOKUP('Données projet'!$B$11,Paramètres!$A$1:$I$89,3,0)*0.475*44/12</f>
        <v>1.243634777459973</v>
      </c>
      <c r="BR165" s="23">
        <f>EXP(-LN(2)/2)*BR164+(1-EXP(-LN(2)/2))/(LN(2)/2)*BL165*BO165*VLOOKUP('Données projet'!$B$11,Paramètres!$A$1:$I$89,3,0)*0.475*44/12</f>
        <v>3.689404105873039E-16</v>
      </c>
      <c r="BS165" s="24">
        <f t="shared" si="169"/>
        <v>79.594339952708324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2.8421709430404007E-14</v>
      </c>
      <c r="BZ165" s="14">
        <f>BY165*VLOOKUP('Données projet'!$B$12,Paramètres!$A$1:$I$89,3,0)*VLOOKUP('Données projet'!$B$12,Paramètres!$A$1:$I$89,5,0)</f>
        <v>3.2366642699344085E-14</v>
      </c>
      <c r="CA165" s="14">
        <f t="shared" si="170"/>
        <v>5.5446527398450045E-13</v>
      </c>
      <c r="CB165" s="22">
        <f t="shared" si="171"/>
        <v>1.0220655882243624E-12</v>
      </c>
      <c r="CC165" s="62">
        <f t="shared" si="119"/>
        <v>287.95080179856274</v>
      </c>
      <c r="CD165" s="62">
        <f ca="1">AVERAGE(OFFSET($CC$3,0,0,'Données projet'!$E$12+1,1))-AVERAGE(OFFSET($H$3,0,0,'Données projet'!$E$12+1,1))</f>
        <v>454.9779384236806</v>
      </c>
      <c r="CE165" s="62">
        <f t="shared" si="148"/>
        <v>379.32753348721906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33.519079638032309</v>
      </c>
      <c r="CL165" s="23">
        <f>EXP(-LN(2)/25)*CL164+(1-EXP(-LN(2)/25))/(LN(2)/25)*Calculateur!CG165*Calculateur!CI165*VLOOKUP('Données projet'!$B$12,Paramètres!$A$1:$I$89,3,0)*0.475*44/12</f>
        <v>9.7380966541039999</v>
      </c>
      <c r="CM165" s="23">
        <f>EXP(-LN(2)/2)*CM164+(1-EXP(-LN(2)/2))/(LN(2)/2)*CG165*CJ165*VLOOKUP('Données projet'!$B$12,Paramètres!$A$1:$I$89,3,0)*0.475*44/12</f>
        <v>5.7817657403774269E-11</v>
      </c>
      <c r="CN165" s="24">
        <f t="shared" si="172"/>
        <v>43.257176292194124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252.10592533338991</v>
      </c>
      <c r="CZ165" s="62">
        <f t="shared" si="150"/>
        <v>272.71831345325313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8.7782126742239477</v>
      </c>
      <c r="DH165" s="23">
        <f>EXP(-LN(2)/2)*DH164+(1-EXP(-LN(2)/2))/(LN(2)/2)*DB165*DE165*VLOOKUP('Données projet'!$B$13,Paramètres!$A$1:$I$89,3,0)*0.475*44/12</f>
        <v>7.5097029423848614E-15</v>
      </c>
      <c r="DI165" s="24">
        <f t="shared" si="175"/>
        <v>8.7782126742239548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423.0896575168394</v>
      </c>
      <c r="DU165" s="62">
        <f t="shared" si="152"/>
        <v>305.98537395014284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30.0446663650511</v>
      </c>
      <c r="EB165" s="23">
        <f>EXP(-LN(2)/25)*EB164+(1-EXP(-LN(2)/25))/(LN(2)/25)*Calculateur!DW165*Calculateur!DY165*VLOOKUP('Données projet'!$B$14,Paramètres!$A$1:$I$89,3,0)*0.475*44/12</f>
        <v>18.415459606762877</v>
      </c>
      <c r="EC165" s="23">
        <f>EXP(-LN(2)/2)*EC164+(1-EXP(-LN(2)/2))/(LN(2)/2)*DW165*DZ165*VLOOKUP('Données projet'!$B$14,Paramètres!$A$1:$I$89,3,0)*0.475*44/12</f>
        <v>1.4723001495195272E-15</v>
      </c>
      <c r="ED165" s="24">
        <f t="shared" si="178"/>
        <v>48.46012597181398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2.2737367544323206E-13</v>
      </c>
      <c r="EK165" s="18">
        <f>EJ165*VLOOKUP('Données projet'!$B$15,Paramètres!$A$1:$I$89,3,0)*VLOOKUP('Données projet'!$B$15,Paramètres!$A$1:$I$89,5,0)</f>
        <v>1.3596945791505279E-13</v>
      </c>
      <c r="EL165" s="14">
        <f t="shared" si="179"/>
        <v>1.9708830566360721E-12</v>
      </c>
      <c r="EM165" s="22">
        <f t="shared" si="180"/>
        <v>3.669434796176543E-12</v>
      </c>
      <c r="EN165" s="62">
        <f t="shared" si="128"/>
        <v>287.95080179856541</v>
      </c>
      <c r="EO165" s="62">
        <f ca="1">AVERAGE(OFFSET($EN$3,0,0,'Données projet'!$E$15+1,1))-AVERAGE(OFFSET($H$3,0,0,'Données projet'!$E$15+1,1))</f>
        <v>281.21543175875604</v>
      </c>
      <c r="EP165" s="62">
        <f t="shared" si="154"/>
        <v>366.68536296857428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12.666708749065448</v>
      </c>
      <c r="EW165" s="23">
        <f>EXP(-LN(2)/25)*EW164+(1-EXP(-LN(2)/25))/(LN(2)/25)*Calculateur!ER165*Calculateur!ET165*VLOOKUP('Données projet'!$B$15,Paramètres!$A$1:$I$89,3,0)*0.475*44/12</f>
        <v>1.9115311152941106</v>
      </c>
      <c r="EX165" s="23">
        <f>EXP(-LN(2)/2)*EX164+(1-EXP(-LN(2)/2))/(LN(2)/2)*ER165*EU165*VLOOKUP('Données projet'!$B$15,Paramètres!$A$1:$I$89,3,0)*0.475*44/12</f>
        <v>2.3168340930957981E-15</v>
      </c>
      <c r="EY165" s="24">
        <f t="shared" si="181"/>
        <v>14.57823986435956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2.2737367544323206E-13</v>
      </c>
      <c r="FF165" s="18">
        <f>FE165*VLOOKUP('Données projet'!$B$16,Paramètres!$A$1:$I$89,3,0)*VLOOKUP('Données projet'!$B$16,Paramètres!$A$1:$I$89,5,0)</f>
        <v>1.2710188457276673E-13</v>
      </c>
      <c r="FG165" s="14">
        <f t="shared" si="182"/>
        <v>1.856866851063998E-12</v>
      </c>
      <c r="FH165" s="22">
        <f t="shared" si="183"/>
        <v>3.4554122145673649E-12</v>
      </c>
      <c r="FI165" s="62">
        <f t="shared" si="131"/>
        <v>287.95080179856518</v>
      </c>
      <c r="FJ165" s="62">
        <f ca="1">AVERAGE(OFFSET($FI$3,0,0,'Données projet'!$E$16+1,1))-AVERAGE(OFFSET($H$3,0,0,'Données projet'!$E$16+1,1))</f>
        <v>280.9225643428145</v>
      </c>
      <c r="FK165" s="62">
        <f t="shared" si="156"/>
        <v>236.89414218053955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39.624162339523721</v>
      </c>
      <c r="FR165" s="23">
        <f>EXP(-LN(2)/25)*FR164+(1-EXP(-LN(2)/25))/(LN(2)/25)*Calculateur!FM165*Calculateur!FO165*VLOOKUP('Données projet'!$B$16,Paramètres!$A$1:$I$89,3,0)*0.475*44/12</f>
        <v>6.1179434659421563</v>
      </c>
      <c r="FS165" s="23">
        <f>EXP(-LN(2)/2)*FS164+(1-EXP(-LN(2)/2))/(LN(2)/2)*FM165*FP165*VLOOKUP('Données projet'!$B$16,Paramètres!$A$1:$I$89,3,0)*0.475*44/12</f>
        <v>6.098740923887355E-17</v>
      </c>
      <c r="FT165" s="24">
        <f t="shared" si="184"/>
        <v>45.742105805465876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-5.6843418860808015E-13</v>
      </c>
      <c r="GA165" s="18">
        <f>FZ165*VLOOKUP('Données projet'!$B$17,Paramètres!$A$1:$I$89,3,0)*VLOOKUP('Données projet'!$B$17,Paramètres!$A$1:$I$89,5,0)</f>
        <v>-2.5124791136477147E-13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325.67421864225201</v>
      </c>
      <c r="GF165" s="62">
        <f t="shared" si="158"/>
        <v>542.01920418736745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25.644364055284207</v>
      </c>
      <c r="GM165" s="23">
        <f>EXP(-LN(2)/25)*GM164+(1-EXP(-LN(2)/25))/(LN(2)/25)*Calculateur!GH165*Calculateur!GJ165*VLOOKUP('Données projet'!$B$17,Paramètres!$A$1:$I$89,3,0)*0.475*44/12</f>
        <v>7.1701672340917186</v>
      </c>
      <c r="GN165" s="23">
        <f>EXP(-LN(2)/2)*GN164+(1-EXP(-LN(2)/2))/(LN(2)/2)*GH165*GK165*VLOOKUP('Données projet'!$B$17,Paramètres!$A$1:$I$89,3,0)*0.475*44/12</f>
        <v>6.2117508619876202E-17</v>
      </c>
      <c r="GO165" s="23">
        <f t="shared" si="187"/>
        <v>32.814531289375928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-2.5579538487363607E-13</v>
      </c>
      <c r="GV165" s="18">
        <f>GU165*VLOOKUP('Données projet'!$B$18,Paramètres!$A$1:$I$89,3,0)*VLOOKUP('Données projet'!$B$18,Paramètres!$A$1:$I$89,5,0)</f>
        <v>-2.5937652026186701E-13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220.89224520315713</v>
      </c>
      <c r="HA165" s="62">
        <f t="shared" si="160"/>
        <v>141.82763623159096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-2.8421709430404007E-14</v>
      </c>
      <c r="O166" s="14">
        <f>N166*VLOOKUP('Données projet'!$B$9,Paramètres!$A$1:$I$89,3,0)*VLOOKUP('Données projet'!$B$9,Paramètres!$A$1:$I$89,5,0)</f>
        <v>-2.7489477361086758E-14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84.959354125980269</v>
      </c>
      <c r="T166" s="62">
        <f t="shared" si="142"/>
        <v>89.658970210276806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1.1814173667205294</v>
      </c>
      <c r="AB166" s="23">
        <f>EXP(-LN(2)/2)*AB165+(1-EXP(-LN(2)/2))/(LN(2)/2)*V166*Y166*VLOOKUP('Données projet'!$B$9,Paramètres!$A$1:$I$89,3,0)*0.475*44/12</f>
        <v>3.2870658848672242E-14</v>
      </c>
      <c r="AC166" s="24">
        <f t="shared" si="163"/>
        <v>1.1814173667205623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-1.1368683772161603E-12</v>
      </c>
      <c r="AJ166" s="14">
        <f>AI166*VLOOKUP('Données projet'!$B$10,Paramètres!$A$1:$I$89,3,0)*VLOOKUP('Données projet'!$B$10,Paramètres!$A$1:$I$89,5,0)</f>
        <v>-1.0818439477588981E-12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592.76231355549089</v>
      </c>
      <c r="AO166" s="62">
        <f t="shared" si="144"/>
        <v>200.66895551079014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135.59734986186891</v>
      </c>
      <c r="AV166" s="23">
        <f>EXP(-LN(2)/25)*AV165+(1-EXP(-LN(2)/25))/(LN(2)/25)*Calculateur!AQ166*Calculateur!AS166*VLOOKUP('Données projet'!$B$10,Paramètres!$A$1:$I$89,3,0)*0.475*44/12</f>
        <v>31.082254579714085</v>
      </c>
      <c r="AW166" s="23">
        <f>EXP(-LN(2)/2)*AW165+(1-EXP(-LN(2)/2))/(LN(2)/2)*AQ166*AT166*VLOOKUP('Données projet'!$B$10,Paramètres!$A$1:$I$89,3,0)*0.475*44/12</f>
        <v>4.0380601354518335E-15</v>
      </c>
      <c r="AX166" s="23">
        <f t="shared" si="166"/>
        <v>166.679604441583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-2.0572770154103635E-13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316.71836722354374</v>
      </c>
      <c r="BJ166" s="62">
        <f t="shared" si="146"/>
        <v>164.34067012996618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76.814295635973096</v>
      </c>
      <c r="BQ166" s="23">
        <f>EXP(-LN(2)/25)*BQ165+(1-EXP(-LN(2)/25))/(LN(2)/25)*Calculateur!BL166*Calculateur!BN166*VLOOKUP('Données projet'!$B$11,Paramètres!$A$1:$I$89,3,0)*0.475*44/12</f>
        <v>1.2096275190704193</v>
      </c>
      <c r="BR166" s="23">
        <f>EXP(-LN(2)/2)*BR165+(1-EXP(-LN(2)/2))/(LN(2)/2)*BL166*BO166*VLOOKUP('Données projet'!$B$11,Paramètres!$A$1:$I$89,3,0)*0.475*44/12</f>
        <v>2.608802661800317E-16</v>
      </c>
      <c r="BS166" s="24">
        <f t="shared" si="169"/>
        <v>78.023923155043519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2.8421709430404007E-14</v>
      </c>
      <c r="BZ166" s="14">
        <f>BY166*VLOOKUP('Données projet'!$B$12,Paramètres!$A$1:$I$89,3,0)*VLOOKUP('Données projet'!$B$12,Paramètres!$A$1:$I$89,5,0)</f>
        <v>3.2366642699344085E-14</v>
      </c>
      <c r="CA166" s="14">
        <f t="shared" si="170"/>
        <v>5.5446527398450045E-13</v>
      </c>
      <c r="CB166" s="22">
        <f t="shared" si="171"/>
        <v>1.0220655882243624E-12</v>
      </c>
      <c r="CC166" s="62">
        <f t="shared" si="119"/>
        <v>288.04417668715325</v>
      </c>
      <c r="CD166" s="62">
        <f ca="1">AVERAGE(OFFSET($CC$3,0,0,'Données projet'!$E$12+1,1))-AVERAGE(OFFSET($H$3,0,0,'Données projet'!$E$12+1,1))</f>
        <v>454.9779384236806</v>
      </c>
      <c r="CE166" s="62">
        <f t="shared" si="148"/>
        <v>379.32753348721906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32.861790930950335</v>
      </c>
      <c r="CL166" s="23">
        <f>EXP(-LN(2)/25)*CL165+(1-EXP(-LN(2)/25))/(LN(2)/25)*Calculateur!CG166*Calculateur!CI166*VLOOKUP('Données projet'!$B$12,Paramètres!$A$1:$I$89,3,0)*0.475*44/12</f>
        <v>9.4718078889932791</v>
      </c>
      <c r="CM166" s="23">
        <f>EXP(-LN(2)/2)*CM165+(1-EXP(-LN(2)/2))/(LN(2)/2)*CG166*CJ166*VLOOKUP('Données projet'!$B$12,Paramètres!$A$1:$I$89,3,0)*0.475*44/12</f>
        <v>4.0883257622529387E-11</v>
      </c>
      <c r="CN166" s="24">
        <f t="shared" si="172"/>
        <v>42.333598819984502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252.10592533338991</v>
      </c>
      <c r="CZ166" s="62">
        <f t="shared" si="150"/>
        <v>272.71831345325313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8.538171987021153</v>
      </c>
      <c r="DH166" s="23">
        <f>EXP(-LN(2)/2)*DH165+(1-EXP(-LN(2)/2))/(LN(2)/2)*DB166*DE166*VLOOKUP('Données projet'!$B$13,Paramètres!$A$1:$I$89,3,0)*0.475*44/12</f>
        <v>5.3101618752569043E-15</v>
      </c>
      <c r="DI166" s="24">
        <f t="shared" si="175"/>
        <v>8.5381719870211583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423.0896575168394</v>
      </c>
      <c r="DU166" s="62">
        <f t="shared" si="152"/>
        <v>305.98537395014284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29.455508783069444</v>
      </c>
      <c r="EB166" s="23">
        <f>EXP(-LN(2)/25)*EB165+(1-EXP(-LN(2)/25))/(LN(2)/25)*Calculateur!DW166*Calculateur!DY166*VLOOKUP('Données projet'!$B$14,Paramètres!$A$1:$I$89,3,0)*0.475*44/12</f>
        <v>17.911887895389015</v>
      </c>
      <c r="EC166" s="23">
        <f>EXP(-LN(2)/2)*EC165+(1-EXP(-LN(2)/2))/(LN(2)/2)*DW166*DZ166*VLOOKUP('Données projet'!$B$14,Paramètres!$A$1:$I$89,3,0)*0.475*44/12</f>
        <v>1.0410734196672255E-15</v>
      </c>
      <c r="ED166" s="24">
        <f t="shared" si="178"/>
        <v>47.367396678458462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2.2737367544323206E-13</v>
      </c>
      <c r="EK166" s="18">
        <f>EJ166*VLOOKUP('Données projet'!$B$15,Paramètres!$A$1:$I$89,3,0)*VLOOKUP('Données projet'!$B$15,Paramètres!$A$1:$I$89,5,0)</f>
        <v>1.3596945791505279E-13</v>
      </c>
      <c r="EL166" s="14">
        <f t="shared" si="179"/>
        <v>1.9708830566360721E-12</v>
      </c>
      <c r="EM166" s="22">
        <f t="shared" si="180"/>
        <v>3.669434796176543E-12</v>
      </c>
      <c r="EN166" s="62">
        <f t="shared" si="128"/>
        <v>288.04417668715593</v>
      </c>
      <c r="EO166" s="62">
        <f ca="1">AVERAGE(OFFSET($EN$3,0,0,'Données projet'!$E$15+1,1))-AVERAGE(OFFSET($H$3,0,0,'Données projet'!$E$15+1,1))</f>
        <v>281.21543175875604</v>
      </c>
      <c r="EP166" s="62">
        <f t="shared" si="154"/>
        <v>366.68536296857428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12.418322316425739</v>
      </c>
      <c r="EW166" s="23">
        <f>EXP(-LN(2)/25)*EW165+(1-EXP(-LN(2)/25))/(LN(2)/25)*Calculateur!ER166*Calculateur!ET166*VLOOKUP('Données projet'!$B$15,Paramètres!$A$1:$I$89,3,0)*0.475*44/12</f>
        <v>1.8592601964233406</v>
      </c>
      <c r="EX166" s="23">
        <f>EXP(-LN(2)/2)*EX165+(1-EXP(-LN(2)/2))/(LN(2)/2)*ER166*EU166*VLOOKUP('Données projet'!$B$15,Paramètres!$A$1:$I$89,3,0)*0.475*44/12</f>
        <v>1.6382490981122238E-15</v>
      </c>
      <c r="EY166" s="24">
        <f t="shared" si="181"/>
        <v>14.277582512849081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2.2737367544323206E-13</v>
      </c>
      <c r="FF166" s="18">
        <f>FE166*VLOOKUP('Données projet'!$B$16,Paramètres!$A$1:$I$89,3,0)*VLOOKUP('Données projet'!$B$16,Paramètres!$A$1:$I$89,5,0)</f>
        <v>1.2710188457276673E-13</v>
      </c>
      <c r="FG166" s="14">
        <f t="shared" si="182"/>
        <v>1.856866851063998E-12</v>
      </c>
      <c r="FH166" s="22">
        <f t="shared" si="183"/>
        <v>3.4554122145673649E-12</v>
      </c>
      <c r="FI166" s="62">
        <f t="shared" si="131"/>
        <v>288.0441766871557</v>
      </c>
      <c r="FJ166" s="62">
        <f ca="1">AVERAGE(OFFSET($FI$3,0,0,'Données projet'!$E$16+1,1))-AVERAGE(OFFSET($H$3,0,0,'Données projet'!$E$16+1,1))</f>
        <v>280.9225643428145</v>
      </c>
      <c r="FK166" s="62">
        <f t="shared" si="156"/>
        <v>236.89414218053955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38.847156684398264</v>
      </c>
      <c r="FR166" s="23">
        <f>EXP(-LN(2)/25)*FR165+(1-EXP(-LN(2)/25))/(LN(2)/25)*Calculateur!FM166*Calculateur!FO166*VLOOKUP('Données projet'!$B$16,Paramètres!$A$1:$I$89,3,0)*0.475*44/12</f>
        <v>5.9506479801373038</v>
      </c>
      <c r="FS166" s="23">
        <f>EXP(-LN(2)/2)*FS165+(1-EXP(-LN(2)/2))/(LN(2)/2)*FM166*FP166*VLOOKUP('Données projet'!$B$16,Paramètres!$A$1:$I$89,3,0)*0.475*44/12</f>
        <v>4.3124610639806587E-17</v>
      </c>
      <c r="FT166" s="24">
        <f t="shared" si="184"/>
        <v>44.797804664535569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-5.6843418860808015E-13</v>
      </c>
      <c r="GA166" s="18">
        <f>FZ166*VLOOKUP('Données projet'!$B$17,Paramètres!$A$1:$I$89,3,0)*VLOOKUP('Données projet'!$B$17,Paramètres!$A$1:$I$89,5,0)</f>
        <v>-2.5124791136477147E-13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325.67421864225201</v>
      </c>
      <c r="GF166" s="62">
        <f t="shared" si="158"/>
        <v>542.01920418736745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25.141493717677687</v>
      </c>
      <c r="GM166" s="23">
        <f>EXP(-LN(2)/25)*GM165+(1-EXP(-LN(2)/25))/(LN(2)/25)*Calculateur!GH166*Calculateur!GJ166*VLOOKUP('Données projet'!$B$17,Paramètres!$A$1:$I$89,3,0)*0.475*44/12</f>
        <v>6.9740986340127735</v>
      </c>
      <c r="GN166" s="23">
        <f>EXP(-LN(2)/2)*GN165+(1-EXP(-LN(2)/2))/(LN(2)/2)*GH166*GK166*VLOOKUP('Données projet'!$B$17,Paramètres!$A$1:$I$89,3,0)*0.475*44/12</f>
        <v>4.3923711575528282E-17</v>
      </c>
      <c r="GO166" s="23">
        <f t="shared" si="187"/>
        <v>32.115592351690459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-2.5579538487363607E-13</v>
      </c>
      <c r="GV166" s="18">
        <f>GU166*VLOOKUP('Données projet'!$B$18,Paramètres!$A$1:$I$89,3,0)*VLOOKUP('Données projet'!$B$18,Paramètres!$A$1:$I$89,5,0)</f>
        <v>-2.5937652026186701E-13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220.89224520315713</v>
      </c>
      <c r="HA166" s="62">
        <f t="shared" si="160"/>
        <v>141.82763623159096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-2.8421709430404007E-14</v>
      </c>
      <c r="O167" s="14">
        <f>N167*VLOOKUP('Données projet'!$B$9,Paramètres!$A$1:$I$89,3,0)*VLOOKUP('Données projet'!$B$9,Paramètres!$A$1:$I$89,5,0)</f>
        <v>-2.7489477361086758E-14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84.959354125980269</v>
      </c>
      <c r="T167" s="62">
        <f t="shared" si="142"/>
        <v>89.658970210276806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1.1491114466995174</v>
      </c>
      <c r="AB167" s="23">
        <f>EXP(-LN(2)/2)*AB166+(1-EXP(-LN(2)/2))/(LN(2)/2)*V167*Y167*VLOOKUP('Données projet'!$B$9,Paramètres!$A$1:$I$89,3,0)*0.475*44/12</f>
        <v>2.3243065773965736E-14</v>
      </c>
      <c r="AC167" s="24">
        <f t="shared" si="163"/>
        <v>1.1491114466995407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-1.1368683772161603E-12</v>
      </c>
      <c r="AJ167" s="14">
        <f>AI167*VLOOKUP('Données projet'!$B$10,Paramètres!$A$1:$I$89,3,0)*VLOOKUP('Données projet'!$B$10,Paramètres!$A$1:$I$89,5,0)</f>
        <v>-1.0818439477588981E-12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592.76231355549089</v>
      </c>
      <c r="AO167" s="62">
        <f t="shared" si="144"/>
        <v>200.66895551079014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132.93836853729451</v>
      </c>
      <c r="AV167" s="23">
        <f>EXP(-LN(2)/25)*AV166+(1-EXP(-LN(2)/25))/(LN(2)/25)*Calculateur!AQ167*Calculateur!AS167*VLOOKUP('Données projet'!$B$10,Paramètres!$A$1:$I$89,3,0)*0.475*44/12</f>
        <v>30.232308693687074</v>
      </c>
      <c r="AW167" s="23">
        <f>EXP(-LN(2)/2)*AW166+(1-EXP(-LN(2)/2))/(LN(2)/2)*AQ167*AT167*VLOOKUP('Données projet'!$B$10,Paramètres!$A$1:$I$89,3,0)*0.475*44/12</f>
        <v>2.8553397046170601E-15</v>
      </c>
      <c r="AX167" s="23">
        <f t="shared" si="166"/>
        <v>163.1706772309816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-2.0572770154103635E-13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316.71836722354374</v>
      </c>
      <c r="BJ167" s="62">
        <f t="shared" si="146"/>
        <v>164.34067012996618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75.308014150645747</v>
      </c>
      <c r="BQ167" s="23">
        <f>EXP(-LN(2)/25)*BQ166+(1-EXP(-LN(2)/25))/(LN(2)/25)*Calculateur!BL167*Calculateur!BN167*VLOOKUP('Données projet'!$B$11,Paramètres!$A$1:$I$89,3,0)*0.475*44/12</f>
        <v>1.1765501909498921</v>
      </c>
      <c r="BR167" s="23">
        <f>EXP(-LN(2)/2)*BR166+(1-EXP(-LN(2)/2))/(LN(2)/2)*BL167*BO167*VLOOKUP('Données projet'!$B$11,Paramètres!$A$1:$I$89,3,0)*0.475*44/12</f>
        <v>1.8447020529365195E-16</v>
      </c>
      <c r="BS167" s="24">
        <f t="shared" si="169"/>
        <v>76.484564341595643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2.8421709430404007E-14</v>
      </c>
      <c r="BZ167" s="14">
        <f>BY167*VLOOKUP('Données projet'!$B$12,Paramètres!$A$1:$I$89,3,0)*VLOOKUP('Données projet'!$B$12,Paramètres!$A$1:$I$89,5,0)</f>
        <v>3.2366642699344085E-14</v>
      </c>
      <c r="CA167" s="14">
        <f t="shared" si="170"/>
        <v>5.5446527398450045E-13</v>
      </c>
      <c r="CB167" s="22">
        <f t="shared" si="171"/>
        <v>1.0220655882243624E-12</v>
      </c>
      <c r="CC167" s="62">
        <f t="shared" si="119"/>
        <v>288.13593173018171</v>
      </c>
      <c r="CD167" s="62">
        <f ca="1">AVERAGE(OFFSET($CC$3,0,0,'Données projet'!$E$12+1,1))-AVERAGE(OFFSET($H$3,0,0,'Données projet'!$E$12+1,1))</f>
        <v>454.9779384236806</v>
      </c>
      <c r="CE167" s="62">
        <f t="shared" si="148"/>
        <v>379.32753348721906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32.217391254507717</v>
      </c>
      <c r="CL167" s="23">
        <f>EXP(-LN(2)/25)*CL166+(1-EXP(-LN(2)/25))/(LN(2)/25)*Calculateur!CG167*Calculateur!CI167*VLOOKUP('Données projet'!$B$12,Paramètres!$A$1:$I$89,3,0)*0.475*44/12</f>
        <v>9.2128008041680296</v>
      </c>
      <c r="CM167" s="23">
        <f>EXP(-LN(2)/2)*CM166+(1-EXP(-LN(2)/2))/(LN(2)/2)*CG167*CJ167*VLOOKUP('Données projet'!$B$12,Paramètres!$A$1:$I$89,3,0)*0.475*44/12</f>
        <v>2.8908828701887141E-11</v>
      </c>
      <c r="CN167" s="24">
        <f t="shared" si="172"/>
        <v>41.430192058704655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252.10592533338991</v>
      </c>
      <c r="CZ167" s="62">
        <f t="shared" si="150"/>
        <v>272.71831345325313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8.3046952250331092</v>
      </c>
      <c r="DH167" s="23">
        <f>EXP(-LN(2)/2)*DH166+(1-EXP(-LN(2)/2))/(LN(2)/2)*DB167*DE167*VLOOKUP('Données projet'!$B$13,Paramètres!$A$1:$I$89,3,0)*0.475*44/12</f>
        <v>3.7548514711924307E-15</v>
      </c>
      <c r="DI167" s="24">
        <f t="shared" si="175"/>
        <v>8.3046952250331127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423.0896575168394</v>
      </c>
      <c r="DU167" s="62">
        <f t="shared" si="152"/>
        <v>305.98537395014284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28.877904221919806</v>
      </c>
      <c r="EB167" s="23">
        <f>EXP(-LN(2)/25)*EB166+(1-EXP(-LN(2)/25))/(LN(2)/25)*Calculateur!DW167*Calculateur!DY167*VLOOKUP('Données projet'!$B$14,Paramètres!$A$1:$I$89,3,0)*0.475*44/12</f>
        <v>17.422086378944357</v>
      </c>
      <c r="EC167" s="23">
        <f>EXP(-LN(2)/2)*EC166+(1-EXP(-LN(2)/2))/(LN(2)/2)*DW167*DZ167*VLOOKUP('Données projet'!$B$14,Paramètres!$A$1:$I$89,3,0)*0.475*44/12</f>
        <v>7.3615007475976358E-16</v>
      </c>
      <c r="ED167" s="24">
        <f t="shared" si="178"/>
        <v>46.299990600864163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2.2737367544323206E-13</v>
      </c>
      <c r="EK167" s="18">
        <f>EJ167*VLOOKUP('Données projet'!$B$15,Paramètres!$A$1:$I$89,3,0)*VLOOKUP('Données projet'!$B$15,Paramètres!$A$1:$I$89,5,0)</f>
        <v>1.3596945791505279E-13</v>
      </c>
      <c r="EL167" s="14">
        <f t="shared" si="179"/>
        <v>1.9708830566360721E-12</v>
      </c>
      <c r="EM167" s="22">
        <f t="shared" si="180"/>
        <v>3.669434796176543E-12</v>
      </c>
      <c r="EN167" s="62">
        <f t="shared" si="128"/>
        <v>288.13593173018438</v>
      </c>
      <c r="EO167" s="62">
        <f ca="1">AVERAGE(OFFSET($EN$3,0,0,'Données projet'!$E$15+1,1))-AVERAGE(OFFSET($H$3,0,0,'Données projet'!$E$15+1,1))</f>
        <v>281.21543175875604</v>
      </c>
      <c r="EP167" s="62">
        <f t="shared" si="154"/>
        <v>366.68536296857428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12.174806590229331</v>
      </c>
      <c r="EW167" s="23">
        <f>EXP(-LN(2)/25)*EW166+(1-EXP(-LN(2)/25))/(LN(2)/25)*Calculateur!ER167*Calculateur!ET167*VLOOKUP('Données projet'!$B$15,Paramètres!$A$1:$I$89,3,0)*0.475*44/12</f>
        <v>1.8084186285779</v>
      </c>
      <c r="EX167" s="23">
        <f>EXP(-LN(2)/2)*EX166+(1-EXP(-LN(2)/2))/(LN(2)/2)*ER167*EU167*VLOOKUP('Données projet'!$B$15,Paramètres!$A$1:$I$89,3,0)*0.475*44/12</f>
        <v>1.1584170465478991E-15</v>
      </c>
      <c r="EY167" s="24">
        <f t="shared" si="181"/>
        <v>13.983225218807233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2.2737367544323206E-13</v>
      </c>
      <c r="FF167" s="18">
        <f>FE167*VLOOKUP('Données projet'!$B$16,Paramètres!$A$1:$I$89,3,0)*VLOOKUP('Données projet'!$B$16,Paramètres!$A$1:$I$89,5,0)</f>
        <v>1.2710188457276673E-13</v>
      </c>
      <c r="FG167" s="14">
        <f t="shared" si="182"/>
        <v>1.856866851063998E-12</v>
      </c>
      <c r="FH167" s="22">
        <f t="shared" si="183"/>
        <v>3.4554122145673649E-12</v>
      </c>
      <c r="FI167" s="62">
        <f t="shared" si="131"/>
        <v>288.13593173018415</v>
      </c>
      <c r="FJ167" s="62">
        <f ca="1">AVERAGE(OFFSET($FI$3,0,0,'Données projet'!$E$16+1,1))-AVERAGE(OFFSET($H$3,0,0,'Données projet'!$E$16+1,1))</f>
        <v>280.9225643428145</v>
      </c>
      <c r="FK167" s="62">
        <f t="shared" si="156"/>
        <v>236.89414218053955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38.085387636243162</v>
      </c>
      <c r="FR167" s="23">
        <f>EXP(-LN(2)/25)*FR166+(1-EXP(-LN(2)/25))/(LN(2)/25)*Calculateur!FM167*Calculateur!FO167*VLOOKUP('Données projet'!$B$16,Paramètres!$A$1:$I$89,3,0)*0.475*44/12</f>
        <v>5.7879271981894727</v>
      </c>
      <c r="FS167" s="23">
        <f>EXP(-LN(2)/2)*FS166+(1-EXP(-LN(2)/2))/(LN(2)/2)*FM167*FP167*VLOOKUP('Données projet'!$B$16,Paramètres!$A$1:$I$89,3,0)*0.475*44/12</f>
        <v>3.0493704619436775E-17</v>
      </c>
      <c r="FT167" s="24">
        <f t="shared" si="184"/>
        <v>43.873314834432634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-5.6843418860808015E-13</v>
      </c>
      <c r="GA167" s="18">
        <f>FZ167*VLOOKUP('Données projet'!$B$17,Paramètres!$A$1:$I$89,3,0)*VLOOKUP('Données projet'!$B$17,Paramètres!$A$1:$I$89,5,0)</f>
        <v>-2.5124791136477147E-13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325.67421864225201</v>
      </c>
      <c r="GF167" s="62">
        <f t="shared" si="158"/>
        <v>542.01920418736745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24.648484360671009</v>
      </c>
      <c r="GM167" s="23">
        <f>EXP(-LN(2)/25)*GM166+(1-EXP(-LN(2)/25))/(LN(2)/25)*Calculateur!GH167*Calculateur!GJ167*VLOOKUP('Données projet'!$B$17,Paramètres!$A$1:$I$89,3,0)*0.475*44/12</f>
        <v>6.7833915401137865</v>
      </c>
      <c r="GN167" s="23">
        <f>EXP(-LN(2)/2)*GN166+(1-EXP(-LN(2)/2))/(LN(2)/2)*GH167*GK167*VLOOKUP('Données projet'!$B$17,Paramètres!$A$1:$I$89,3,0)*0.475*44/12</f>
        <v>3.1058754309938101E-17</v>
      </c>
      <c r="GO167" s="23">
        <f t="shared" si="187"/>
        <v>31.431875900784796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-2.5579538487363607E-13</v>
      </c>
      <c r="GV167" s="18">
        <f>GU167*VLOOKUP('Données projet'!$B$18,Paramètres!$A$1:$I$89,3,0)*VLOOKUP('Données projet'!$B$18,Paramètres!$A$1:$I$89,5,0)</f>
        <v>-2.5937652026186701E-13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220.89224520315713</v>
      </c>
      <c r="HA167" s="62">
        <f t="shared" si="160"/>
        <v>141.82763623159096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-2.8421709430404007E-14</v>
      </c>
      <c r="O168" s="14">
        <f>N168*VLOOKUP('Données projet'!$B$9,Paramètres!$A$1:$I$89,3,0)*VLOOKUP('Données projet'!$B$9,Paramètres!$A$1:$I$89,5,0)</f>
        <v>-2.7489477361086758E-14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84.959354125980269</v>
      </c>
      <c r="T168" s="62">
        <f t="shared" si="142"/>
        <v>89.658970210276806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1.1176889337603744</v>
      </c>
      <c r="AB168" s="23">
        <f>EXP(-LN(2)/2)*AB167+(1-EXP(-LN(2)/2))/(LN(2)/2)*V168*Y168*VLOOKUP('Données projet'!$B$9,Paramètres!$A$1:$I$89,3,0)*0.475*44/12</f>
        <v>1.6435329424336121E-14</v>
      </c>
      <c r="AC168" s="24">
        <f t="shared" si="163"/>
        <v>1.1176889337603908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-1.1368683772161603E-12</v>
      </c>
      <c r="AJ168" s="14">
        <f>AI168*VLOOKUP('Données projet'!$B$10,Paramètres!$A$1:$I$89,3,0)*VLOOKUP('Données projet'!$B$10,Paramètres!$A$1:$I$89,5,0)</f>
        <v>-1.0818439477588981E-12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592.76231355549089</v>
      </c>
      <c r="AO168" s="62">
        <f t="shared" si="144"/>
        <v>200.66895551079014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130.33152821467655</v>
      </c>
      <c r="AV168" s="23">
        <f>EXP(-LN(2)/25)*AV167+(1-EXP(-LN(2)/25))/(LN(2)/25)*Calculateur!AQ168*Calculateur!AS168*VLOOKUP('Données projet'!$B$10,Paramètres!$A$1:$I$89,3,0)*0.475*44/12</f>
        <v>29.405604622610184</v>
      </c>
      <c r="AW168" s="23">
        <f>EXP(-LN(2)/2)*AW167+(1-EXP(-LN(2)/2))/(LN(2)/2)*AQ168*AT168*VLOOKUP('Données projet'!$B$10,Paramètres!$A$1:$I$89,3,0)*0.475*44/12</f>
        <v>2.0190300677259167E-15</v>
      </c>
      <c r="AX168" s="23">
        <f t="shared" si="166"/>
        <v>159.73713283728674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-2.0572770154103635E-13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316.71836722354374</v>
      </c>
      <c r="BJ168" s="62">
        <f t="shared" si="146"/>
        <v>164.34067012996618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73.831269926504675</v>
      </c>
      <c r="BQ168" s="23">
        <f>EXP(-LN(2)/25)*BQ167+(1-EXP(-LN(2)/25))/(LN(2)/25)*Calculateur!BL168*Calculateur!BN168*VLOOKUP('Données projet'!$B$11,Paramètres!$A$1:$I$89,3,0)*0.475*44/12</f>
        <v>1.1443773641062818</v>
      </c>
      <c r="BR168" s="23">
        <f>EXP(-LN(2)/2)*BR167+(1-EXP(-LN(2)/2))/(LN(2)/2)*BL168*BO168*VLOOKUP('Données projet'!$B$11,Paramètres!$A$1:$I$89,3,0)*0.475*44/12</f>
        <v>1.3044013309001585E-16</v>
      </c>
      <c r="BS168" s="24">
        <f t="shared" si="169"/>
        <v>74.975647290610951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2.8421709430404007E-14</v>
      </c>
      <c r="BZ168" s="14">
        <f>BY168*VLOOKUP('Données projet'!$B$12,Paramètres!$A$1:$I$89,3,0)*VLOOKUP('Données projet'!$B$12,Paramètres!$A$1:$I$89,5,0)</f>
        <v>3.2366642699344085E-14</v>
      </c>
      <c r="CA168" s="14">
        <f t="shared" si="170"/>
        <v>5.5446527398450045E-13</v>
      </c>
      <c r="CB168" s="22">
        <f t="shared" si="171"/>
        <v>1.0220655882243624E-12</v>
      </c>
      <c r="CC168" s="62">
        <f t="shared" si="119"/>
        <v>288.22609502834717</v>
      </c>
      <c r="CD168" s="62">
        <f ca="1">AVERAGE(OFFSET($CC$3,0,0,'Données projet'!$E$12+1,1))-AVERAGE(OFFSET($H$3,0,0,'Données projet'!$E$12+1,1))</f>
        <v>454.9779384236806</v>
      </c>
      <c r="CE168" s="62">
        <f t="shared" si="148"/>
        <v>379.32753348721906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31.585627862675143</v>
      </c>
      <c r="CL168" s="23">
        <f>EXP(-LN(2)/25)*CL167+(1-EXP(-LN(2)/25))/(LN(2)/25)*Calculateur!CG168*Calculateur!CI168*VLOOKUP('Données projet'!$B$12,Paramètres!$A$1:$I$89,3,0)*0.475*44/12</f>
        <v>8.9608762816979173</v>
      </c>
      <c r="CM168" s="23">
        <f>EXP(-LN(2)/2)*CM167+(1-EXP(-LN(2)/2))/(LN(2)/2)*CG168*CJ168*VLOOKUP('Données projet'!$B$12,Paramètres!$A$1:$I$89,3,0)*0.475*44/12</f>
        <v>2.0441628811264697E-11</v>
      </c>
      <c r="CN168" s="24">
        <f t="shared" si="172"/>
        <v>40.546504144393502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252.10592533338991</v>
      </c>
      <c r="CZ168" s="62">
        <f t="shared" si="150"/>
        <v>272.71831345325313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8.0776028973796379</v>
      </c>
      <c r="DH168" s="23">
        <f>EXP(-LN(2)/2)*DH167+(1-EXP(-LN(2)/2))/(LN(2)/2)*DB168*DE168*VLOOKUP('Données projet'!$B$13,Paramètres!$A$1:$I$89,3,0)*0.475*44/12</f>
        <v>2.6550809376284522E-15</v>
      </c>
      <c r="DI168" s="24">
        <f t="shared" si="175"/>
        <v>8.0776028973796397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423.0896575168394</v>
      </c>
      <c r="DU168" s="62">
        <f t="shared" si="152"/>
        <v>305.98537395014284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28.311626133910316</v>
      </c>
      <c r="EB168" s="23">
        <f>EXP(-LN(2)/25)*EB167+(1-EXP(-LN(2)/25))/(LN(2)/25)*Calculateur!DW168*Calculateur!DY168*VLOOKUP('Données projet'!$B$14,Paramètres!$A$1:$I$89,3,0)*0.475*44/12</f>
        <v>16.94567851072442</v>
      </c>
      <c r="EC168" s="23">
        <f>EXP(-LN(2)/2)*EC167+(1-EXP(-LN(2)/2))/(LN(2)/2)*DW168*DZ168*VLOOKUP('Données projet'!$B$14,Paramètres!$A$1:$I$89,3,0)*0.475*44/12</f>
        <v>5.2053670983361274E-16</v>
      </c>
      <c r="ED168" s="24">
        <f t="shared" si="178"/>
        <v>45.257304644634736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2.2737367544323206E-13</v>
      </c>
      <c r="EK168" s="18">
        <f>EJ168*VLOOKUP('Données projet'!$B$15,Paramètres!$A$1:$I$89,3,0)*VLOOKUP('Données projet'!$B$15,Paramètres!$A$1:$I$89,5,0)</f>
        <v>1.3596945791505279E-13</v>
      </c>
      <c r="EL168" s="14">
        <f t="shared" si="179"/>
        <v>1.9708830566360721E-12</v>
      </c>
      <c r="EM168" s="22">
        <f t="shared" si="180"/>
        <v>3.669434796176543E-12</v>
      </c>
      <c r="EN168" s="62">
        <f t="shared" si="128"/>
        <v>288.22609502834985</v>
      </c>
      <c r="EO168" s="62">
        <f ca="1">AVERAGE(OFFSET($EN$3,0,0,'Données projet'!$E$15+1,1))-AVERAGE(OFFSET($H$3,0,0,'Données projet'!$E$15+1,1))</f>
        <v>281.21543175875604</v>
      </c>
      <c r="EP168" s="62">
        <f t="shared" si="154"/>
        <v>366.68536296857428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11.936066058893706</v>
      </c>
      <c r="EW168" s="23">
        <f>EXP(-LN(2)/25)*EW167+(1-EXP(-LN(2)/25))/(LN(2)/25)*Calculateur!ER168*Calculateur!ET168*VLOOKUP('Données projet'!$B$15,Paramètres!$A$1:$I$89,3,0)*0.475*44/12</f>
        <v>1.7589673260788348</v>
      </c>
      <c r="EX168" s="23">
        <f>EXP(-LN(2)/2)*EX167+(1-EXP(-LN(2)/2))/(LN(2)/2)*ER168*EU168*VLOOKUP('Données projet'!$B$15,Paramètres!$A$1:$I$89,3,0)*0.475*44/12</f>
        <v>8.1912454905611191E-16</v>
      </c>
      <c r="EY168" s="24">
        <f t="shared" si="181"/>
        <v>13.695033384972541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2.2737367544323206E-13</v>
      </c>
      <c r="FF168" s="18">
        <f>FE168*VLOOKUP('Données projet'!$B$16,Paramètres!$A$1:$I$89,3,0)*VLOOKUP('Données projet'!$B$16,Paramètres!$A$1:$I$89,5,0)</f>
        <v>1.2710188457276673E-13</v>
      </c>
      <c r="FG168" s="14">
        <f t="shared" si="182"/>
        <v>1.856866851063998E-12</v>
      </c>
      <c r="FH168" s="22">
        <f t="shared" si="183"/>
        <v>3.4554122145673649E-12</v>
      </c>
      <c r="FI168" s="62">
        <f t="shared" si="131"/>
        <v>288.22609502834962</v>
      </c>
      <c r="FJ168" s="62">
        <f ca="1">AVERAGE(OFFSET($FI$3,0,0,'Données projet'!$E$16+1,1))-AVERAGE(OFFSET($H$3,0,0,'Données projet'!$E$16+1,1))</f>
        <v>280.9225643428145</v>
      </c>
      <c r="FK168" s="62">
        <f t="shared" si="156"/>
        <v>236.89414218053955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37.33855641448914</v>
      </c>
      <c r="FR168" s="23">
        <f>EXP(-LN(2)/25)*FR167+(1-EXP(-LN(2)/25))/(LN(2)/25)*Calculateur!FM168*Calculateur!FO168*VLOOKUP('Données projet'!$B$16,Paramètres!$A$1:$I$89,3,0)*0.475*44/12</f>
        <v>5.6296560245811182</v>
      </c>
      <c r="FS168" s="23">
        <f>EXP(-LN(2)/2)*FS167+(1-EXP(-LN(2)/2))/(LN(2)/2)*FM168*FP168*VLOOKUP('Données projet'!$B$16,Paramètres!$A$1:$I$89,3,0)*0.475*44/12</f>
        <v>2.1562305319903293E-17</v>
      </c>
      <c r="FT168" s="24">
        <f t="shared" si="184"/>
        <v>42.968212439070257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-5.6843418860808015E-13</v>
      </c>
      <c r="GA168" s="18">
        <f>FZ168*VLOOKUP('Données projet'!$B$17,Paramètres!$A$1:$I$89,3,0)*VLOOKUP('Données projet'!$B$17,Paramètres!$A$1:$I$89,5,0)</f>
        <v>-2.5124791136477147E-13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325.67421864225201</v>
      </c>
      <c r="GF168" s="62">
        <f t="shared" si="158"/>
        <v>542.01920418736745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24.165142616449216</v>
      </c>
      <c r="GM168" s="23">
        <f>EXP(-LN(2)/25)*GM167+(1-EXP(-LN(2)/25))/(LN(2)/25)*Calculateur!GH168*Calculateur!GJ168*VLOOKUP('Données projet'!$B$17,Paramètres!$A$1:$I$89,3,0)*0.475*44/12</f>
        <v>6.5978993417263174</v>
      </c>
      <c r="GN168" s="23">
        <f>EXP(-LN(2)/2)*GN167+(1-EXP(-LN(2)/2))/(LN(2)/2)*GH168*GK168*VLOOKUP('Données projet'!$B$17,Paramètres!$A$1:$I$89,3,0)*0.475*44/12</f>
        <v>2.1961855787764141E-17</v>
      </c>
      <c r="GO168" s="23">
        <f t="shared" si="187"/>
        <v>30.763041958175535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-2.5579538487363607E-13</v>
      </c>
      <c r="GV168" s="18">
        <f>GU168*VLOOKUP('Données projet'!$B$18,Paramètres!$A$1:$I$89,3,0)*VLOOKUP('Données projet'!$B$18,Paramètres!$A$1:$I$89,5,0)</f>
        <v>-2.5937652026186701E-13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220.89224520315713</v>
      </c>
      <c r="HA168" s="62">
        <f t="shared" si="160"/>
        <v>141.82763623159096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-2.8421709430404007E-14</v>
      </c>
      <c r="O169" s="14">
        <f>N169*VLOOKUP('Données projet'!$B$9,Paramètres!$A$1:$I$89,3,0)*VLOOKUP('Données projet'!$B$9,Paramètres!$A$1:$I$89,5,0)</f>
        <v>-2.7489477361086758E-14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84.959354125980269</v>
      </c>
      <c r="T169" s="62">
        <f t="shared" si="142"/>
        <v>89.658970210276806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1.0871256710899904</v>
      </c>
      <c r="AB169" s="23">
        <f>EXP(-LN(2)/2)*AB168+(1-EXP(-LN(2)/2))/(LN(2)/2)*V169*Y169*VLOOKUP('Données projet'!$B$9,Paramètres!$A$1:$I$89,3,0)*0.475*44/12</f>
        <v>1.1621532886982868E-14</v>
      </c>
      <c r="AC169" s="24">
        <f t="shared" si="163"/>
        <v>1.0871256710900019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-1.1368683772161603E-12</v>
      </c>
      <c r="AJ169" s="14">
        <f>AI169*VLOOKUP('Données projet'!$B$10,Paramètres!$A$1:$I$89,3,0)*VLOOKUP('Données projet'!$B$10,Paramètres!$A$1:$I$89,5,0)</f>
        <v>-1.0818439477588981E-12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592.76231355549089</v>
      </c>
      <c r="AO169" s="62">
        <f t="shared" si="144"/>
        <v>200.66895551079014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127.77580644076954</v>
      </c>
      <c r="AV169" s="23">
        <f>EXP(-LN(2)/25)*AV168+(1-EXP(-LN(2)/25))/(LN(2)/25)*Calculateur!AQ169*Calculateur!AS169*VLOOKUP('Données projet'!$B$10,Paramètres!$A$1:$I$89,3,0)*0.475*44/12</f>
        <v>28.601506817831368</v>
      </c>
      <c r="AW169" s="23">
        <f>EXP(-LN(2)/2)*AW168+(1-EXP(-LN(2)/2))/(LN(2)/2)*AQ169*AT169*VLOOKUP('Données projet'!$B$10,Paramètres!$A$1:$I$89,3,0)*0.475*44/12</f>
        <v>1.4276698523085301E-15</v>
      </c>
      <c r="AX169" s="23">
        <f t="shared" si="166"/>
        <v>156.37731325860091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-2.0572770154103635E-13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316.71836722354374</v>
      </c>
      <c r="BJ169" s="62">
        <f t="shared" si="146"/>
        <v>164.34067012996618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72.383483755873968</v>
      </c>
      <c r="BQ169" s="23">
        <f>EXP(-LN(2)/25)*BQ168+(1-EXP(-LN(2)/25))/(LN(2)/25)*Calculateur!BL169*Calculateur!BN169*VLOOKUP('Données projet'!$B$11,Paramètres!$A$1:$I$89,3,0)*0.475*44/12</f>
        <v>1.1130843049046055</v>
      </c>
      <c r="BR169" s="23">
        <f>EXP(-LN(2)/2)*BR168+(1-EXP(-LN(2)/2))/(LN(2)/2)*BL169*BO169*VLOOKUP('Données projet'!$B$11,Paramètres!$A$1:$I$89,3,0)*0.475*44/12</f>
        <v>9.2235102646825974E-17</v>
      </c>
      <c r="BS169" s="24">
        <f t="shared" si="169"/>
        <v>73.496568060778571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2.8421709430404007E-14</v>
      </c>
      <c r="BZ169" s="14">
        <f>BY169*VLOOKUP('Données projet'!$B$12,Paramètres!$A$1:$I$89,3,0)*VLOOKUP('Données projet'!$B$12,Paramètres!$A$1:$I$89,5,0)</f>
        <v>3.2366642699344085E-14</v>
      </c>
      <c r="CA169" s="14">
        <f t="shared" si="170"/>
        <v>5.5446527398450045E-13</v>
      </c>
      <c r="CB169" s="22">
        <f t="shared" si="171"/>
        <v>1.0220655882243624E-12</v>
      </c>
      <c r="CC169" s="62">
        <f t="shared" si="119"/>
        <v>288.31469419486444</v>
      </c>
      <c r="CD169" s="62">
        <f ca="1">AVERAGE(OFFSET($CC$3,0,0,'Données projet'!$E$12+1,1))-AVERAGE(OFFSET($H$3,0,0,'Données projet'!$E$12+1,1))</f>
        <v>454.9779384236806</v>
      </c>
      <c r="CE169" s="62">
        <f t="shared" si="148"/>
        <v>379.32753348721906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30.966252965618786</v>
      </c>
      <c r="CL169" s="23">
        <f>EXP(-LN(2)/25)*CL168+(1-EXP(-LN(2)/25))/(LN(2)/25)*Calculateur!CG169*Calculateur!CI169*VLOOKUP('Données projet'!$B$12,Paramètres!$A$1:$I$89,3,0)*0.475*44/12</f>
        <v>8.7158406485428852</v>
      </c>
      <c r="CM169" s="23">
        <f>EXP(-LN(2)/2)*CM168+(1-EXP(-LN(2)/2))/(LN(2)/2)*CG169*CJ169*VLOOKUP('Données projet'!$B$12,Paramètres!$A$1:$I$89,3,0)*0.475*44/12</f>
        <v>1.4454414350943572E-11</v>
      </c>
      <c r="CN169" s="24">
        <f t="shared" si="172"/>
        <v>39.682093614176125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252.10592533338991</v>
      </c>
      <c r="CZ169" s="62">
        <f t="shared" si="150"/>
        <v>272.71831345325313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7.8567204213681165</v>
      </c>
      <c r="DH169" s="23">
        <f>EXP(-LN(2)/2)*DH168+(1-EXP(-LN(2)/2))/(LN(2)/2)*DB169*DE169*VLOOKUP('Données projet'!$B$13,Paramètres!$A$1:$I$89,3,0)*0.475*44/12</f>
        <v>1.8774257355962154E-15</v>
      </c>
      <c r="DI169" s="24">
        <f t="shared" si="175"/>
        <v>7.8567204213681183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423.0896575168394</v>
      </c>
      <c r="DU169" s="62">
        <f t="shared" si="152"/>
        <v>305.98537395014284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27.756452413811164</v>
      </c>
      <c r="EB169" s="23">
        <f>EXP(-LN(2)/25)*EB168+(1-EXP(-LN(2)/25))/(LN(2)/25)*Calculateur!DW169*Calculateur!DY169*VLOOKUP('Données projet'!$B$14,Paramètres!$A$1:$I$89,3,0)*0.475*44/12</f>
        <v>16.482298040714159</v>
      </c>
      <c r="EC169" s="23">
        <f>EXP(-LN(2)/2)*EC168+(1-EXP(-LN(2)/2))/(LN(2)/2)*DW169*DZ169*VLOOKUP('Données projet'!$B$14,Paramètres!$A$1:$I$89,3,0)*0.475*44/12</f>
        <v>3.6807503737988179E-16</v>
      </c>
      <c r="ED169" s="24">
        <f t="shared" si="178"/>
        <v>44.238750454525324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2.2737367544323206E-13</v>
      </c>
      <c r="EK169" s="18">
        <f>EJ169*VLOOKUP('Données projet'!$B$15,Paramètres!$A$1:$I$89,3,0)*VLOOKUP('Données projet'!$B$15,Paramètres!$A$1:$I$89,5,0)</f>
        <v>1.3596945791505279E-13</v>
      </c>
      <c r="EL169" s="14">
        <f t="shared" si="179"/>
        <v>1.9708830566360721E-12</v>
      </c>
      <c r="EM169" s="22">
        <f t="shared" si="180"/>
        <v>3.669434796176543E-12</v>
      </c>
      <c r="EN169" s="62">
        <f t="shared" si="128"/>
        <v>288.31469419486712</v>
      </c>
      <c r="EO169" s="62">
        <f ca="1">AVERAGE(OFFSET($EN$3,0,0,'Données projet'!$E$15+1,1))-AVERAGE(OFFSET($H$3,0,0,'Données projet'!$E$15+1,1))</f>
        <v>281.21543175875604</v>
      </c>
      <c r="EP169" s="62">
        <f t="shared" si="154"/>
        <v>366.68536296857428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11.702007083760229</v>
      </c>
      <c r="EW169" s="23">
        <f>EXP(-LN(2)/25)*EW168+(1-EXP(-LN(2)/25))/(LN(2)/25)*Calculateur!ER169*Calculateur!ET169*VLOOKUP('Données projet'!$B$15,Paramètres!$A$1:$I$89,3,0)*0.475*44/12</f>
        <v>1.7108682720471375</v>
      </c>
      <c r="EX169" s="23">
        <f>EXP(-LN(2)/2)*EX168+(1-EXP(-LN(2)/2))/(LN(2)/2)*ER169*EU169*VLOOKUP('Données projet'!$B$15,Paramètres!$A$1:$I$89,3,0)*0.475*44/12</f>
        <v>5.7920852327394953E-16</v>
      </c>
      <c r="EY169" s="24">
        <f t="shared" si="181"/>
        <v>13.412875355807367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2.2737367544323206E-13</v>
      </c>
      <c r="FF169" s="18">
        <f>FE169*VLOOKUP('Données projet'!$B$16,Paramètres!$A$1:$I$89,3,0)*VLOOKUP('Données projet'!$B$16,Paramètres!$A$1:$I$89,5,0)</f>
        <v>1.2710188457276673E-13</v>
      </c>
      <c r="FG169" s="14">
        <f t="shared" si="182"/>
        <v>1.856866851063998E-12</v>
      </c>
      <c r="FH169" s="22">
        <f t="shared" si="183"/>
        <v>3.4554122145673649E-12</v>
      </c>
      <c r="FI169" s="62">
        <f t="shared" si="131"/>
        <v>288.31469419486689</v>
      </c>
      <c r="FJ169" s="62">
        <f ca="1">AVERAGE(OFFSET($FI$3,0,0,'Données projet'!$E$16+1,1))-AVERAGE(OFFSET($H$3,0,0,'Données projet'!$E$16+1,1))</f>
        <v>280.9225643428145</v>
      </c>
      <c r="FK169" s="62">
        <f t="shared" si="156"/>
        <v>236.89414218053955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36.606370097471647</v>
      </c>
      <c r="FR169" s="23">
        <f>EXP(-LN(2)/25)*FR168+(1-EXP(-LN(2)/25))/(LN(2)/25)*Calculateur!FM169*Calculateur!FO169*VLOOKUP('Données projet'!$B$16,Paramètres!$A$1:$I$89,3,0)*0.475*44/12</f>
        <v>5.4757127845382039</v>
      </c>
      <c r="FS169" s="23">
        <f>EXP(-LN(2)/2)*FS168+(1-EXP(-LN(2)/2))/(LN(2)/2)*FM169*FP169*VLOOKUP('Données projet'!$B$16,Paramètres!$A$1:$I$89,3,0)*0.475*44/12</f>
        <v>1.5246852309718387E-17</v>
      </c>
      <c r="FT169" s="24">
        <f t="shared" si="184"/>
        <v>42.08208288200985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-5.6843418860808015E-13</v>
      </c>
      <c r="GA169" s="18">
        <f>FZ169*VLOOKUP('Données projet'!$B$17,Paramètres!$A$1:$I$89,3,0)*VLOOKUP('Données projet'!$B$17,Paramètres!$A$1:$I$89,5,0)</f>
        <v>-2.5124791136477147E-13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325.67421864225201</v>
      </c>
      <c r="GF169" s="62">
        <f t="shared" si="158"/>
        <v>542.01920418736745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23.691278909022259</v>
      </c>
      <c r="GM169" s="23">
        <f>EXP(-LN(2)/25)*GM168+(1-EXP(-LN(2)/25))/(LN(2)/25)*Calculateur!GH169*Calculateur!GJ169*VLOOKUP('Données projet'!$B$17,Paramètres!$A$1:$I$89,3,0)*0.475*44/12</f>
        <v>6.4174794372583648</v>
      </c>
      <c r="GN169" s="23">
        <f>EXP(-LN(2)/2)*GN168+(1-EXP(-LN(2)/2))/(LN(2)/2)*GH169*GK169*VLOOKUP('Données projet'!$B$17,Paramètres!$A$1:$I$89,3,0)*0.475*44/12</f>
        <v>1.5529377154969051E-17</v>
      </c>
      <c r="GO169" s="23">
        <f t="shared" si="187"/>
        <v>30.108758346280624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-2.5579538487363607E-13</v>
      </c>
      <c r="GV169" s="18">
        <f>GU169*VLOOKUP('Données projet'!$B$18,Paramètres!$A$1:$I$89,3,0)*VLOOKUP('Données projet'!$B$18,Paramètres!$A$1:$I$89,5,0)</f>
        <v>-2.5937652026186701E-13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220.89224520315713</v>
      </c>
      <c r="HA169" s="62">
        <f t="shared" si="160"/>
        <v>141.82763623159096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-2.8421709430404007E-14</v>
      </c>
      <c r="O170" s="14">
        <f>N170*VLOOKUP('Données projet'!$B$9,Paramètres!$A$1:$I$89,3,0)*VLOOKUP('Données projet'!$B$9,Paramètres!$A$1:$I$89,5,0)</f>
        <v>-2.7489477361086758E-14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84.959354125980269</v>
      </c>
      <c r="T170" s="62">
        <f t="shared" si="142"/>
        <v>89.658970210276806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1.0573981624445803</v>
      </c>
      <c r="AB170" s="23">
        <f>EXP(-LN(2)/2)*AB169+(1-EXP(-LN(2)/2))/(LN(2)/2)*V170*Y170*VLOOKUP('Données projet'!$B$9,Paramètres!$A$1:$I$89,3,0)*0.475*44/12</f>
        <v>8.2176647121680606E-15</v>
      </c>
      <c r="AC170" s="24">
        <f t="shared" si="163"/>
        <v>1.0573981624445885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-1.1368683772161603E-12</v>
      </c>
      <c r="AJ170" s="14">
        <f>AI170*VLOOKUP('Données projet'!$B$10,Paramètres!$A$1:$I$89,3,0)*VLOOKUP('Données projet'!$B$10,Paramètres!$A$1:$I$89,5,0)</f>
        <v>-1.0818439477588981E-12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592.76231355549089</v>
      </c>
      <c r="AO170" s="62">
        <f t="shared" si="144"/>
        <v>200.66895551079014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125.27020081201249</v>
      </c>
      <c r="AV170" s="23">
        <f>EXP(-LN(2)/25)*AV169+(1-EXP(-LN(2)/25))/(LN(2)/25)*Calculateur!AQ170*Calculateur!AS170*VLOOKUP('Données projet'!$B$10,Paramètres!$A$1:$I$89,3,0)*0.475*44/12</f>
        <v>27.819397109809895</v>
      </c>
      <c r="AW170" s="23">
        <f>EXP(-LN(2)/2)*AW169+(1-EXP(-LN(2)/2))/(LN(2)/2)*AQ170*AT170*VLOOKUP('Données projet'!$B$10,Paramètres!$A$1:$I$89,3,0)*0.475*44/12</f>
        <v>1.0095150338629584E-15</v>
      </c>
      <c r="AX170" s="23">
        <f t="shared" si="166"/>
        <v>153.08959792182239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-2.0572770154103635E-13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316.71836722354374</v>
      </c>
      <c r="BJ170" s="62">
        <f t="shared" si="146"/>
        <v>164.34067012996618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70.964087788986959</v>
      </c>
      <c r="BQ170" s="23">
        <f>EXP(-LN(2)/25)*BQ169+(1-EXP(-LN(2)/25))/(LN(2)/25)*Calculateur!BL170*Calculateur!BN170*VLOOKUP('Données projet'!$B$11,Paramètres!$A$1:$I$89,3,0)*0.475*44/12</f>
        <v>1.0826469560524294</v>
      </c>
      <c r="BR170" s="23">
        <f>EXP(-LN(2)/2)*BR169+(1-EXP(-LN(2)/2))/(LN(2)/2)*BL170*BO170*VLOOKUP('Données projet'!$B$11,Paramètres!$A$1:$I$89,3,0)*0.475*44/12</f>
        <v>6.5220066545007925E-17</v>
      </c>
      <c r="BS170" s="24">
        <f t="shared" si="169"/>
        <v>72.046734745039387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2.8421709430404007E-14</v>
      </c>
      <c r="BZ170" s="14">
        <f>BY170*VLOOKUP('Données projet'!$B$12,Paramètres!$A$1:$I$89,3,0)*VLOOKUP('Données projet'!$B$12,Paramètres!$A$1:$I$89,5,0)</f>
        <v>3.2366642699344085E-14</v>
      </c>
      <c r="CA170" s="14">
        <f t="shared" si="170"/>
        <v>5.5446527398450045E-13</v>
      </c>
      <c r="CB170" s="22">
        <f t="shared" si="171"/>
        <v>1.0220655882243624E-12</v>
      </c>
      <c r="CC170" s="62">
        <f t="shared" si="119"/>
        <v>288.40175636392064</v>
      </c>
      <c r="CD170" s="62">
        <f ca="1">AVERAGE(OFFSET($CC$3,0,0,'Données projet'!$E$12+1,1))-AVERAGE(OFFSET($H$3,0,0,'Données projet'!$E$12+1,1))</f>
        <v>454.9779384236806</v>
      </c>
      <c r="CE170" s="62">
        <f t="shared" si="148"/>
        <v>379.32753348721906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30.359023632512319</v>
      </c>
      <c r="CL170" s="23">
        <f>EXP(-LN(2)/25)*CL169+(1-EXP(-LN(2)/25))/(LN(2)/25)*Calculateur!CG170*Calculateur!CI170*VLOOKUP('Données projet'!$B$12,Paramètres!$A$1:$I$89,3,0)*0.475*44/12</f>
        <v>8.4775055276623412</v>
      </c>
      <c r="CM170" s="23">
        <f>EXP(-LN(2)/2)*CM169+(1-EXP(-LN(2)/2))/(LN(2)/2)*CG170*CJ170*VLOOKUP('Données projet'!$B$12,Paramètres!$A$1:$I$89,3,0)*0.475*44/12</f>
        <v>1.022081440563235E-11</v>
      </c>
      <c r="CN170" s="24">
        <f t="shared" si="172"/>
        <v>38.836529160184881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252.10592533338991</v>
      </c>
      <c r="CZ170" s="62">
        <f t="shared" si="150"/>
        <v>272.71831345325313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7.6418779882788348</v>
      </c>
      <c r="DH170" s="23">
        <f>EXP(-LN(2)/2)*DH169+(1-EXP(-LN(2)/2))/(LN(2)/2)*DB170*DE170*VLOOKUP('Données projet'!$B$13,Paramètres!$A$1:$I$89,3,0)*0.475*44/12</f>
        <v>1.3275404688142261E-15</v>
      </c>
      <c r="DI170" s="24">
        <f t="shared" si="175"/>
        <v>7.6418779882788357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423.0896575168394</v>
      </c>
      <c r="DU170" s="62">
        <f t="shared" si="152"/>
        <v>305.98537395014284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27.212165311740623</v>
      </c>
      <c r="EB170" s="23">
        <f>EXP(-LN(2)/25)*EB169+(1-EXP(-LN(2)/25))/(LN(2)/25)*Calculateur!DW170*Calculateur!DY170*VLOOKUP('Données projet'!$B$14,Paramètres!$A$1:$I$89,3,0)*0.475*44/12</f>
        <v>16.031588734024446</v>
      </c>
      <c r="EC170" s="23">
        <f>EXP(-LN(2)/2)*EC169+(1-EXP(-LN(2)/2))/(LN(2)/2)*DW170*DZ170*VLOOKUP('Données projet'!$B$14,Paramètres!$A$1:$I$89,3,0)*0.475*44/12</f>
        <v>2.6026835491680637E-16</v>
      </c>
      <c r="ED170" s="24">
        <f t="shared" si="178"/>
        <v>43.243754045765073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2.2737367544323206E-13</v>
      </c>
      <c r="EK170" s="18">
        <f>EJ170*VLOOKUP('Données projet'!$B$15,Paramètres!$A$1:$I$89,3,0)*VLOOKUP('Données projet'!$B$15,Paramètres!$A$1:$I$89,5,0)</f>
        <v>1.3596945791505279E-13</v>
      </c>
      <c r="EL170" s="14">
        <f t="shared" si="179"/>
        <v>1.9708830566360721E-12</v>
      </c>
      <c r="EM170" s="22">
        <f t="shared" si="180"/>
        <v>3.669434796176543E-12</v>
      </c>
      <c r="EN170" s="62">
        <f t="shared" si="128"/>
        <v>288.40175636392331</v>
      </c>
      <c r="EO170" s="62">
        <f ca="1">AVERAGE(OFFSET($EN$3,0,0,'Données projet'!$E$15+1,1))-AVERAGE(OFFSET($H$3,0,0,'Données projet'!$E$15+1,1))</f>
        <v>281.21543175875604</v>
      </c>
      <c r="EP170" s="62">
        <f t="shared" si="154"/>
        <v>366.68536296857428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11.47253786236724</v>
      </c>
      <c r="EW170" s="23">
        <f>EXP(-LN(2)/25)*EW169+(1-EXP(-LN(2)/25))/(LN(2)/25)*Calculateur!ER170*Calculateur!ET170*VLOOKUP('Données projet'!$B$15,Paramètres!$A$1:$I$89,3,0)*0.475*44/12</f>
        <v>1.6640844891773563</v>
      </c>
      <c r="EX170" s="23">
        <f>EXP(-LN(2)/2)*EX169+(1-EXP(-LN(2)/2))/(LN(2)/2)*ER170*EU170*VLOOKUP('Données projet'!$B$15,Paramètres!$A$1:$I$89,3,0)*0.475*44/12</f>
        <v>4.0956227452805595E-16</v>
      </c>
      <c r="EY170" s="24">
        <f t="shared" si="181"/>
        <v>13.136622351544595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2.2737367544323206E-13</v>
      </c>
      <c r="FF170" s="18">
        <f>FE170*VLOOKUP('Données projet'!$B$16,Paramètres!$A$1:$I$89,3,0)*VLOOKUP('Données projet'!$B$16,Paramètres!$A$1:$I$89,5,0)</f>
        <v>1.2710188457276673E-13</v>
      </c>
      <c r="FG170" s="14">
        <f t="shared" si="182"/>
        <v>1.856866851063998E-12</v>
      </c>
      <c r="FH170" s="22">
        <f t="shared" si="183"/>
        <v>3.4554122145673649E-12</v>
      </c>
      <c r="FI170" s="62">
        <f t="shared" si="131"/>
        <v>288.40175636392308</v>
      </c>
      <c r="FJ170" s="62">
        <f ca="1">AVERAGE(OFFSET($FI$3,0,0,'Données projet'!$E$16+1,1))-AVERAGE(OFFSET($H$3,0,0,'Données projet'!$E$16+1,1))</f>
        <v>280.9225643428145</v>
      </c>
      <c r="FK170" s="62">
        <f t="shared" si="156"/>
        <v>236.89414218053955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35.888541507541312</v>
      </c>
      <c r="FR170" s="23">
        <f>EXP(-LN(2)/25)*FR169+(1-EXP(-LN(2)/25))/(LN(2)/25)*Calculateur!FM170*Calculateur!FO170*VLOOKUP('Données projet'!$B$16,Paramètres!$A$1:$I$89,3,0)*0.475*44/12</f>
        <v>5.3259791304897863</v>
      </c>
      <c r="FS170" s="23">
        <f>EXP(-LN(2)/2)*FS169+(1-EXP(-LN(2)/2))/(LN(2)/2)*FM170*FP170*VLOOKUP('Données projet'!$B$16,Paramètres!$A$1:$I$89,3,0)*0.475*44/12</f>
        <v>1.0781152659951647E-17</v>
      </c>
      <c r="FT170" s="24">
        <f t="shared" si="184"/>
        <v>41.214520638031097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-5.6843418860808015E-13</v>
      </c>
      <c r="GA170" s="18">
        <f>FZ170*VLOOKUP('Données projet'!$B$17,Paramètres!$A$1:$I$89,3,0)*VLOOKUP('Données projet'!$B$17,Paramètres!$A$1:$I$89,5,0)</f>
        <v>-2.5124791136477147E-13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325.67421864225201</v>
      </c>
      <c r="GF170" s="62">
        <f t="shared" si="158"/>
        <v>542.01920418736745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23.226707379869623</v>
      </c>
      <c r="GM170" s="23">
        <f>EXP(-LN(2)/25)*GM169+(1-EXP(-LN(2)/25))/(LN(2)/25)*Calculateur!GH170*Calculateur!GJ170*VLOOKUP('Données projet'!$B$17,Paramètres!$A$1:$I$89,3,0)*0.475*44/12</f>
        <v>6.2419931245659583</v>
      </c>
      <c r="GN170" s="23">
        <f>EXP(-LN(2)/2)*GN169+(1-EXP(-LN(2)/2))/(LN(2)/2)*GH170*GK170*VLOOKUP('Données projet'!$B$17,Paramètres!$A$1:$I$89,3,0)*0.475*44/12</f>
        <v>1.0980927893882071E-17</v>
      </c>
      <c r="GO170" s="23">
        <f t="shared" si="187"/>
        <v>29.468700504435581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-2.5579538487363607E-13</v>
      </c>
      <c r="GV170" s="18">
        <f>GU170*VLOOKUP('Données projet'!$B$18,Paramètres!$A$1:$I$89,3,0)*VLOOKUP('Données projet'!$B$18,Paramètres!$A$1:$I$89,5,0)</f>
        <v>-2.5937652026186701E-13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220.89224520315713</v>
      </c>
      <c r="HA170" s="62">
        <f t="shared" si="160"/>
        <v>141.82763623159096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-2.8421709430404007E-14</v>
      </c>
      <c r="O171" s="14">
        <f>N171*VLOOKUP('Données projet'!$B$9,Paramètres!$A$1:$I$89,3,0)*VLOOKUP('Données projet'!$B$9,Paramètres!$A$1:$I$89,5,0)</f>
        <v>-2.7489477361086758E-14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84.959354125980269</v>
      </c>
      <c r="T171" s="62">
        <f t="shared" si="142"/>
        <v>89.658970210276806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1.0284835540863806</v>
      </c>
      <c r="AB171" s="23">
        <f>EXP(-LN(2)/2)*AB170+(1-EXP(-LN(2)/2))/(LN(2)/2)*V171*Y171*VLOOKUP('Données projet'!$B$9,Paramètres!$A$1:$I$89,3,0)*0.475*44/12</f>
        <v>5.8107664434914339E-15</v>
      </c>
      <c r="AC171" s="24">
        <f t="shared" si="163"/>
        <v>1.0284835540863864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-1.1368683772161603E-12</v>
      </c>
      <c r="AJ171" s="14">
        <f>AI171*VLOOKUP('Données projet'!$B$10,Paramètres!$A$1:$I$89,3,0)*VLOOKUP('Données projet'!$B$10,Paramètres!$A$1:$I$89,5,0)</f>
        <v>-1.0818439477588981E-12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592.76231355549089</v>
      </c>
      <c r="AO171" s="62">
        <f t="shared" si="144"/>
        <v>200.66895551079014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122.81372858136683</v>
      </c>
      <c r="AV171" s="23">
        <f>EXP(-LN(2)/25)*AV170+(1-EXP(-LN(2)/25))/(LN(2)/25)*Calculateur!AQ171*Calculateur!AS171*VLOOKUP('Données projet'!$B$10,Paramètres!$A$1:$I$89,3,0)*0.475*44/12</f>
        <v>27.058674232883632</v>
      </c>
      <c r="AW171" s="23">
        <f>EXP(-LN(2)/2)*AW170+(1-EXP(-LN(2)/2))/(LN(2)/2)*AQ171*AT171*VLOOKUP('Données projet'!$B$10,Paramètres!$A$1:$I$89,3,0)*0.475*44/12</f>
        <v>7.1383492615426503E-16</v>
      </c>
      <c r="AX171" s="23">
        <f t="shared" si="166"/>
        <v>149.87240281425045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-2.0572770154103635E-13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316.71836722354374</v>
      </c>
      <c r="BJ171" s="62">
        <f t="shared" si="146"/>
        <v>164.34067012996618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69.572525311264556</v>
      </c>
      <c r="BQ171" s="23">
        <f>EXP(-LN(2)/25)*BQ170+(1-EXP(-LN(2)/25))/(LN(2)/25)*Calculateur!BL171*Calculateur!BN171*VLOOKUP('Données projet'!$B$11,Paramètres!$A$1:$I$89,3,0)*0.475*44/12</f>
        <v>1.0530419181052468</v>
      </c>
      <c r="BR171" s="23">
        <f>EXP(-LN(2)/2)*BR170+(1-EXP(-LN(2)/2))/(LN(2)/2)*BL171*BO171*VLOOKUP('Données projet'!$B$11,Paramètres!$A$1:$I$89,3,0)*0.475*44/12</f>
        <v>4.6117551323412987E-17</v>
      </c>
      <c r="BS171" s="24">
        <f t="shared" si="169"/>
        <v>70.625567229369807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2.8421709430404007E-14</v>
      </c>
      <c r="BZ171" s="14">
        <f>BY171*VLOOKUP('Données projet'!$B$12,Paramètres!$A$1:$I$89,3,0)*VLOOKUP('Données projet'!$B$12,Paramètres!$A$1:$I$89,5,0)</f>
        <v>3.2366642699344085E-14</v>
      </c>
      <c r="CA171" s="14">
        <f t="shared" si="170"/>
        <v>5.5446527398450045E-13</v>
      </c>
      <c r="CB171" s="22">
        <f t="shared" si="171"/>
        <v>1.0220655882243624E-12</v>
      </c>
      <c r="CC171" s="62">
        <f t="shared" si="119"/>
        <v>288.48730819898555</v>
      </c>
      <c r="CD171" s="62">
        <f ca="1">AVERAGE(OFFSET($CC$3,0,0,'Données projet'!$E$12+1,1))-AVERAGE(OFFSET($H$3,0,0,'Données projet'!$E$12+1,1))</f>
        <v>454.9779384236806</v>
      </c>
      <c r="CE171" s="62">
        <f t="shared" si="148"/>
        <v>379.32753348721906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29.763701696254749</v>
      </c>
      <c r="CL171" s="23">
        <f>EXP(-LN(2)/25)*CL170+(1-EXP(-LN(2)/25))/(LN(2)/25)*Calculateur!CG171*Calculateur!CI171*VLOOKUP('Données projet'!$B$12,Paramètres!$A$1:$I$89,3,0)*0.475*44/12</f>
        <v>8.2456876931957748</v>
      </c>
      <c r="CM171" s="23">
        <f>EXP(-LN(2)/2)*CM170+(1-EXP(-LN(2)/2))/(LN(2)/2)*CG171*CJ171*VLOOKUP('Données projet'!$B$12,Paramètres!$A$1:$I$89,3,0)*0.475*44/12</f>
        <v>7.2272071754717876E-12</v>
      </c>
      <c r="CN171" s="24">
        <f t="shared" si="172"/>
        <v>38.009389389457752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252.10592533338991</v>
      </c>
      <c r="CZ171" s="62">
        <f t="shared" si="150"/>
        <v>272.71831345325313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7.4329104328204521</v>
      </c>
      <c r="DH171" s="23">
        <f>EXP(-LN(2)/2)*DH170+(1-EXP(-LN(2)/2))/(LN(2)/2)*DB171*DE171*VLOOKUP('Données projet'!$B$13,Paramètres!$A$1:$I$89,3,0)*0.475*44/12</f>
        <v>9.3871286779810768E-16</v>
      </c>
      <c r="DI171" s="24">
        <f t="shared" si="175"/>
        <v>7.4329104328204529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423.0896575168394</v>
      </c>
      <c r="DU171" s="62">
        <f t="shared" si="152"/>
        <v>305.98537395014284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26.678551347759335</v>
      </c>
      <c r="EB171" s="23">
        <f>EXP(-LN(2)/25)*EB170+(1-EXP(-LN(2)/25))/(LN(2)/25)*Calculateur!DW171*Calculateur!DY171*VLOOKUP('Données projet'!$B$14,Paramètres!$A$1:$I$89,3,0)*0.475*44/12</f>
        <v>15.593204097027936</v>
      </c>
      <c r="EC171" s="23">
        <f>EXP(-LN(2)/2)*EC170+(1-EXP(-LN(2)/2))/(LN(2)/2)*DW171*DZ171*VLOOKUP('Données projet'!$B$14,Paramètres!$A$1:$I$89,3,0)*0.475*44/12</f>
        <v>1.840375186899409E-16</v>
      </c>
      <c r="ED171" s="24">
        <f t="shared" si="178"/>
        <v>42.271755444787274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2.2737367544323206E-13</v>
      </c>
      <c r="EK171" s="18">
        <f>EJ171*VLOOKUP('Données projet'!$B$15,Paramètres!$A$1:$I$89,3,0)*VLOOKUP('Données projet'!$B$15,Paramètres!$A$1:$I$89,5,0)</f>
        <v>1.3596945791505279E-13</v>
      </c>
      <c r="EL171" s="14">
        <f t="shared" si="179"/>
        <v>1.9708830566360721E-12</v>
      </c>
      <c r="EM171" s="22">
        <f t="shared" si="180"/>
        <v>3.669434796176543E-12</v>
      </c>
      <c r="EN171" s="62">
        <f t="shared" si="128"/>
        <v>288.48730819898822</v>
      </c>
      <c r="EO171" s="62">
        <f ca="1">AVERAGE(OFFSET($EN$3,0,0,'Données projet'!$E$15+1,1))-AVERAGE(OFFSET($H$3,0,0,'Données projet'!$E$15+1,1))</f>
        <v>281.21543175875604</v>
      </c>
      <c r="EP171" s="62">
        <f t="shared" si="154"/>
        <v>366.68536296857428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11.247568392443362</v>
      </c>
      <c r="EW171" s="23">
        <f>EXP(-LN(2)/25)*EW170+(1-EXP(-LN(2)/25))/(LN(2)/25)*Calculateur!ER171*Calculateur!ET171*VLOOKUP('Données projet'!$B$15,Paramètres!$A$1:$I$89,3,0)*0.475*44/12</f>
        <v>1.6185800113104014</v>
      </c>
      <c r="EX171" s="23">
        <f>EXP(-LN(2)/2)*EX170+(1-EXP(-LN(2)/2))/(LN(2)/2)*ER171*EU171*VLOOKUP('Données projet'!$B$15,Paramètres!$A$1:$I$89,3,0)*0.475*44/12</f>
        <v>2.8960426163697476E-16</v>
      </c>
      <c r="EY171" s="24">
        <f t="shared" si="181"/>
        <v>12.866148403753764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2.2737367544323206E-13</v>
      </c>
      <c r="FF171" s="18">
        <f>FE171*VLOOKUP('Données projet'!$B$16,Paramètres!$A$1:$I$89,3,0)*VLOOKUP('Données projet'!$B$16,Paramètres!$A$1:$I$89,5,0)</f>
        <v>1.2710188457276673E-13</v>
      </c>
      <c r="FG171" s="14">
        <f t="shared" si="182"/>
        <v>1.856866851063998E-12</v>
      </c>
      <c r="FH171" s="22">
        <f t="shared" si="183"/>
        <v>3.4554122145673649E-12</v>
      </c>
      <c r="FI171" s="62">
        <f t="shared" si="131"/>
        <v>288.48730819898799</v>
      </c>
      <c r="FJ171" s="62">
        <f ca="1">AVERAGE(OFFSET($FI$3,0,0,'Données projet'!$E$16+1,1))-AVERAGE(OFFSET($H$3,0,0,'Données projet'!$E$16+1,1))</f>
        <v>280.9225643428145</v>
      </c>
      <c r="FK171" s="62">
        <f t="shared" si="156"/>
        <v>236.89414218053955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35.184789098427302</v>
      </c>
      <c r="FR171" s="23">
        <f>EXP(-LN(2)/25)*FR170+(1-EXP(-LN(2)/25))/(LN(2)/25)*Calculateur!FM171*Calculateur!FO171*VLOOKUP('Données projet'!$B$16,Paramètres!$A$1:$I$89,3,0)*0.475*44/12</f>
        <v>5.1803399510854735</v>
      </c>
      <c r="FS171" s="23">
        <f>EXP(-LN(2)/2)*FS170+(1-EXP(-LN(2)/2))/(LN(2)/2)*FM171*FP171*VLOOKUP('Données projet'!$B$16,Paramètres!$A$1:$I$89,3,0)*0.475*44/12</f>
        <v>7.6234261548591937E-18</v>
      </c>
      <c r="FT171" s="24">
        <f t="shared" si="184"/>
        <v>40.365129049512774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-5.6843418860808015E-13</v>
      </c>
      <c r="GA171" s="18">
        <f>FZ171*VLOOKUP('Données projet'!$B$17,Paramètres!$A$1:$I$89,3,0)*VLOOKUP('Données projet'!$B$17,Paramètres!$A$1:$I$89,5,0)</f>
        <v>-2.5124791136477147E-13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325.67421864225201</v>
      </c>
      <c r="GF171" s="62">
        <f t="shared" si="158"/>
        <v>542.01920418736745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22.771245815043017</v>
      </c>
      <c r="GM171" s="23">
        <f>EXP(-LN(2)/25)*GM170+(1-EXP(-LN(2)/25))/(LN(2)/25)*Calculateur!GH171*Calculateur!GJ171*VLOOKUP('Données projet'!$B$17,Paramètres!$A$1:$I$89,3,0)*0.475*44/12</f>
        <v>6.0713054943225497</v>
      </c>
      <c r="GN171" s="23">
        <f>EXP(-LN(2)/2)*GN170+(1-EXP(-LN(2)/2))/(LN(2)/2)*GH171*GK171*VLOOKUP('Données projet'!$B$17,Paramètres!$A$1:$I$89,3,0)*0.475*44/12</f>
        <v>7.7646885774845253E-18</v>
      </c>
      <c r="GO171" s="23">
        <f t="shared" si="187"/>
        <v>28.842551309365568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-2.5579538487363607E-13</v>
      </c>
      <c r="GV171" s="18">
        <f>GU171*VLOOKUP('Données projet'!$B$18,Paramètres!$A$1:$I$89,3,0)*VLOOKUP('Données projet'!$B$18,Paramètres!$A$1:$I$89,5,0)</f>
        <v>-2.5937652026186701E-13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220.89224520315713</v>
      </c>
      <c r="HA171" s="62">
        <f t="shared" si="160"/>
        <v>141.82763623159096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-2.8421709430404007E-14</v>
      </c>
      <c r="O172" s="14">
        <f>N172*VLOOKUP('Données projet'!$B$9,Paramètres!$A$1:$I$89,3,0)*VLOOKUP('Données projet'!$B$9,Paramètres!$A$1:$I$89,5,0)</f>
        <v>-2.7489477361086758E-14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84.959354125980269</v>
      </c>
      <c r="T172" s="62">
        <f t="shared" si="142"/>
        <v>89.658970210276806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1.000359617214289</v>
      </c>
      <c r="AB172" s="23">
        <f>EXP(-LN(2)/2)*AB171+(1-EXP(-LN(2)/2))/(LN(2)/2)*V172*Y172*VLOOKUP('Données projet'!$B$9,Paramètres!$A$1:$I$89,3,0)*0.475*44/12</f>
        <v>4.1088323560840303E-15</v>
      </c>
      <c r="AC172" s="24">
        <f t="shared" si="163"/>
        <v>1.0003596172142932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-1.1368683772161603E-12</v>
      </c>
      <c r="AJ172" s="14">
        <f>AI172*VLOOKUP('Données projet'!$B$10,Paramètres!$A$1:$I$89,3,0)*VLOOKUP('Données projet'!$B$10,Paramètres!$A$1:$I$89,5,0)</f>
        <v>-1.0818439477588981E-12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592.76231355549089</v>
      </c>
      <c r="AO172" s="62">
        <f t="shared" si="144"/>
        <v>200.66895551079014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120.40542627286402</v>
      </c>
      <c r="AV172" s="23">
        <f>EXP(-LN(2)/25)*AV171+(1-EXP(-LN(2)/25))/(LN(2)/25)*Calculateur!AQ172*Calculateur!AS172*VLOOKUP('Données projet'!$B$10,Paramètres!$A$1:$I$89,3,0)*0.475*44/12</f>
        <v>26.318753363031593</v>
      </c>
      <c r="AW172" s="23">
        <f>EXP(-LN(2)/2)*AW171+(1-EXP(-LN(2)/2))/(LN(2)/2)*AQ172*AT172*VLOOKUP('Données projet'!$B$10,Paramètres!$A$1:$I$89,3,0)*0.475*44/12</f>
        <v>5.0475751693147918E-16</v>
      </c>
      <c r="AX172" s="23">
        <f t="shared" si="166"/>
        <v>146.72417963589561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-2.0572770154103635E-13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316.71836722354374</v>
      </c>
      <c r="BJ172" s="62">
        <f t="shared" si="146"/>
        <v>164.34067012996618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68.208250524960988</v>
      </c>
      <c r="BQ172" s="23">
        <f>EXP(-LN(2)/25)*BQ171+(1-EXP(-LN(2)/25))/(LN(2)/25)*Calculateur!BL172*Calculateur!BN172*VLOOKUP('Données projet'!$B$11,Paramètres!$A$1:$I$89,3,0)*0.475*44/12</f>
        <v>1.0242464314775912</v>
      </c>
      <c r="BR172" s="23">
        <f>EXP(-LN(2)/2)*BR171+(1-EXP(-LN(2)/2))/(LN(2)/2)*BL172*BO172*VLOOKUP('Données projet'!$B$11,Paramètres!$A$1:$I$89,3,0)*0.475*44/12</f>
        <v>3.2610033272503962E-17</v>
      </c>
      <c r="BS172" s="24">
        <f t="shared" si="169"/>
        <v>69.232496956438581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2.8421709430404007E-14</v>
      </c>
      <c r="BZ172" s="14">
        <f>BY172*VLOOKUP('Données projet'!$B$12,Paramètres!$A$1:$I$89,3,0)*VLOOKUP('Données projet'!$B$12,Paramètres!$A$1:$I$89,5,0)</f>
        <v>3.2366642699344085E-14</v>
      </c>
      <c r="CA172" s="14">
        <f t="shared" si="170"/>
        <v>5.5446527398450045E-13</v>
      </c>
      <c r="CB172" s="22">
        <f t="shared" si="171"/>
        <v>1.0220655882243624E-12</v>
      </c>
      <c r="CC172" s="62">
        <f t="shared" si="119"/>
        <v>288.57137590097744</v>
      </c>
      <c r="CD172" s="62">
        <f ca="1">AVERAGE(OFFSET($CC$3,0,0,'Données projet'!$E$12+1,1))-AVERAGE(OFFSET($H$3,0,0,'Données projet'!$E$12+1,1))</f>
        <v>454.9779384236806</v>
      </c>
      <c r="CE172" s="62">
        <f t="shared" si="148"/>
        <v>379.32753348721906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29.180053660056664</v>
      </c>
      <c r="CL172" s="23">
        <f>EXP(-LN(2)/25)*CL171+(1-EXP(-LN(2)/25))/(LN(2)/25)*Calculateur!CG172*Calculateur!CI172*VLOOKUP('Données projet'!$B$12,Paramètres!$A$1:$I$89,3,0)*0.475*44/12</f>
        <v>8.0202089296034664</v>
      </c>
      <c r="CM172" s="23">
        <f>EXP(-LN(2)/2)*CM171+(1-EXP(-LN(2)/2))/(LN(2)/2)*CG172*CJ172*VLOOKUP('Données projet'!$B$12,Paramètres!$A$1:$I$89,3,0)*0.475*44/12</f>
        <v>5.1104072028161758E-12</v>
      </c>
      <c r="CN172" s="24">
        <f t="shared" si="172"/>
        <v>37.200262589665236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252.10592533338991</v>
      </c>
      <c r="CZ172" s="62">
        <f t="shared" si="150"/>
        <v>272.71831345325313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7.2296571061552051</v>
      </c>
      <c r="DH172" s="23">
        <f>EXP(-LN(2)/2)*DH171+(1-EXP(-LN(2)/2))/(LN(2)/2)*DB172*DE172*VLOOKUP('Données projet'!$B$13,Paramètres!$A$1:$I$89,3,0)*0.475*44/12</f>
        <v>6.6377023440711304E-16</v>
      </c>
      <c r="DI172" s="24">
        <f t="shared" si="175"/>
        <v>7.229657106155206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423.0896575168394</v>
      </c>
      <c r="DU172" s="62">
        <f t="shared" si="152"/>
        <v>305.98537395014284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26.15540122813934</v>
      </c>
      <c r="EB172" s="23">
        <f>EXP(-LN(2)/25)*EB171+(1-EXP(-LN(2)/25))/(LN(2)/25)*Calculateur!DW172*Calculateur!DY172*VLOOKUP('Données projet'!$B$14,Paramètres!$A$1:$I$89,3,0)*0.475*44/12</f>
        <v>15.166807110983742</v>
      </c>
      <c r="EC172" s="23">
        <f>EXP(-LN(2)/2)*EC171+(1-EXP(-LN(2)/2))/(LN(2)/2)*DW172*DZ172*VLOOKUP('Données projet'!$B$14,Paramètres!$A$1:$I$89,3,0)*0.475*44/12</f>
        <v>1.3013417745840319E-16</v>
      </c>
      <c r="ED172" s="24">
        <f t="shared" si="178"/>
        <v>41.32220833912308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2.2737367544323206E-13</v>
      </c>
      <c r="EK172" s="18">
        <f>EJ172*VLOOKUP('Données projet'!$B$15,Paramètres!$A$1:$I$89,3,0)*VLOOKUP('Données projet'!$B$15,Paramètres!$A$1:$I$89,5,0)</f>
        <v>1.3596945791505279E-13</v>
      </c>
      <c r="EL172" s="14">
        <f t="shared" si="179"/>
        <v>1.9708830566360721E-12</v>
      </c>
      <c r="EM172" s="22">
        <f t="shared" si="180"/>
        <v>3.669434796176543E-12</v>
      </c>
      <c r="EN172" s="62">
        <f t="shared" si="128"/>
        <v>288.57137590098012</v>
      </c>
      <c r="EO172" s="62">
        <f ca="1">AVERAGE(OFFSET($EN$3,0,0,'Données projet'!$E$15+1,1))-AVERAGE(OFFSET($H$3,0,0,'Données projet'!$E$15+1,1))</f>
        <v>281.21543175875604</v>
      </c>
      <c r="EP172" s="62">
        <f t="shared" si="154"/>
        <v>366.68536296857428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11.027010436606865</v>
      </c>
      <c r="EW172" s="23">
        <f>EXP(-LN(2)/25)*EW171+(1-EXP(-LN(2)/25))/(LN(2)/25)*Calculateur!ER172*Calculateur!ET172*VLOOKUP('Données projet'!$B$15,Paramètres!$A$1:$I$89,3,0)*0.475*44/12</f>
        <v>1.574319855783695</v>
      </c>
      <c r="EX172" s="23">
        <f>EXP(-LN(2)/2)*EX171+(1-EXP(-LN(2)/2))/(LN(2)/2)*ER172*EU172*VLOOKUP('Données projet'!$B$15,Paramètres!$A$1:$I$89,3,0)*0.475*44/12</f>
        <v>2.0478113726402798E-16</v>
      </c>
      <c r="EY172" s="24">
        <f t="shared" si="181"/>
        <v>12.601330292390561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2.2737367544323206E-13</v>
      </c>
      <c r="FF172" s="18">
        <f>FE172*VLOOKUP('Données projet'!$B$16,Paramètres!$A$1:$I$89,3,0)*VLOOKUP('Données projet'!$B$16,Paramètres!$A$1:$I$89,5,0)</f>
        <v>1.2710188457276673E-13</v>
      </c>
      <c r="FG172" s="14">
        <f t="shared" si="182"/>
        <v>1.856866851063998E-12</v>
      </c>
      <c r="FH172" s="22">
        <f t="shared" si="183"/>
        <v>3.4554122145673649E-12</v>
      </c>
      <c r="FI172" s="62">
        <f t="shared" si="131"/>
        <v>288.57137590097989</v>
      </c>
      <c r="FJ172" s="62">
        <f ca="1">AVERAGE(OFFSET($FI$3,0,0,'Données projet'!$E$16+1,1))-AVERAGE(OFFSET($H$3,0,0,'Données projet'!$E$16+1,1))</f>
        <v>280.9225643428145</v>
      </c>
      <c r="FK172" s="62">
        <f t="shared" si="156"/>
        <v>236.89414218053955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34.494836844809434</v>
      </c>
      <c r="FR172" s="23">
        <f>EXP(-LN(2)/25)*FR171+(1-EXP(-LN(2)/25))/(LN(2)/25)*Calculateur!FM172*Calculateur!FO172*VLOOKUP('Données projet'!$B$16,Paramètres!$A$1:$I$89,3,0)*0.475*44/12</f>
        <v>5.038683282700803</v>
      </c>
      <c r="FS172" s="23">
        <f>EXP(-LN(2)/2)*FS171+(1-EXP(-LN(2)/2))/(LN(2)/2)*FM172*FP172*VLOOKUP('Données projet'!$B$16,Paramètres!$A$1:$I$89,3,0)*0.475*44/12</f>
        <v>5.3905763299758234E-18</v>
      </c>
      <c r="FT172" s="24">
        <f t="shared" si="184"/>
        <v>39.533520127510236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-5.6843418860808015E-13</v>
      </c>
      <c r="GA172" s="18">
        <f>FZ172*VLOOKUP('Données projet'!$B$17,Paramètres!$A$1:$I$89,3,0)*VLOOKUP('Données projet'!$B$17,Paramètres!$A$1:$I$89,5,0)</f>
        <v>-2.5124791136477147E-13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325.67421864225201</v>
      </c>
      <c r="GF172" s="62">
        <f t="shared" si="158"/>
        <v>542.01920418736745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22.324715573698537</v>
      </c>
      <c r="GM172" s="23">
        <f>EXP(-LN(2)/25)*GM171+(1-EXP(-LN(2)/25))/(LN(2)/25)*Calculateur!GH172*Calculateur!GJ172*VLOOKUP('Données projet'!$B$17,Paramètres!$A$1:$I$89,3,0)*0.475*44/12</f>
        <v>5.9052853263042202</v>
      </c>
      <c r="GN172" s="23">
        <f>EXP(-LN(2)/2)*GN171+(1-EXP(-LN(2)/2))/(LN(2)/2)*GH172*GK172*VLOOKUP('Données projet'!$B$17,Paramètres!$A$1:$I$89,3,0)*0.475*44/12</f>
        <v>5.4904639469410353E-18</v>
      </c>
      <c r="GO172" s="23">
        <f t="shared" si="187"/>
        <v>28.230000900002757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-2.5579538487363607E-13</v>
      </c>
      <c r="GV172" s="18">
        <f>GU172*VLOOKUP('Données projet'!$B$18,Paramètres!$A$1:$I$89,3,0)*VLOOKUP('Données projet'!$B$18,Paramètres!$A$1:$I$89,5,0)</f>
        <v>-2.5937652026186701E-13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220.89224520315713</v>
      </c>
      <c r="HA172" s="62">
        <f t="shared" si="160"/>
        <v>141.82763623159096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-2.8421709430404007E-14</v>
      </c>
      <c r="O173" s="14">
        <f>N173*VLOOKUP('Données projet'!$B$9,Paramètres!$A$1:$I$89,3,0)*VLOOKUP('Données projet'!$B$9,Paramètres!$A$1:$I$89,5,0)</f>
        <v>-2.7489477361086758E-14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84.959354125980269</v>
      </c>
      <c r="T173" s="62">
        <f t="shared" si="142"/>
        <v>89.658970210276806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0.97300473087493833</v>
      </c>
      <c r="AB173" s="23">
        <f>EXP(-LN(2)/2)*AB172+(1-EXP(-LN(2)/2))/(LN(2)/2)*V173*Y173*VLOOKUP('Données projet'!$B$9,Paramètres!$A$1:$I$89,3,0)*0.475*44/12</f>
        <v>2.9053832217457169E-15</v>
      </c>
      <c r="AC173" s="24">
        <f t="shared" si="163"/>
        <v>0.97300473087494121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-1.1368683772161603E-12</v>
      </c>
      <c r="AJ173" s="14">
        <f>AI173*VLOOKUP('Données projet'!$B$10,Paramètres!$A$1:$I$89,3,0)*VLOOKUP('Données projet'!$B$10,Paramètres!$A$1:$I$89,5,0)</f>
        <v>-1.0818439477588981E-12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592.76231355549089</v>
      </c>
      <c r="AO173" s="62">
        <f t="shared" si="144"/>
        <v>200.66895551079014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118.04434930371158</v>
      </c>
      <c r="AV173" s="23">
        <f>EXP(-LN(2)/25)*AV172+(1-EXP(-LN(2)/25))/(LN(2)/25)*Calculateur!AQ173*Calculateur!AS173*VLOOKUP('Données projet'!$B$10,Paramètres!$A$1:$I$89,3,0)*0.475*44/12</f>
        <v>25.599065668276406</v>
      </c>
      <c r="AW173" s="23">
        <f>EXP(-LN(2)/2)*AW172+(1-EXP(-LN(2)/2))/(LN(2)/2)*AQ173*AT173*VLOOKUP('Données projet'!$B$10,Paramètres!$A$1:$I$89,3,0)*0.475*44/12</f>
        <v>3.5691746307713251E-16</v>
      </c>
      <c r="AX173" s="23">
        <f t="shared" si="166"/>
        <v>143.64341497198799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-2.0572770154103635E-13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316.71836722354374</v>
      </c>
      <c r="BJ173" s="62">
        <f t="shared" si="146"/>
        <v>164.34067012996618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66.870728335091371</v>
      </c>
      <c r="BQ173" s="23">
        <f>EXP(-LN(2)/25)*BQ172+(1-EXP(-LN(2)/25))/(LN(2)/25)*Calculateur!BL173*Calculateur!BN173*VLOOKUP('Données projet'!$B$11,Paramètres!$A$1:$I$89,3,0)*0.475*44/12</f>
        <v>0.99623835894605761</v>
      </c>
      <c r="BR173" s="23">
        <f>EXP(-LN(2)/2)*BR172+(1-EXP(-LN(2)/2))/(LN(2)/2)*BL173*BO173*VLOOKUP('Données projet'!$B$11,Paramètres!$A$1:$I$89,3,0)*0.475*44/12</f>
        <v>2.3058775661706494E-17</v>
      </c>
      <c r="BS173" s="24">
        <f t="shared" si="169"/>
        <v>67.86696669403743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2.8421709430404007E-14</v>
      </c>
      <c r="BZ173" s="14">
        <f>BY173*VLOOKUP('Données projet'!$B$12,Paramètres!$A$1:$I$89,3,0)*VLOOKUP('Données projet'!$B$12,Paramètres!$A$1:$I$89,5,0)</f>
        <v>3.2366642699344085E-14</v>
      </c>
      <c r="CA173" s="14">
        <f t="shared" si="170"/>
        <v>5.5446527398450045E-13</v>
      </c>
      <c r="CB173" s="22">
        <f t="shared" si="171"/>
        <v>1.0220655882243624E-12</v>
      </c>
      <c r="CC173" s="62">
        <f t="shared" si="119"/>
        <v>288.65398521628691</v>
      </c>
      <c r="CD173" s="62">
        <f ca="1">AVERAGE(OFFSET($CC$3,0,0,'Données projet'!$E$12+1,1))-AVERAGE(OFFSET($H$3,0,0,'Données projet'!$E$12+1,1))</f>
        <v>454.9779384236806</v>
      </c>
      <c r="CE173" s="62">
        <f t="shared" si="148"/>
        <v>379.32753348721906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28.607850605858271</v>
      </c>
      <c r="CL173" s="23">
        <f>EXP(-LN(2)/25)*CL172+(1-EXP(-LN(2)/25))/(LN(2)/25)*Calculateur!CG173*Calculateur!CI173*VLOOKUP('Données projet'!$B$12,Paramètres!$A$1:$I$89,3,0)*0.475*44/12</f>
        <v>7.8008958946590026</v>
      </c>
      <c r="CM173" s="23">
        <f>EXP(-LN(2)/2)*CM172+(1-EXP(-LN(2)/2))/(LN(2)/2)*CG173*CJ173*VLOOKUP('Données projet'!$B$12,Paramètres!$A$1:$I$89,3,0)*0.475*44/12</f>
        <v>3.6136035877358942E-12</v>
      </c>
      <c r="CN173" s="24">
        <f t="shared" si="172"/>
        <v>36.408746500520891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252.10592533338991</v>
      </c>
      <c r="CZ173" s="62">
        <f t="shared" si="150"/>
        <v>272.71831345325313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7.0319617523962474</v>
      </c>
      <c r="DH173" s="23">
        <f>EXP(-LN(2)/2)*DH172+(1-EXP(-LN(2)/2))/(LN(2)/2)*DB173*DE173*VLOOKUP('Données projet'!$B$13,Paramètres!$A$1:$I$89,3,0)*0.475*44/12</f>
        <v>4.6935643389905384E-16</v>
      </c>
      <c r="DI173" s="24">
        <f t="shared" si="175"/>
        <v>7.0319617523962483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423.0896575168394</v>
      </c>
      <c r="DU173" s="62">
        <f t="shared" si="152"/>
        <v>305.98537395014284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25.642509763275026</v>
      </c>
      <c r="EB173" s="23">
        <f>EXP(-LN(2)/25)*EB172+(1-EXP(-LN(2)/25))/(LN(2)/25)*Calculateur!DW173*Calculateur!DY173*VLOOKUP('Données projet'!$B$14,Paramètres!$A$1:$I$89,3,0)*0.475*44/12</f>
        <v>14.752069972946169</v>
      </c>
      <c r="EC173" s="23">
        <f>EXP(-LN(2)/2)*EC172+(1-EXP(-LN(2)/2))/(LN(2)/2)*DW173*DZ173*VLOOKUP('Données projet'!$B$14,Paramètres!$A$1:$I$89,3,0)*0.475*44/12</f>
        <v>9.2018759344970448E-17</v>
      </c>
      <c r="ED173" s="24">
        <f t="shared" si="178"/>
        <v>40.394579736221196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2.2737367544323206E-13</v>
      </c>
      <c r="EK173" s="18">
        <f>EJ173*VLOOKUP('Données projet'!$B$15,Paramètres!$A$1:$I$89,3,0)*VLOOKUP('Données projet'!$B$15,Paramètres!$A$1:$I$89,5,0)</f>
        <v>1.3596945791505279E-13</v>
      </c>
      <c r="EL173" s="14">
        <f t="shared" si="179"/>
        <v>1.9708830566360721E-12</v>
      </c>
      <c r="EM173" s="22">
        <f t="shared" si="180"/>
        <v>3.669434796176543E-12</v>
      </c>
      <c r="EN173" s="62">
        <f t="shared" si="128"/>
        <v>288.65398521628958</v>
      </c>
      <c r="EO173" s="62">
        <f ca="1">AVERAGE(OFFSET($EN$3,0,0,'Données projet'!$E$15+1,1))-AVERAGE(OFFSET($H$3,0,0,'Données projet'!$E$15+1,1))</f>
        <v>281.21543175875604</v>
      </c>
      <c r="EP173" s="62">
        <f t="shared" si="154"/>
        <v>366.68536296857428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10.810777487757251</v>
      </c>
      <c r="EW173" s="23">
        <f>EXP(-LN(2)/25)*EW172+(1-EXP(-LN(2)/25))/(LN(2)/25)*Calculateur!ER173*Calculateur!ET173*VLOOKUP('Données projet'!$B$15,Paramètres!$A$1:$I$89,3,0)*0.475*44/12</f>
        <v>1.5312699965374068</v>
      </c>
      <c r="EX173" s="23">
        <f>EXP(-LN(2)/2)*EX172+(1-EXP(-LN(2)/2))/(LN(2)/2)*ER173*EU173*VLOOKUP('Données projet'!$B$15,Paramètres!$A$1:$I$89,3,0)*0.475*44/12</f>
        <v>1.4480213081848738E-16</v>
      </c>
      <c r="EY173" s="24">
        <f t="shared" si="181"/>
        <v>12.342047484294659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2.2737367544323206E-13</v>
      </c>
      <c r="FF173" s="18">
        <f>FE173*VLOOKUP('Données projet'!$B$16,Paramètres!$A$1:$I$89,3,0)*VLOOKUP('Données projet'!$B$16,Paramètres!$A$1:$I$89,5,0)</f>
        <v>1.2710188457276673E-13</v>
      </c>
      <c r="FG173" s="14">
        <f t="shared" si="182"/>
        <v>1.856866851063998E-12</v>
      </c>
      <c r="FH173" s="22">
        <f t="shared" si="183"/>
        <v>3.4554122145673649E-12</v>
      </c>
      <c r="FI173" s="62">
        <f t="shared" si="131"/>
        <v>288.65398521628936</v>
      </c>
      <c r="FJ173" s="62">
        <f ca="1">AVERAGE(OFFSET($FI$3,0,0,'Données projet'!$E$16+1,1))-AVERAGE(OFFSET($H$3,0,0,'Données projet'!$E$16+1,1))</f>
        <v>280.9225643428145</v>
      </c>
      <c r="FK173" s="62">
        <f t="shared" si="156"/>
        <v>236.89414218053955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33.818414134055693</v>
      </c>
      <c r="FR173" s="23">
        <f>EXP(-LN(2)/25)*FR172+(1-EXP(-LN(2)/25))/(LN(2)/25)*Calculateur!FM173*Calculateur!FO173*VLOOKUP('Données projet'!$B$16,Paramètres!$A$1:$I$89,3,0)*0.475*44/12</f>
        <v>4.9009002233625116</v>
      </c>
      <c r="FS173" s="23">
        <f>EXP(-LN(2)/2)*FS172+(1-EXP(-LN(2)/2))/(LN(2)/2)*FM173*FP173*VLOOKUP('Données projet'!$B$16,Paramètres!$A$1:$I$89,3,0)*0.475*44/12</f>
        <v>3.8117130774295969E-18</v>
      </c>
      <c r="FT173" s="24">
        <f t="shared" si="184"/>
        <v>38.719314357418206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-5.6843418860808015E-13</v>
      </c>
      <c r="GA173" s="18">
        <f>FZ173*VLOOKUP('Données projet'!$B$17,Paramètres!$A$1:$I$89,3,0)*VLOOKUP('Données projet'!$B$17,Paramètres!$A$1:$I$89,5,0)</f>
        <v>-2.5124791136477147E-13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325.67421864225201</v>
      </c>
      <c r="GF173" s="62">
        <f t="shared" si="158"/>
        <v>542.01920418736745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21.88694151803027</v>
      </c>
      <c r="GM173" s="23">
        <f>EXP(-LN(2)/25)*GM172+(1-EXP(-LN(2)/25))/(LN(2)/25)*Calculateur!GH173*Calculateur!GJ173*VLOOKUP('Données projet'!$B$17,Paramètres!$A$1:$I$89,3,0)*0.475*44/12</f>
        <v>5.7438049885109725</v>
      </c>
      <c r="GN173" s="23">
        <f>EXP(-LN(2)/2)*GN172+(1-EXP(-LN(2)/2))/(LN(2)/2)*GH173*GK173*VLOOKUP('Données projet'!$B$17,Paramètres!$A$1:$I$89,3,0)*0.475*44/12</f>
        <v>3.8823442887422626E-18</v>
      </c>
      <c r="GO173" s="23">
        <f t="shared" si="187"/>
        <v>27.630746506541243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-2.5579538487363607E-13</v>
      </c>
      <c r="GV173" s="18">
        <f>GU173*VLOOKUP('Données projet'!$B$18,Paramètres!$A$1:$I$89,3,0)*VLOOKUP('Données projet'!$B$18,Paramètres!$A$1:$I$89,5,0)</f>
        <v>-2.5937652026186701E-13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220.89224520315713</v>
      </c>
      <c r="HA173" s="62">
        <f t="shared" si="160"/>
        <v>141.82763623159096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-2.8421709430404007E-14</v>
      </c>
      <c r="O174" s="14">
        <f>N174*VLOOKUP('Données projet'!$B$9,Paramètres!$A$1:$I$89,3,0)*VLOOKUP('Données projet'!$B$9,Paramètres!$A$1:$I$89,5,0)</f>
        <v>-2.7489477361086758E-14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84.959354125980269</v>
      </c>
      <c r="T174" s="62">
        <f t="shared" si="142"/>
        <v>89.658970210276806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0.94639786534106818</v>
      </c>
      <c r="AB174" s="23">
        <f>EXP(-LN(2)/2)*AB173+(1-EXP(-LN(2)/2))/(LN(2)/2)*V174*Y174*VLOOKUP('Données projet'!$B$9,Paramètres!$A$1:$I$89,3,0)*0.475*44/12</f>
        <v>2.0544161780420151E-15</v>
      </c>
      <c r="AC174" s="24">
        <f t="shared" si="163"/>
        <v>0.94639786534107029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-1.1368683772161603E-12</v>
      </c>
      <c r="AJ174" s="14">
        <f>AI174*VLOOKUP('Données projet'!$B$10,Paramètres!$A$1:$I$89,3,0)*VLOOKUP('Données projet'!$B$10,Paramètres!$A$1:$I$89,5,0)</f>
        <v>-1.0818439477588981E-12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592.76231355549089</v>
      </c>
      <c r="AO174" s="62">
        <f t="shared" si="144"/>
        <v>200.66895551079014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115.72957161380947</v>
      </c>
      <c r="AV174" s="23">
        <f>EXP(-LN(2)/25)*AV173+(1-EXP(-LN(2)/25))/(LN(2)/25)*Calculateur!AQ174*Calculateur!AS174*VLOOKUP('Données projet'!$B$10,Paramètres!$A$1:$I$89,3,0)*0.475*44/12</f>
        <v>24.899057871381032</v>
      </c>
      <c r="AW174" s="23">
        <f>EXP(-LN(2)/2)*AW173+(1-EXP(-LN(2)/2))/(LN(2)/2)*AQ174*AT174*VLOOKUP('Données projet'!$B$10,Paramètres!$A$1:$I$89,3,0)*0.475*44/12</f>
        <v>2.5237875846573959E-16</v>
      </c>
      <c r="AX174" s="23">
        <f t="shared" si="166"/>
        <v>140.62862948519052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-2.0572770154103635E-13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316.71836722354374</v>
      </c>
      <c r="BJ174" s="62">
        <f t="shared" si="146"/>
        <v>164.34067012996618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65.559434139557126</v>
      </c>
      <c r="BQ174" s="23">
        <f>EXP(-LN(2)/25)*BQ173+(1-EXP(-LN(2)/25))/(LN(2)/25)*Calculateur!BL174*Calculateur!BN174*VLOOKUP('Données projet'!$B$11,Paramètres!$A$1:$I$89,3,0)*0.475*44/12</f>
        <v>0.96899616863077931</v>
      </c>
      <c r="BR174" s="23">
        <f>EXP(-LN(2)/2)*BR173+(1-EXP(-LN(2)/2))/(LN(2)/2)*BL174*BO174*VLOOKUP('Données projet'!$B$11,Paramètres!$A$1:$I$89,3,0)*0.475*44/12</f>
        <v>1.6305016636251981E-17</v>
      </c>
      <c r="BS174" s="24">
        <f t="shared" si="169"/>
        <v>66.528430308187907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2.8421709430404007E-14</v>
      </c>
      <c r="BZ174" s="14">
        <f>BY174*VLOOKUP('Données projet'!$B$12,Paramètres!$A$1:$I$89,3,0)*VLOOKUP('Données projet'!$B$12,Paramètres!$A$1:$I$89,5,0)</f>
        <v>3.2366642699344085E-14</v>
      </c>
      <c r="CA174" s="14">
        <f t="shared" si="170"/>
        <v>5.5446527398450045E-13</v>
      </c>
      <c r="CB174" s="22">
        <f t="shared" si="171"/>
        <v>1.0220655882243624E-12</v>
      </c>
      <c r="CC174" s="62">
        <f t="shared" si="119"/>
        <v>288.73516144466254</v>
      </c>
      <c r="CD174" s="62">
        <f ca="1">AVERAGE(OFFSET($CC$3,0,0,'Données projet'!$E$12+1,1))-AVERAGE(OFFSET($H$3,0,0,'Données projet'!$E$12+1,1))</f>
        <v>454.9779384236806</v>
      </c>
      <c r="CE174" s="62">
        <f t="shared" si="148"/>
        <v>379.32753348721906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28.046868104543307</v>
      </c>
      <c r="CL174" s="23">
        <f>EXP(-LN(2)/25)*CL173+(1-EXP(-LN(2)/25))/(LN(2)/25)*Calculateur!CG174*Calculateur!CI174*VLOOKUP('Données projet'!$B$12,Paramètres!$A$1:$I$89,3,0)*0.475*44/12</f>
        <v>7.587579986188266</v>
      </c>
      <c r="CM174" s="23">
        <f>EXP(-LN(2)/2)*CM173+(1-EXP(-LN(2)/2))/(LN(2)/2)*CG174*CJ174*VLOOKUP('Données projet'!$B$12,Paramètres!$A$1:$I$89,3,0)*0.475*44/12</f>
        <v>2.5552036014080883E-12</v>
      </c>
      <c r="CN174" s="24">
        <f t="shared" si="172"/>
        <v>35.634448090734132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252.10592533338991</v>
      </c>
      <c r="CZ174" s="62">
        <f t="shared" si="150"/>
        <v>272.71831345325313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6.8396723884821755</v>
      </c>
      <c r="DH174" s="23">
        <f>EXP(-LN(2)/2)*DH173+(1-EXP(-LN(2)/2))/(LN(2)/2)*DB174*DE174*VLOOKUP('Données projet'!$B$13,Paramètres!$A$1:$I$89,3,0)*0.475*44/12</f>
        <v>3.3188511720355652E-16</v>
      </c>
      <c r="DI174" s="24">
        <f t="shared" si="175"/>
        <v>6.8396723884821755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423.0896575168394</v>
      </c>
      <c r="DU174" s="62">
        <f t="shared" si="152"/>
        <v>305.98537395014284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25.139675787203799</v>
      </c>
      <c r="EB174" s="23">
        <f>EXP(-LN(2)/25)*EB173+(1-EXP(-LN(2)/25))/(LN(2)/25)*Calculateur!DW174*Calculateur!DY174*VLOOKUP('Données projet'!$B$14,Paramètres!$A$1:$I$89,3,0)*0.475*44/12</f>
        <v>14.348673843758313</v>
      </c>
      <c r="EC174" s="23">
        <f>EXP(-LN(2)/2)*EC173+(1-EXP(-LN(2)/2))/(LN(2)/2)*DW174*DZ174*VLOOKUP('Données projet'!$B$14,Paramètres!$A$1:$I$89,3,0)*0.475*44/12</f>
        <v>6.5067088729201593E-17</v>
      </c>
      <c r="ED174" s="24">
        <f t="shared" si="178"/>
        <v>39.488349630962112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2.2737367544323206E-13</v>
      </c>
      <c r="EK174" s="18">
        <f>EJ174*VLOOKUP('Données projet'!$B$15,Paramètres!$A$1:$I$89,3,0)*VLOOKUP('Données projet'!$B$15,Paramètres!$A$1:$I$89,5,0)</f>
        <v>1.3596945791505279E-13</v>
      </c>
      <c r="EL174" s="14">
        <f t="shared" si="179"/>
        <v>1.9708830566360721E-12</v>
      </c>
      <c r="EM174" s="22">
        <f t="shared" si="180"/>
        <v>3.669434796176543E-12</v>
      </c>
      <c r="EN174" s="62">
        <f t="shared" si="128"/>
        <v>288.73516144466521</v>
      </c>
      <c r="EO174" s="62">
        <f ca="1">AVERAGE(OFFSET($EN$3,0,0,'Données projet'!$E$15+1,1))-AVERAGE(OFFSET($H$3,0,0,'Données projet'!$E$15+1,1))</f>
        <v>281.21543175875604</v>
      </c>
      <c r="EP174" s="62">
        <f t="shared" si="154"/>
        <v>366.68536296857428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10.598784735145504</v>
      </c>
      <c r="EW174" s="23">
        <f>EXP(-LN(2)/25)*EW173+(1-EXP(-LN(2)/25))/(LN(2)/25)*Calculateur!ER174*Calculateur!ET174*VLOOKUP('Données projet'!$B$15,Paramètres!$A$1:$I$89,3,0)*0.475*44/12</f>
        <v>1.4893973379561021</v>
      </c>
      <c r="EX174" s="23">
        <f>EXP(-LN(2)/2)*EX173+(1-EXP(-LN(2)/2))/(LN(2)/2)*ER174*EU174*VLOOKUP('Données projet'!$B$15,Paramètres!$A$1:$I$89,3,0)*0.475*44/12</f>
        <v>1.0239056863201399E-16</v>
      </c>
      <c r="EY174" s="24">
        <f t="shared" si="181"/>
        <v>12.088182073101606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2.2737367544323206E-13</v>
      </c>
      <c r="FF174" s="18">
        <f>FE174*VLOOKUP('Données projet'!$B$16,Paramètres!$A$1:$I$89,3,0)*VLOOKUP('Données projet'!$B$16,Paramètres!$A$1:$I$89,5,0)</f>
        <v>1.2710188457276673E-13</v>
      </c>
      <c r="FG174" s="14">
        <f t="shared" si="182"/>
        <v>1.856866851063998E-12</v>
      </c>
      <c r="FH174" s="22">
        <f t="shared" si="183"/>
        <v>3.4554122145673649E-12</v>
      </c>
      <c r="FI174" s="62">
        <f t="shared" si="131"/>
        <v>288.73516144466498</v>
      </c>
      <c r="FJ174" s="62">
        <f ca="1">AVERAGE(OFFSET($FI$3,0,0,'Données projet'!$E$16+1,1))-AVERAGE(OFFSET($H$3,0,0,'Données projet'!$E$16+1,1))</f>
        <v>280.9225643428145</v>
      </c>
      <c r="FK174" s="62">
        <f t="shared" si="156"/>
        <v>236.89414218053955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33.155255660082716</v>
      </c>
      <c r="FR174" s="23">
        <f>EXP(-LN(2)/25)*FR173+(1-EXP(-LN(2)/25))/(LN(2)/25)*Calculateur!FM174*Calculateur!FO174*VLOOKUP('Données projet'!$B$16,Paramètres!$A$1:$I$89,3,0)*0.475*44/12</f>
        <v>4.7668848490275222</v>
      </c>
      <c r="FS174" s="23">
        <f>EXP(-LN(2)/2)*FS173+(1-EXP(-LN(2)/2))/(LN(2)/2)*FM174*FP174*VLOOKUP('Données projet'!$B$16,Paramètres!$A$1:$I$89,3,0)*0.475*44/12</f>
        <v>2.6952881649879117E-18</v>
      </c>
      <c r="FT174" s="24">
        <f t="shared" si="184"/>
        <v>37.922140509110235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-5.6843418860808015E-13</v>
      </c>
      <c r="GA174" s="18">
        <f>FZ174*VLOOKUP('Données projet'!$B$17,Paramètres!$A$1:$I$89,3,0)*VLOOKUP('Données projet'!$B$17,Paramètres!$A$1:$I$89,5,0)</f>
        <v>-2.5124791136477147E-13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325.67421864225201</v>
      </c>
      <c r="GF174" s="62">
        <f t="shared" si="158"/>
        <v>542.01920418736745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21.457751944577847</v>
      </c>
      <c r="GM174" s="23">
        <f>EXP(-LN(2)/25)*GM173+(1-EXP(-LN(2)/25))/(LN(2)/25)*Calculateur!GH174*Calculateur!GJ174*VLOOKUP('Données projet'!$B$17,Paramètres!$A$1:$I$89,3,0)*0.475*44/12</f>
        <v>5.5867403390465631</v>
      </c>
      <c r="GN174" s="23">
        <f>EXP(-LN(2)/2)*GN173+(1-EXP(-LN(2)/2))/(LN(2)/2)*GH174*GK174*VLOOKUP('Données projet'!$B$17,Paramètres!$A$1:$I$89,3,0)*0.475*44/12</f>
        <v>2.7452319734705176E-18</v>
      </c>
      <c r="GO174" s="23">
        <f t="shared" si="187"/>
        <v>27.044492283624411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-2.5579538487363607E-13</v>
      </c>
      <c r="GV174" s="18">
        <f>GU174*VLOOKUP('Données projet'!$B$18,Paramètres!$A$1:$I$89,3,0)*VLOOKUP('Données projet'!$B$18,Paramètres!$A$1:$I$89,5,0)</f>
        <v>-2.5937652026186701E-13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220.89224520315713</v>
      </c>
      <c r="HA174" s="62">
        <f t="shared" si="160"/>
        <v>141.82763623159096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-2.8421709430404007E-14</v>
      </c>
      <c r="O175" s="14">
        <f>N175*VLOOKUP('Données projet'!$B$9,Paramètres!$A$1:$I$89,3,0)*VLOOKUP('Données projet'!$B$9,Paramètres!$A$1:$I$89,5,0)</f>
        <v>-2.7489477361086758E-14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84.959354125980269</v>
      </c>
      <c r="T175" s="62">
        <f t="shared" si="142"/>
        <v>89.658970210276806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0.92051856594441595</v>
      </c>
      <c r="AB175" s="23">
        <f>EXP(-LN(2)/2)*AB174+(1-EXP(-LN(2)/2))/(LN(2)/2)*V175*Y175*VLOOKUP('Données projet'!$B$9,Paramètres!$A$1:$I$89,3,0)*0.475*44/12</f>
        <v>1.4526916108728585E-15</v>
      </c>
      <c r="AC175" s="24">
        <f t="shared" si="163"/>
        <v>0.92051856594441739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-1.1368683772161603E-12</v>
      </c>
      <c r="AJ175" s="14">
        <f>AI175*VLOOKUP('Données projet'!$B$10,Paramètres!$A$1:$I$89,3,0)*VLOOKUP('Données projet'!$B$10,Paramètres!$A$1:$I$89,5,0)</f>
        <v>-1.0818439477588981E-12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592.76231355549089</v>
      </c>
      <c r="AO175" s="62">
        <f t="shared" si="144"/>
        <v>200.66895551079014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113.46018530253136</v>
      </c>
      <c r="AV175" s="23">
        <f>EXP(-LN(2)/25)*AV174+(1-EXP(-LN(2)/25))/(LN(2)/25)*Calculateur!AQ175*Calculateur!AS175*VLOOKUP('Données projet'!$B$10,Paramètres!$A$1:$I$89,3,0)*0.475*44/12</f>
        <v>24.21819182450357</v>
      </c>
      <c r="AW175" s="23">
        <f>EXP(-LN(2)/2)*AW174+(1-EXP(-LN(2)/2))/(LN(2)/2)*AQ175*AT175*VLOOKUP('Données projet'!$B$10,Paramètres!$A$1:$I$89,3,0)*0.475*44/12</f>
        <v>1.7845873153856626E-16</v>
      </c>
      <c r="AX175" s="23">
        <f t="shared" si="166"/>
        <v>137.67837712703493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-2.0572770154103635E-13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316.71836722354374</v>
      </c>
      <c r="BJ175" s="62">
        <f t="shared" si="146"/>
        <v>164.34067012996618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64.273853623386813</v>
      </c>
      <c r="BQ175" s="23">
        <f>EXP(-LN(2)/25)*BQ174+(1-EXP(-LN(2)/25))/(LN(2)/25)*Calculateur!BL175*Calculateur!BN175*VLOOKUP('Données projet'!$B$11,Paramètres!$A$1:$I$89,3,0)*0.475*44/12</f>
        <v>0.94249891744227676</v>
      </c>
      <c r="BR175" s="23">
        <f>EXP(-LN(2)/2)*BR174+(1-EXP(-LN(2)/2))/(LN(2)/2)*BL175*BO175*VLOOKUP('Données projet'!$B$11,Paramètres!$A$1:$I$89,3,0)*0.475*44/12</f>
        <v>1.1529387830853247E-17</v>
      </c>
      <c r="BS175" s="24">
        <f t="shared" si="169"/>
        <v>65.216352540829092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2.8421709430404007E-14</v>
      </c>
      <c r="BZ175" s="14">
        <f>BY175*VLOOKUP('Données projet'!$B$12,Paramètres!$A$1:$I$89,3,0)*VLOOKUP('Données projet'!$B$12,Paramètres!$A$1:$I$89,5,0)</f>
        <v>3.2366642699344085E-14</v>
      </c>
      <c r="CA175" s="14">
        <f t="shared" si="170"/>
        <v>5.5446527398450045E-13</v>
      </c>
      <c r="CB175" s="22">
        <f t="shared" si="171"/>
        <v>1.0220655882243624E-12</v>
      </c>
      <c r="CC175" s="62">
        <f t="shared" si="119"/>
        <v>288.81492944695867</v>
      </c>
      <c r="CD175" s="62">
        <f ca="1">AVERAGE(OFFSET($CC$3,0,0,'Données projet'!$E$12+1,1))-AVERAGE(OFFSET($H$3,0,0,'Données projet'!$E$12+1,1))</f>
        <v>454.9779384236806</v>
      </c>
      <c r="CE175" s="62">
        <f t="shared" si="148"/>
        <v>379.32753348721906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27.496886127913591</v>
      </c>
      <c r="CL175" s="23">
        <f>EXP(-LN(2)/25)*CL174+(1-EXP(-LN(2)/25))/(LN(2)/25)*Calculateur!CG175*Calculateur!CI175*VLOOKUP('Données projet'!$B$12,Paramètres!$A$1:$I$89,3,0)*0.475*44/12</f>
        <v>7.3800972124524584</v>
      </c>
      <c r="CM175" s="23">
        <f>EXP(-LN(2)/2)*CM174+(1-EXP(-LN(2)/2))/(LN(2)/2)*CG175*CJ175*VLOOKUP('Données projet'!$B$12,Paramètres!$A$1:$I$89,3,0)*0.475*44/12</f>
        <v>1.8068017938679475E-12</v>
      </c>
      <c r="CN175" s="24">
        <f t="shared" si="172"/>
        <v>34.876983340367858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252.10592533338991</v>
      </c>
      <c r="CZ175" s="62">
        <f t="shared" si="150"/>
        <v>272.71831345325313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6.6526411873363918</v>
      </c>
      <c r="DH175" s="23">
        <f>EXP(-LN(2)/2)*DH174+(1-EXP(-LN(2)/2))/(LN(2)/2)*DB175*DE175*VLOOKUP('Données projet'!$B$13,Paramètres!$A$1:$I$89,3,0)*0.475*44/12</f>
        <v>2.3467821694952692E-16</v>
      </c>
      <c r="DI175" s="24">
        <f t="shared" si="175"/>
        <v>6.6526411873363918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423.0896575168394</v>
      </c>
      <c r="DU175" s="62">
        <f t="shared" si="152"/>
        <v>305.98537395014284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24.646702078704887</v>
      </c>
      <c r="EB175" s="23">
        <f>EXP(-LN(2)/25)*EB174+(1-EXP(-LN(2)/25))/(LN(2)/25)*Calculateur!DW175*Calculateur!DY175*VLOOKUP('Données projet'!$B$14,Paramètres!$A$1:$I$89,3,0)*0.475*44/12</f>
        <v>13.956308602936778</v>
      </c>
      <c r="EC175" s="23">
        <f>EXP(-LN(2)/2)*EC174+(1-EXP(-LN(2)/2))/(LN(2)/2)*DW175*DZ175*VLOOKUP('Données projet'!$B$14,Paramètres!$A$1:$I$89,3,0)*0.475*44/12</f>
        <v>4.6009379672485224E-17</v>
      </c>
      <c r="ED175" s="24">
        <f t="shared" si="178"/>
        <v>38.603010681641663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2.2737367544323206E-13</v>
      </c>
      <c r="EK175" s="18">
        <f>EJ175*VLOOKUP('Données projet'!$B$15,Paramètres!$A$1:$I$89,3,0)*VLOOKUP('Données projet'!$B$15,Paramètres!$A$1:$I$89,5,0)</f>
        <v>1.3596945791505279E-13</v>
      </c>
      <c r="EL175" s="14">
        <f t="shared" si="179"/>
        <v>1.9708830566360721E-12</v>
      </c>
      <c r="EM175" s="22">
        <f t="shared" si="180"/>
        <v>3.669434796176543E-12</v>
      </c>
      <c r="EN175" s="62">
        <f t="shared" si="128"/>
        <v>288.81492944696134</v>
      </c>
      <c r="EO175" s="62">
        <f ca="1">AVERAGE(OFFSET($EN$3,0,0,'Données projet'!$E$15+1,1))-AVERAGE(OFFSET($H$3,0,0,'Données projet'!$E$15+1,1))</f>
        <v>281.21543175875604</v>
      </c>
      <c r="EP175" s="62">
        <f t="shared" si="154"/>
        <v>366.68536296857428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10.390949031109662</v>
      </c>
      <c r="EW175" s="23">
        <f>EXP(-LN(2)/25)*EW174+(1-EXP(-LN(2)/25))/(LN(2)/25)*Calculateur!ER175*Calculateur!ET175*VLOOKUP('Données projet'!$B$15,Paramètres!$A$1:$I$89,3,0)*0.475*44/12</f>
        <v>1.4486696894256905</v>
      </c>
      <c r="EX175" s="23">
        <f>EXP(-LN(2)/2)*EX174+(1-EXP(-LN(2)/2))/(LN(2)/2)*ER175*EU175*VLOOKUP('Données projet'!$B$15,Paramètres!$A$1:$I$89,3,0)*0.475*44/12</f>
        <v>7.2401065409243691E-17</v>
      </c>
      <c r="EY175" s="24">
        <f t="shared" si="181"/>
        <v>11.839618720535352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2.2737367544323206E-13</v>
      </c>
      <c r="FF175" s="18">
        <f>FE175*VLOOKUP('Données projet'!$B$16,Paramètres!$A$1:$I$89,3,0)*VLOOKUP('Données projet'!$B$16,Paramètres!$A$1:$I$89,5,0)</f>
        <v>1.2710188457276673E-13</v>
      </c>
      <c r="FG175" s="14">
        <f t="shared" si="182"/>
        <v>1.856866851063998E-12</v>
      </c>
      <c r="FH175" s="22">
        <f t="shared" si="183"/>
        <v>3.4554122145673649E-12</v>
      </c>
      <c r="FI175" s="62">
        <f t="shared" si="131"/>
        <v>288.81492944696112</v>
      </c>
      <c r="FJ175" s="62">
        <f ca="1">AVERAGE(OFFSET($FI$3,0,0,'Données projet'!$E$16+1,1))-AVERAGE(OFFSET($H$3,0,0,'Données projet'!$E$16+1,1))</f>
        <v>280.9225643428145</v>
      </c>
      <c r="FK175" s="62">
        <f t="shared" si="156"/>
        <v>236.89414218053955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32.505101319297623</v>
      </c>
      <c r="FR175" s="23">
        <f>EXP(-LN(2)/25)*FR174+(1-EXP(-LN(2)/25))/(LN(2)/25)*Calculateur!FM175*Calculateur!FO175*VLOOKUP('Données projet'!$B$16,Paramètres!$A$1:$I$89,3,0)*0.475*44/12</f>
        <v>4.6365341321512856</v>
      </c>
      <c r="FS175" s="23">
        <f>EXP(-LN(2)/2)*FS174+(1-EXP(-LN(2)/2))/(LN(2)/2)*FM175*FP175*VLOOKUP('Données projet'!$B$16,Paramètres!$A$1:$I$89,3,0)*0.475*44/12</f>
        <v>1.9058565387147984E-18</v>
      </c>
      <c r="FT175" s="24">
        <f t="shared" si="184"/>
        <v>37.141635451448906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-5.6843418860808015E-13</v>
      </c>
      <c r="GA175" s="18">
        <f>FZ175*VLOOKUP('Données projet'!$B$17,Paramètres!$A$1:$I$89,3,0)*VLOOKUP('Données projet'!$B$17,Paramètres!$A$1:$I$89,5,0)</f>
        <v>-2.5124791136477147E-13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325.67421864225201</v>
      </c>
      <c r="GF175" s="62">
        <f t="shared" si="158"/>
        <v>542.01920418736745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21.036978516881035</v>
      </c>
      <c r="GM175" s="23">
        <f>EXP(-LN(2)/25)*GM174+(1-EXP(-LN(2)/25))/(LN(2)/25)*Calculateur!GH175*Calculateur!GJ175*VLOOKUP('Données projet'!$B$17,Paramètres!$A$1:$I$89,3,0)*0.475*44/12</f>
        <v>5.4339706306814293</v>
      </c>
      <c r="GN175" s="23">
        <f>EXP(-LN(2)/2)*GN174+(1-EXP(-LN(2)/2))/(LN(2)/2)*GH175*GK175*VLOOKUP('Données projet'!$B$17,Paramètres!$A$1:$I$89,3,0)*0.475*44/12</f>
        <v>1.9411721443711313E-18</v>
      </c>
      <c r="GO175" s="23">
        <f t="shared" si="187"/>
        <v>26.470949147562465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-2.5579538487363607E-13</v>
      </c>
      <c r="GV175" s="18">
        <f>GU175*VLOOKUP('Données projet'!$B$18,Paramètres!$A$1:$I$89,3,0)*VLOOKUP('Données projet'!$B$18,Paramètres!$A$1:$I$89,5,0)</f>
        <v>-2.5937652026186701E-13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220.89224520315713</v>
      </c>
      <c r="HA175" s="62">
        <f t="shared" si="160"/>
        <v>141.82763623159096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-2.8421709430404007E-14</v>
      </c>
      <c r="O176" s="14">
        <f>N176*VLOOKUP('Données projet'!$B$9,Paramètres!$A$1:$I$89,3,0)*VLOOKUP('Données projet'!$B$9,Paramètres!$A$1:$I$89,5,0)</f>
        <v>-2.7489477361086758E-14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84.959354125980269</v>
      </c>
      <c r="T176" s="62">
        <f t="shared" si="142"/>
        <v>89.658970210276806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0.89534693735069837</v>
      </c>
      <c r="AB176" s="23">
        <f>EXP(-LN(2)/2)*AB175+(1-EXP(-LN(2)/2))/(LN(2)/2)*V176*Y176*VLOOKUP('Données projet'!$B$9,Paramètres!$A$1:$I$89,3,0)*0.475*44/12</f>
        <v>1.0272080890210076E-15</v>
      </c>
      <c r="AC176" s="24">
        <f t="shared" si="163"/>
        <v>0.89534693735069937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-1.1368683772161603E-12</v>
      </c>
      <c r="AJ176" s="14">
        <f>AI176*VLOOKUP('Données projet'!$B$10,Paramètres!$A$1:$I$89,3,0)*VLOOKUP('Données projet'!$B$10,Paramètres!$A$1:$I$89,5,0)</f>
        <v>-1.0818439477588981E-12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592.76231355549089</v>
      </c>
      <c r="AO176" s="62">
        <f t="shared" si="144"/>
        <v>200.66895551079014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111.23530027262844</v>
      </c>
      <c r="AV176" s="23">
        <f>EXP(-LN(2)/25)*AV175+(1-EXP(-LN(2)/25))/(LN(2)/25)*Calculateur!AQ176*Calculateur!AS176*VLOOKUP('Données projet'!$B$10,Paramètres!$A$1:$I$89,3,0)*0.475*44/12</f>
        <v>23.555944095483163</v>
      </c>
      <c r="AW176" s="23">
        <f>EXP(-LN(2)/2)*AW175+(1-EXP(-LN(2)/2))/(LN(2)/2)*AQ176*AT176*VLOOKUP('Données projet'!$B$10,Paramètres!$A$1:$I$89,3,0)*0.475*44/12</f>
        <v>1.261893792328698E-16</v>
      </c>
      <c r="AX176" s="23">
        <f t="shared" si="166"/>
        <v>134.79124436811159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-2.0572770154103635E-13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316.71836722354374</v>
      </c>
      <c r="BJ176" s="62">
        <f t="shared" si="146"/>
        <v>164.34067012996618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63.013482557011919</v>
      </c>
      <c r="BQ176" s="23">
        <f>EXP(-LN(2)/25)*BQ175+(1-EXP(-LN(2)/25))/(LN(2)/25)*Calculateur!BL176*Calculateur!BN176*VLOOKUP('Données projet'!$B$11,Paramètres!$A$1:$I$89,3,0)*0.475*44/12</f>
        <v>0.91672623498095374</v>
      </c>
      <c r="BR176" s="23">
        <f>EXP(-LN(2)/2)*BR175+(1-EXP(-LN(2)/2))/(LN(2)/2)*BL176*BO176*VLOOKUP('Données projet'!$B$11,Paramètres!$A$1:$I$89,3,0)*0.475*44/12</f>
        <v>8.1525083181259906E-18</v>
      </c>
      <c r="BS176" s="24">
        <f t="shared" si="169"/>
        <v>63.930208791992875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2.8421709430404007E-14</v>
      </c>
      <c r="BZ176" s="14">
        <f>BY176*VLOOKUP('Données projet'!$B$12,Paramètres!$A$1:$I$89,3,0)*VLOOKUP('Données projet'!$B$12,Paramètres!$A$1:$I$89,5,0)</f>
        <v>3.2366642699344085E-14</v>
      </c>
      <c r="CA176" s="14">
        <f t="shared" si="170"/>
        <v>5.5446527398450045E-13</v>
      </c>
      <c r="CB176" s="22">
        <f t="shared" si="171"/>
        <v>1.0220655882243624E-12</v>
      </c>
      <c r="CC176" s="62">
        <f t="shared" si="119"/>
        <v>288.8933136527495</v>
      </c>
      <c r="CD176" s="62">
        <f ca="1">AVERAGE(OFFSET($CC$3,0,0,'Données projet'!$E$12+1,1))-AVERAGE(OFFSET($H$3,0,0,'Données projet'!$E$12+1,1))</f>
        <v>454.9779384236806</v>
      </c>
      <c r="CE176" s="62">
        <f t="shared" si="148"/>
        <v>379.32753348721906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26.9576889623897</v>
      </c>
      <c r="CL176" s="23">
        <f>EXP(-LN(2)/25)*CL175+(1-EXP(-LN(2)/25))/(LN(2)/25)*Calculateur!CG176*Calculateur!CI176*VLOOKUP('Données projet'!$B$12,Paramètres!$A$1:$I$89,3,0)*0.475*44/12</f>
        <v>7.1782880660755009</v>
      </c>
      <c r="CM176" s="23">
        <f>EXP(-LN(2)/2)*CM175+(1-EXP(-LN(2)/2))/(LN(2)/2)*CG176*CJ176*VLOOKUP('Données projet'!$B$12,Paramètres!$A$1:$I$89,3,0)*0.475*44/12</f>
        <v>1.2776018007040444E-12</v>
      </c>
      <c r="CN176" s="24">
        <f t="shared" si="172"/>
        <v>34.135977028466478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252.10592533338991</v>
      </c>
      <c r="CZ176" s="62">
        <f t="shared" si="150"/>
        <v>272.71831345325313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6.4707243642214829</v>
      </c>
      <c r="DH176" s="23">
        <f>EXP(-LN(2)/2)*DH175+(1-EXP(-LN(2)/2))/(LN(2)/2)*DB176*DE176*VLOOKUP('Données projet'!$B$13,Paramètres!$A$1:$I$89,3,0)*0.475*44/12</f>
        <v>1.6594255860177826E-16</v>
      </c>
      <c r="DI176" s="24">
        <f t="shared" si="175"/>
        <v>6.4707243642214829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423.0896575168394</v>
      </c>
      <c r="DU176" s="62">
        <f t="shared" si="152"/>
        <v>305.98537395014284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24.163395283945366</v>
      </c>
      <c r="EB176" s="23">
        <f>EXP(-LN(2)/25)*EB175+(1-EXP(-LN(2)/25))/(LN(2)/25)*Calculateur!DW176*Calculateur!DY176*VLOOKUP('Données projet'!$B$14,Paramètres!$A$1:$I$89,3,0)*0.475*44/12</f>
        <v>13.5746726102591</v>
      </c>
      <c r="EC176" s="23">
        <f>EXP(-LN(2)/2)*EC175+(1-EXP(-LN(2)/2))/(LN(2)/2)*DW176*DZ176*VLOOKUP('Données projet'!$B$14,Paramètres!$A$1:$I$89,3,0)*0.475*44/12</f>
        <v>3.2533544364600796E-17</v>
      </c>
      <c r="ED176" s="24">
        <f t="shared" si="178"/>
        <v>37.738067894204463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2.2737367544323206E-13</v>
      </c>
      <c r="EK176" s="18">
        <f>EJ176*VLOOKUP('Données projet'!$B$15,Paramètres!$A$1:$I$89,3,0)*VLOOKUP('Données projet'!$B$15,Paramètres!$A$1:$I$89,5,0)</f>
        <v>1.3596945791505279E-13</v>
      </c>
      <c r="EL176" s="14">
        <f t="shared" si="179"/>
        <v>1.9708830566360721E-12</v>
      </c>
      <c r="EM176" s="22">
        <f t="shared" si="180"/>
        <v>3.669434796176543E-12</v>
      </c>
      <c r="EN176" s="62">
        <f t="shared" si="128"/>
        <v>288.89331365275217</v>
      </c>
      <c r="EO176" s="62">
        <f ca="1">AVERAGE(OFFSET($EN$3,0,0,'Données projet'!$E$15+1,1))-AVERAGE(OFFSET($H$3,0,0,'Données projet'!$E$15+1,1))</f>
        <v>281.21543175875604</v>
      </c>
      <c r="EP176" s="62">
        <f t="shared" si="154"/>
        <v>366.68536296857428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10.187188858462699</v>
      </c>
      <c r="EW176" s="23">
        <f>EXP(-LN(2)/25)*EW175+(1-EXP(-LN(2)/25))/(LN(2)/25)*Calculateur!ER176*Calculateur!ET176*VLOOKUP('Données projet'!$B$15,Paramètres!$A$1:$I$89,3,0)*0.475*44/12</f>
        <v>1.409055740586117</v>
      </c>
      <c r="EX176" s="23">
        <f>EXP(-LN(2)/2)*EX175+(1-EXP(-LN(2)/2))/(LN(2)/2)*ER176*EU176*VLOOKUP('Données projet'!$B$15,Paramètres!$A$1:$I$89,3,0)*0.475*44/12</f>
        <v>5.1195284316006994E-17</v>
      </c>
      <c r="EY176" s="24">
        <f t="shared" si="181"/>
        <v>11.596244599048816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2.2737367544323206E-13</v>
      </c>
      <c r="FF176" s="18">
        <f>FE176*VLOOKUP('Données projet'!$B$16,Paramètres!$A$1:$I$89,3,0)*VLOOKUP('Données projet'!$B$16,Paramètres!$A$1:$I$89,5,0)</f>
        <v>1.2710188457276673E-13</v>
      </c>
      <c r="FG176" s="14">
        <f t="shared" si="182"/>
        <v>1.856866851063998E-12</v>
      </c>
      <c r="FH176" s="22">
        <f t="shared" si="183"/>
        <v>3.4554122145673649E-12</v>
      </c>
      <c r="FI176" s="62">
        <f t="shared" si="131"/>
        <v>288.89331365275194</v>
      </c>
      <c r="FJ176" s="62">
        <f ca="1">AVERAGE(OFFSET($FI$3,0,0,'Données projet'!$E$16+1,1))-AVERAGE(OFFSET($H$3,0,0,'Données projet'!$E$16+1,1))</f>
        <v>280.9225643428145</v>
      </c>
      <c r="FK176" s="62">
        <f t="shared" si="156"/>
        <v>236.89414218053955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31.867696108580333</v>
      </c>
      <c r="FR176" s="23">
        <f>EXP(-LN(2)/25)*FR175+(1-EXP(-LN(2)/25))/(LN(2)/25)*Calculateur!FM176*Calculateur!FO176*VLOOKUP('Données projet'!$B$16,Paramètres!$A$1:$I$89,3,0)*0.475*44/12</f>
        <v>4.5097478624828753</v>
      </c>
      <c r="FS176" s="23">
        <f>EXP(-LN(2)/2)*FS175+(1-EXP(-LN(2)/2))/(LN(2)/2)*FM176*FP176*VLOOKUP('Données projet'!$B$16,Paramètres!$A$1:$I$89,3,0)*0.475*44/12</f>
        <v>1.3476440824939558E-18</v>
      </c>
      <c r="FT176" s="24">
        <f t="shared" si="184"/>
        <v>36.377443971063208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-5.6843418860808015E-13</v>
      </c>
      <c r="GA176" s="18">
        <f>FZ176*VLOOKUP('Données projet'!$B$17,Paramètres!$A$1:$I$89,3,0)*VLOOKUP('Données projet'!$B$17,Paramètres!$A$1:$I$89,5,0)</f>
        <v>-2.5124791136477147E-13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325.67421864225201</v>
      </c>
      <c r="GF176" s="62">
        <f t="shared" si="158"/>
        <v>542.01920418736745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20.624456199454908</v>
      </c>
      <c r="GM176" s="23">
        <f>EXP(-LN(2)/25)*GM175+(1-EXP(-LN(2)/25))/(LN(2)/25)*Calculateur!GH176*Calculateur!GJ176*VLOOKUP('Données projet'!$B$17,Paramètres!$A$1:$I$89,3,0)*0.475*44/12</f>
        <v>5.28537841802535</v>
      </c>
      <c r="GN176" s="23">
        <f>EXP(-LN(2)/2)*GN175+(1-EXP(-LN(2)/2))/(LN(2)/2)*GH176*GK176*VLOOKUP('Données projet'!$B$17,Paramètres!$A$1:$I$89,3,0)*0.475*44/12</f>
        <v>1.3726159867352588E-18</v>
      </c>
      <c r="GO176" s="23">
        <f t="shared" si="187"/>
        <v>25.909834617480257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-2.5579538487363607E-13</v>
      </c>
      <c r="GV176" s="18">
        <f>GU176*VLOOKUP('Données projet'!$B$18,Paramètres!$A$1:$I$89,3,0)*VLOOKUP('Données projet'!$B$18,Paramètres!$A$1:$I$89,5,0)</f>
        <v>-2.5937652026186701E-13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220.89224520315713</v>
      </c>
      <c r="HA176" s="62">
        <f t="shared" si="160"/>
        <v>141.82763623159096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-2.8421709430404007E-14</v>
      </c>
      <c r="O177" s="14">
        <f>N177*VLOOKUP('Données projet'!$B$9,Paramètres!$A$1:$I$89,3,0)*VLOOKUP('Données projet'!$B$9,Paramètres!$A$1:$I$89,5,0)</f>
        <v>-2.7489477361086758E-14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84.959354125980269</v>
      </c>
      <c r="T177" s="62">
        <f t="shared" si="142"/>
        <v>89.658970210276806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0.8708636282645944</v>
      </c>
      <c r="AB177" s="23">
        <f>EXP(-LN(2)/2)*AB176+(1-EXP(-LN(2)/2))/(LN(2)/2)*V177*Y177*VLOOKUP('Données projet'!$B$9,Paramètres!$A$1:$I$89,3,0)*0.475*44/12</f>
        <v>7.2634580543642923E-16</v>
      </c>
      <c r="AC177" s="24">
        <f t="shared" si="163"/>
        <v>0.87086362826459518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-1.1368683772161603E-12</v>
      </c>
      <c r="AJ177" s="14">
        <f>AI177*VLOOKUP('Données projet'!$B$10,Paramètres!$A$1:$I$89,3,0)*VLOOKUP('Données projet'!$B$10,Paramètres!$A$1:$I$89,5,0)</f>
        <v>-1.0818439477588981E-12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592.76231355549089</v>
      </c>
      <c r="AO177" s="62">
        <f t="shared" si="144"/>
        <v>200.66895551079014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109.05404388111604</v>
      </c>
      <c r="AV177" s="23">
        <f>EXP(-LN(2)/25)*AV176+(1-EXP(-LN(2)/25))/(LN(2)/25)*Calculateur!AQ177*Calculateur!AS177*VLOOKUP('Données projet'!$B$10,Paramètres!$A$1:$I$89,3,0)*0.475*44/12</f>
        <v>22.911805565438915</v>
      </c>
      <c r="AW177" s="23">
        <f>EXP(-LN(2)/2)*AW176+(1-EXP(-LN(2)/2))/(LN(2)/2)*AQ177*AT177*VLOOKUP('Données projet'!$B$10,Paramètres!$A$1:$I$89,3,0)*0.475*44/12</f>
        <v>8.9229365769283129E-17</v>
      </c>
      <c r="AX177" s="23">
        <f t="shared" si="166"/>
        <v>131.96584944655496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-2.0572770154103635E-13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316.71836722354374</v>
      </c>
      <c r="BJ177" s="62">
        <f t="shared" si="146"/>
        <v>164.34067012996618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61.777826598498187</v>
      </c>
      <c r="BQ177" s="23">
        <f>EXP(-LN(2)/25)*BQ176+(1-EXP(-LN(2)/25))/(LN(2)/25)*Calculateur!BL177*Calculateur!BN177*VLOOKUP('Données projet'!$B$11,Paramètres!$A$1:$I$89,3,0)*0.475*44/12</f>
        <v>0.89165830787686207</v>
      </c>
      <c r="BR177" s="23">
        <f>EXP(-LN(2)/2)*BR176+(1-EXP(-LN(2)/2))/(LN(2)/2)*BL177*BO177*VLOOKUP('Données projet'!$B$11,Paramètres!$A$1:$I$89,3,0)*0.475*44/12</f>
        <v>5.7646939154266234E-18</v>
      </c>
      <c r="BS177" s="24">
        <f t="shared" si="169"/>
        <v>62.669484906375047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2.8421709430404007E-14</v>
      </c>
      <c r="BZ177" s="14">
        <f>BY177*VLOOKUP('Données projet'!$B$12,Paramètres!$A$1:$I$89,3,0)*VLOOKUP('Données projet'!$B$12,Paramètres!$A$1:$I$89,5,0)</f>
        <v>3.2366642699344085E-14</v>
      </c>
      <c r="CA177" s="14">
        <f t="shared" si="170"/>
        <v>5.5446527398450045E-13</v>
      </c>
      <c r="CB177" s="22">
        <f t="shared" si="171"/>
        <v>1.0220655882243624E-12</v>
      </c>
      <c r="CC177" s="62">
        <f t="shared" si="119"/>
        <v>288.97033806781076</v>
      </c>
      <c r="CD177" s="62">
        <f ca="1">AVERAGE(OFFSET($CC$3,0,0,'Données projet'!$E$12+1,1))-AVERAGE(OFFSET($H$3,0,0,'Données projet'!$E$12+1,1))</f>
        <v>454.9779384236806</v>
      </c>
      <c r="CE177" s="62">
        <f t="shared" si="148"/>
        <v>379.32753348721906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26.429065124403937</v>
      </c>
      <c r="CL177" s="23">
        <f>EXP(-LN(2)/25)*CL176+(1-EXP(-LN(2)/25))/(LN(2)/25)*Calculateur!CG177*Calculateur!CI177*VLOOKUP('Données projet'!$B$12,Paramètres!$A$1:$I$89,3,0)*0.475*44/12</f>
        <v>6.9819974014189032</v>
      </c>
      <c r="CM177" s="23">
        <f>EXP(-LN(2)/2)*CM176+(1-EXP(-LN(2)/2))/(LN(2)/2)*CG177*CJ177*VLOOKUP('Données projet'!$B$12,Paramètres!$A$1:$I$89,3,0)*0.475*44/12</f>
        <v>9.0340089693397386E-13</v>
      </c>
      <c r="CN177" s="24">
        <f t="shared" si="172"/>
        <v>33.411062525823745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252.10592533338991</v>
      </c>
      <c r="CZ177" s="62">
        <f t="shared" si="150"/>
        <v>272.71831345325313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6.2937820662012411</v>
      </c>
      <c r="DH177" s="23">
        <f>EXP(-LN(2)/2)*DH176+(1-EXP(-LN(2)/2))/(LN(2)/2)*DB177*DE177*VLOOKUP('Données projet'!$B$13,Paramètres!$A$1:$I$89,3,0)*0.475*44/12</f>
        <v>1.1733910847476346E-16</v>
      </c>
      <c r="DI177" s="24">
        <f t="shared" si="175"/>
        <v>6.2937820662012411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423.0896575168394</v>
      </c>
      <c r="DU177" s="62">
        <f t="shared" si="152"/>
        <v>305.98537395014284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23.689565840643041</v>
      </c>
      <c r="EB177" s="23">
        <f>EXP(-LN(2)/25)*EB176+(1-EXP(-LN(2)/25))/(LN(2)/25)*Calculateur!DW177*Calculateur!DY177*VLOOKUP('Données projet'!$B$14,Paramètres!$A$1:$I$89,3,0)*0.475*44/12</f>
        <v>13.203472473870557</v>
      </c>
      <c r="EC177" s="23">
        <f>EXP(-LN(2)/2)*EC176+(1-EXP(-LN(2)/2))/(LN(2)/2)*DW177*DZ177*VLOOKUP('Données projet'!$B$14,Paramètres!$A$1:$I$89,3,0)*0.475*44/12</f>
        <v>2.3004689836242612E-17</v>
      </c>
      <c r="ED177" s="24">
        <f t="shared" si="178"/>
        <v>36.893038314513596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2.2737367544323206E-13</v>
      </c>
      <c r="EK177" s="18">
        <f>EJ177*VLOOKUP('Données projet'!$B$15,Paramètres!$A$1:$I$89,3,0)*VLOOKUP('Données projet'!$B$15,Paramètres!$A$1:$I$89,5,0)</f>
        <v>1.3596945791505279E-13</v>
      </c>
      <c r="EL177" s="14">
        <f t="shared" si="179"/>
        <v>1.9708830566360721E-12</v>
      </c>
      <c r="EM177" s="22">
        <f t="shared" si="180"/>
        <v>3.669434796176543E-12</v>
      </c>
      <c r="EN177" s="62">
        <f t="shared" si="128"/>
        <v>288.97033806781343</v>
      </c>
      <c r="EO177" s="62">
        <f ca="1">AVERAGE(OFFSET($EN$3,0,0,'Données projet'!$E$15+1,1))-AVERAGE(OFFSET($H$3,0,0,'Données projet'!$E$15+1,1))</f>
        <v>281.21543175875604</v>
      </c>
      <c r="EP177" s="62">
        <f t="shared" si="154"/>
        <v>366.68536296857428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9.98742429851991</v>
      </c>
      <c r="EW177" s="23">
        <f>EXP(-LN(2)/25)*EW176+(1-EXP(-LN(2)/25))/(LN(2)/25)*Calculateur!ER177*Calculateur!ET177*VLOOKUP('Données projet'!$B$15,Paramètres!$A$1:$I$89,3,0)*0.475*44/12</f>
        <v>1.3705250372607687</v>
      </c>
      <c r="EX177" s="23">
        <f>EXP(-LN(2)/2)*EX176+(1-EXP(-LN(2)/2))/(LN(2)/2)*ER177*EU177*VLOOKUP('Données projet'!$B$15,Paramètres!$A$1:$I$89,3,0)*0.475*44/12</f>
        <v>3.6200532704621846E-17</v>
      </c>
      <c r="EY177" s="24">
        <f t="shared" si="181"/>
        <v>11.357949335780679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2.2737367544323206E-13</v>
      </c>
      <c r="FF177" s="18">
        <f>FE177*VLOOKUP('Données projet'!$B$16,Paramètres!$A$1:$I$89,3,0)*VLOOKUP('Données projet'!$B$16,Paramètres!$A$1:$I$89,5,0)</f>
        <v>1.2710188457276673E-13</v>
      </c>
      <c r="FG177" s="14">
        <f t="shared" si="182"/>
        <v>1.856866851063998E-12</v>
      </c>
      <c r="FH177" s="22">
        <f t="shared" si="183"/>
        <v>3.4554122145673649E-12</v>
      </c>
      <c r="FI177" s="62">
        <f t="shared" si="131"/>
        <v>288.9703380678132</v>
      </c>
      <c r="FJ177" s="62">
        <f ca="1">AVERAGE(OFFSET($FI$3,0,0,'Données projet'!$E$16+1,1))-AVERAGE(OFFSET($H$3,0,0,'Données projet'!$E$16+1,1))</f>
        <v>280.9225643428145</v>
      </c>
      <c r="FK177" s="62">
        <f t="shared" si="156"/>
        <v>236.89414218053955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31.242790025266416</v>
      </c>
      <c r="FR177" s="23">
        <f>EXP(-LN(2)/25)*FR176+(1-EXP(-LN(2)/25))/(LN(2)/25)*Calculateur!FM177*Calculateur!FO177*VLOOKUP('Données projet'!$B$16,Paramètres!$A$1:$I$89,3,0)*0.475*44/12</f>
        <v>4.3864285700259478</v>
      </c>
      <c r="FS177" s="23">
        <f>EXP(-LN(2)/2)*FS176+(1-EXP(-LN(2)/2))/(LN(2)/2)*FM177*FP177*VLOOKUP('Données projet'!$B$16,Paramètres!$A$1:$I$89,3,0)*0.475*44/12</f>
        <v>9.5292826935739922E-19</v>
      </c>
      <c r="FT177" s="24">
        <f t="shared" si="184"/>
        <v>35.629218595292365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-5.6843418860808015E-13</v>
      </c>
      <c r="GA177" s="18">
        <f>FZ177*VLOOKUP('Données projet'!$B$17,Paramètres!$A$1:$I$89,3,0)*VLOOKUP('Données projet'!$B$17,Paramètres!$A$1:$I$89,5,0)</f>
        <v>-2.5124791136477147E-13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325.67421864225201</v>
      </c>
      <c r="GF177" s="62">
        <f t="shared" si="158"/>
        <v>542.01920418736745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20.220023193059738</v>
      </c>
      <c r="GM177" s="23">
        <f>EXP(-LN(2)/25)*GM176+(1-EXP(-LN(2)/25))/(LN(2)/25)*Calculateur!GH177*Calculateur!GJ177*VLOOKUP('Données projet'!$B$17,Paramètres!$A$1:$I$89,3,0)*0.475*44/12</f>
        <v>5.1408494672384757</v>
      </c>
      <c r="GN177" s="23">
        <f>EXP(-LN(2)/2)*GN176+(1-EXP(-LN(2)/2))/(LN(2)/2)*GH177*GK177*VLOOKUP('Données projet'!$B$17,Paramètres!$A$1:$I$89,3,0)*0.475*44/12</f>
        <v>9.7058607218556566E-19</v>
      </c>
      <c r="GO177" s="23">
        <f t="shared" si="187"/>
        <v>25.360872660298213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-2.5579538487363607E-13</v>
      </c>
      <c r="GV177" s="18">
        <f>GU177*VLOOKUP('Données projet'!$B$18,Paramètres!$A$1:$I$89,3,0)*VLOOKUP('Données projet'!$B$18,Paramètres!$A$1:$I$89,5,0)</f>
        <v>-2.5937652026186701E-13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220.89224520315713</v>
      </c>
      <c r="HA177" s="62">
        <f t="shared" si="160"/>
        <v>141.82763623159096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-2.8421709430404007E-14</v>
      </c>
      <c r="O178" s="14">
        <f>N178*VLOOKUP('Données projet'!$B$9,Paramètres!$A$1:$I$89,3,0)*VLOOKUP('Données projet'!$B$9,Paramètres!$A$1:$I$89,5,0)</f>
        <v>-2.7489477361086758E-14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84.959354125980269</v>
      </c>
      <c r="T178" s="62">
        <f t="shared" si="142"/>
        <v>89.658970210276806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0.84704981655297129</v>
      </c>
      <c r="AB178" s="23">
        <f>EXP(-LN(2)/2)*AB177+(1-EXP(-LN(2)/2))/(LN(2)/2)*V178*Y178*VLOOKUP('Données projet'!$B$9,Paramètres!$A$1:$I$89,3,0)*0.475*44/12</f>
        <v>5.1360404451050379E-16</v>
      </c>
      <c r="AC178" s="24">
        <f t="shared" si="163"/>
        <v>0.84704981655297185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-1.1368683772161603E-12</v>
      </c>
      <c r="AJ178" s="14">
        <f>AI178*VLOOKUP('Données projet'!$B$10,Paramètres!$A$1:$I$89,3,0)*VLOOKUP('Données projet'!$B$10,Paramètres!$A$1:$I$89,5,0)</f>
        <v>-1.0818439477588981E-12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592.76231355549089</v>
      </c>
      <c r="AO178" s="62">
        <f t="shared" si="144"/>
        <v>200.66895551079014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106.91556059700618</v>
      </c>
      <c r="AV178" s="23">
        <f>EXP(-LN(2)/25)*AV177+(1-EXP(-LN(2)/25))/(LN(2)/25)*Calculateur!AQ178*Calculateur!AS178*VLOOKUP('Données projet'!$B$10,Paramètres!$A$1:$I$89,3,0)*0.475*44/12</f>
        <v>22.285281037372499</v>
      </c>
      <c r="AW178" s="23">
        <f>EXP(-LN(2)/2)*AW177+(1-EXP(-LN(2)/2))/(LN(2)/2)*AQ178*AT178*VLOOKUP('Données projet'!$B$10,Paramètres!$A$1:$I$89,3,0)*0.475*44/12</f>
        <v>6.3094689616434898E-17</v>
      </c>
      <c r="AX178" s="23">
        <f t="shared" si="166"/>
        <v>129.20084163437866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-2.0572770154103635E-13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316.71836722354374</v>
      </c>
      <c r="BJ178" s="62">
        <f t="shared" si="146"/>
        <v>164.34067012996618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60.566401099655195</v>
      </c>
      <c r="BQ178" s="23">
        <f>EXP(-LN(2)/25)*BQ177+(1-EXP(-LN(2)/25))/(LN(2)/25)*Calculateur!BL178*Calculateur!BN178*VLOOKUP('Données projet'!$B$11,Paramètres!$A$1:$I$89,3,0)*0.475*44/12</f>
        <v>0.86727586455769679</v>
      </c>
      <c r="BR178" s="23">
        <f>EXP(-LN(2)/2)*BR177+(1-EXP(-LN(2)/2))/(LN(2)/2)*BL178*BO178*VLOOKUP('Données projet'!$B$11,Paramètres!$A$1:$I$89,3,0)*0.475*44/12</f>
        <v>4.0762541590629953E-18</v>
      </c>
      <c r="BS178" s="24">
        <f t="shared" si="169"/>
        <v>61.433676964212893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2.8421709430404007E-14</v>
      </c>
      <c r="BZ178" s="14">
        <f>BY178*VLOOKUP('Données projet'!$B$12,Paramètres!$A$1:$I$89,3,0)*VLOOKUP('Données projet'!$B$12,Paramètres!$A$1:$I$89,5,0)</f>
        <v>3.2366642699344085E-14</v>
      </c>
      <c r="CA178" s="14">
        <f t="shared" si="170"/>
        <v>5.5446527398450045E-13</v>
      </c>
      <c r="CB178" s="22">
        <f t="shared" si="171"/>
        <v>1.0220655882243624E-12</v>
      </c>
      <c r="CC178" s="62">
        <f t="shared" si="119"/>
        <v>289.04602628147143</v>
      </c>
      <c r="CD178" s="62">
        <f ca="1">AVERAGE(OFFSET($CC$3,0,0,'Données projet'!$E$12+1,1))-AVERAGE(OFFSET($H$3,0,0,'Données projet'!$E$12+1,1))</f>
        <v>454.9779384236806</v>
      </c>
      <c r="CE178" s="62">
        <f t="shared" si="148"/>
        <v>379.32753348721906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25.910807277452371</v>
      </c>
      <c r="CL178" s="23">
        <f>EXP(-LN(2)/25)*CL177+(1-EXP(-LN(2)/25))/(LN(2)/25)*Calculateur!CG178*Calculateur!CI178*VLOOKUP('Données projet'!$B$12,Paramètres!$A$1:$I$89,3,0)*0.475*44/12</f>
        <v>6.7910743153098174</v>
      </c>
      <c r="CM178" s="23">
        <f>EXP(-LN(2)/2)*CM177+(1-EXP(-LN(2)/2))/(LN(2)/2)*CG178*CJ178*VLOOKUP('Données projet'!$B$12,Paramètres!$A$1:$I$89,3,0)*0.475*44/12</f>
        <v>6.3880090035202228E-13</v>
      </c>
      <c r="CN178" s="24">
        <f t="shared" si="172"/>
        <v>32.701881592762831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252.10592533338991</v>
      </c>
      <c r="CZ178" s="62">
        <f t="shared" si="150"/>
        <v>272.71831345325313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6.1216782646253538</v>
      </c>
      <c r="DH178" s="23">
        <f>EXP(-LN(2)/2)*DH177+(1-EXP(-LN(2)/2))/(LN(2)/2)*DB178*DE178*VLOOKUP('Données projet'!$B$13,Paramètres!$A$1:$I$89,3,0)*0.475*44/12</f>
        <v>8.297127930088913E-17</v>
      </c>
      <c r="DI178" s="24">
        <f t="shared" si="175"/>
        <v>6.1216782646253538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423.0896575168394</v>
      </c>
      <c r="DU178" s="62">
        <f t="shared" si="152"/>
        <v>305.98537395014284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23.225027903716452</v>
      </c>
      <c r="EB178" s="23">
        <f>EXP(-LN(2)/25)*EB177+(1-EXP(-LN(2)/25))/(LN(2)/25)*Calculateur!DW178*Calculateur!DY178*VLOOKUP('Données projet'!$B$14,Paramètres!$A$1:$I$89,3,0)*0.475*44/12</f>
        <v>12.842422824732125</v>
      </c>
      <c r="EC178" s="23">
        <f>EXP(-LN(2)/2)*EC177+(1-EXP(-LN(2)/2))/(LN(2)/2)*DW178*DZ178*VLOOKUP('Données projet'!$B$14,Paramètres!$A$1:$I$89,3,0)*0.475*44/12</f>
        <v>1.6266772182300398E-17</v>
      </c>
      <c r="ED178" s="24">
        <f t="shared" si="178"/>
        <v>36.067450728448577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2.2737367544323206E-13</v>
      </c>
      <c r="EK178" s="18">
        <f>EJ178*VLOOKUP('Données projet'!$B$15,Paramètres!$A$1:$I$89,3,0)*VLOOKUP('Données projet'!$B$15,Paramètres!$A$1:$I$89,5,0)</f>
        <v>1.3596945791505279E-13</v>
      </c>
      <c r="EL178" s="14">
        <f t="shared" si="179"/>
        <v>1.9708830566360721E-12</v>
      </c>
      <c r="EM178" s="22">
        <f t="shared" si="180"/>
        <v>3.669434796176543E-12</v>
      </c>
      <c r="EN178" s="62">
        <f t="shared" si="128"/>
        <v>289.0460262814741</v>
      </c>
      <c r="EO178" s="62">
        <f ca="1">AVERAGE(OFFSET($EN$3,0,0,'Données projet'!$E$15+1,1))-AVERAGE(OFFSET($H$3,0,0,'Données projet'!$E$15+1,1))</f>
        <v>281.21543175875604</v>
      </c>
      <c r="EP178" s="62">
        <f t="shared" si="154"/>
        <v>366.68536296857428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9.7915769997532482</v>
      </c>
      <c r="EW178" s="23">
        <f>EXP(-LN(2)/25)*EW177+(1-EXP(-LN(2)/25))/(LN(2)/25)*Calculateur!ER178*Calculateur!ET178*VLOOKUP('Données projet'!$B$15,Paramètres!$A$1:$I$89,3,0)*0.475*44/12</f>
        <v>1.3330479580440937</v>
      </c>
      <c r="EX178" s="23">
        <f>EXP(-LN(2)/2)*EX177+(1-EXP(-LN(2)/2))/(LN(2)/2)*ER178*EU178*VLOOKUP('Données projet'!$B$15,Paramètres!$A$1:$I$89,3,0)*0.475*44/12</f>
        <v>2.5597642158003497E-17</v>
      </c>
      <c r="EY178" s="24">
        <f t="shared" si="181"/>
        <v>11.124624957797343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2.2737367544323206E-13</v>
      </c>
      <c r="FF178" s="18">
        <f>FE178*VLOOKUP('Données projet'!$B$16,Paramètres!$A$1:$I$89,3,0)*VLOOKUP('Données projet'!$B$16,Paramètres!$A$1:$I$89,5,0)</f>
        <v>1.2710188457276673E-13</v>
      </c>
      <c r="FG178" s="14">
        <f t="shared" si="182"/>
        <v>1.856866851063998E-12</v>
      </c>
      <c r="FH178" s="22">
        <f t="shared" si="183"/>
        <v>3.4554122145673649E-12</v>
      </c>
      <c r="FI178" s="62">
        <f t="shared" si="131"/>
        <v>289.04602628147387</v>
      </c>
      <c r="FJ178" s="62">
        <f ca="1">AVERAGE(OFFSET($FI$3,0,0,'Données projet'!$E$16+1,1))-AVERAGE(OFFSET($H$3,0,0,'Données projet'!$E$16+1,1))</f>
        <v>280.9225643428145</v>
      </c>
      <c r="FK178" s="62">
        <f t="shared" si="156"/>
        <v>236.89414218053955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30.630137969091212</v>
      </c>
      <c r="FR178" s="23">
        <f>EXP(-LN(2)/25)*FR177+(1-EXP(-LN(2)/25))/(LN(2)/25)*Calculateur!FM178*Calculateur!FO178*VLOOKUP('Données projet'!$B$16,Paramètres!$A$1:$I$89,3,0)*0.475*44/12</f>
        <v>4.2664814501063351</v>
      </c>
      <c r="FS178" s="23">
        <f>EXP(-LN(2)/2)*FS177+(1-EXP(-LN(2)/2))/(LN(2)/2)*FM178*FP178*VLOOKUP('Données projet'!$B$16,Paramètres!$A$1:$I$89,3,0)*0.475*44/12</f>
        <v>6.7382204124697792E-19</v>
      </c>
      <c r="FT178" s="24">
        <f t="shared" si="184"/>
        <v>34.896619419197549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-5.6843418860808015E-13</v>
      </c>
      <c r="GA178" s="18">
        <f>FZ178*VLOOKUP('Données projet'!$B$17,Paramètres!$A$1:$I$89,3,0)*VLOOKUP('Données projet'!$B$17,Paramètres!$A$1:$I$89,5,0)</f>
        <v>-2.5124791136477147E-13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325.67421864225201</v>
      </c>
      <c r="GF178" s="62">
        <f t="shared" si="158"/>
        <v>542.01920418736745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19.823520871240202</v>
      </c>
      <c r="GM178" s="23">
        <f>EXP(-LN(2)/25)*GM177+(1-EXP(-LN(2)/25))/(LN(2)/25)*Calculateur!GH178*Calculateur!GJ178*VLOOKUP('Données projet'!$B$17,Paramètres!$A$1:$I$89,3,0)*0.475*44/12</f>
        <v>5.0002726682113154</v>
      </c>
      <c r="GN178" s="23">
        <f>EXP(-LN(2)/2)*GN177+(1-EXP(-LN(2)/2))/(LN(2)/2)*GH178*GK178*VLOOKUP('Données projet'!$B$17,Paramètres!$A$1:$I$89,3,0)*0.475*44/12</f>
        <v>6.8630799336762941E-19</v>
      </c>
      <c r="GO178" s="23">
        <f t="shared" si="187"/>
        <v>24.823793539451518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-2.5579538487363607E-13</v>
      </c>
      <c r="GV178" s="18">
        <f>GU178*VLOOKUP('Données projet'!$B$18,Paramètres!$A$1:$I$89,3,0)*VLOOKUP('Données projet'!$B$18,Paramètres!$A$1:$I$89,5,0)</f>
        <v>-2.5937652026186701E-13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220.89224520315713</v>
      </c>
      <c r="HA178" s="62">
        <f t="shared" si="160"/>
        <v>141.82763623159096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-2.8421709430404007E-14</v>
      </c>
      <c r="O179" s="14">
        <f>N179*VLOOKUP('Données projet'!$B$9,Paramètres!$A$1:$I$89,3,0)*VLOOKUP('Données projet'!$B$9,Paramètres!$A$1:$I$89,5,0)</f>
        <v>-2.7489477361086758E-14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84.959354125980269</v>
      </c>
      <c r="T179" s="62">
        <f t="shared" si="142"/>
        <v>89.658970210276806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0.82388719477491634</v>
      </c>
      <c r="AB179" s="23">
        <f>EXP(-LN(2)/2)*AB178+(1-EXP(-LN(2)/2))/(LN(2)/2)*V179*Y179*VLOOKUP('Données projet'!$B$9,Paramètres!$A$1:$I$89,3,0)*0.475*44/12</f>
        <v>3.6317290271821462E-16</v>
      </c>
      <c r="AC179" s="24">
        <f t="shared" si="163"/>
        <v>0.82388719477491668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-1.1368683772161603E-12</v>
      </c>
      <c r="AJ179" s="14">
        <f>AI179*VLOOKUP('Données projet'!$B$10,Paramètres!$A$1:$I$89,3,0)*VLOOKUP('Données projet'!$B$10,Paramètres!$A$1:$I$89,5,0)</f>
        <v>-1.0818439477588981E-12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592.76231355549089</v>
      </c>
      <c r="AO179" s="62">
        <f t="shared" si="144"/>
        <v>200.66895551079014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104.81901166575169</v>
      </c>
      <c r="AV179" s="23">
        <f>EXP(-LN(2)/25)*AV178+(1-EXP(-LN(2)/25))/(LN(2)/25)*Calculateur!AQ179*Calculateur!AS179*VLOOKUP('Données projet'!$B$10,Paramètres!$A$1:$I$89,3,0)*0.475*44/12</f>
        <v>21.675888855473552</v>
      </c>
      <c r="AW179" s="23">
        <f>EXP(-LN(2)/2)*AW178+(1-EXP(-LN(2)/2))/(LN(2)/2)*AQ179*AT179*VLOOKUP('Données projet'!$B$10,Paramètres!$A$1:$I$89,3,0)*0.475*44/12</f>
        <v>4.4614682884641564E-17</v>
      </c>
      <c r="AX179" s="23">
        <f t="shared" si="166"/>
        <v>126.49490052122525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-2.0572770154103635E-13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316.71836722354374</v>
      </c>
      <c r="BJ179" s="62">
        <f t="shared" si="146"/>
        <v>164.34067012996618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59.378730915947919</v>
      </c>
      <c r="BQ179" s="23">
        <f>EXP(-LN(2)/25)*BQ178+(1-EXP(-LN(2)/25))/(LN(2)/25)*Calculateur!BL179*Calculateur!BN179*VLOOKUP('Données projet'!$B$11,Paramètres!$A$1:$I$89,3,0)*0.475*44/12</f>
        <v>0.84356016043331106</v>
      </c>
      <c r="BR179" s="23">
        <f>EXP(-LN(2)/2)*BR178+(1-EXP(-LN(2)/2))/(LN(2)/2)*BL179*BO179*VLOOKUP('Données projet'!$B$11,Paramètres!$A$1:$I$89,3,0)*0.475*44/12</f>
        <v>2.8823469577133117E-18</v>
      </c>
      <c r="BS179" s="24">
        <f t="shared" si="169"/>
        <v>60.222291076381232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2.8421709430404007E-14</v>
      </c>
      <c r="BZ179" s="14">
        <f>BY179*VLOOKUP('Données projet'!$B$12,Paramètres!$A$1:$I$89,3,0)*VLOOKUP('Données projet'!$B$12,Paramètres!$A$1:$I$89,5,0)</f>
        <v>3.2366642699344085E-14</v>
      </c>
      <c r="CA179" s="14">
        <f t="shared" si="170"/>
        <v>5.5446527398450045E-13</v>
      </c>
      <c r="CB179" s="22">
        <f t="shared" si="171"/>
        <v>1.0220655882243624E-12</v>
      </c>
      <c r="CC179" s="62">
        <f t="shared" si="119"/>
        <v>289.12040147383863</v>
      </c>
      <c r="CD179" s="62">
        <f ca="1">AVERAGE(OFFSET($CC$3,0,0,'Données projet'!$E$12+1,1))-AVERAGE(OFFSET($H$3,0,0,'Données projet'!$E$12+1,1))</f>
        <v>454.9779384236806</v>
      </c>
      <c r="CE179" s="62">
        <f t="shared" si="148"/>
        <v>379.32753348721906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25.40271215077345</v>
      </c>
      <c r="CL179" s="23">
        <f>EXP(-LN(2)/25)*CL178+(1-EXP(-LN(2)/25))/(LN(2)/25)*Calculateur!CG179*Calculateur!CI179*VLOOKUP('Données projet'!$B$12,Paramètres!$A$1:$I$89,3,0)*0.475*44/12</f>
        <v>6.6053720310305932</v>
      </c>
      <c r="CM179" s="23">
        <f>EXP(-LN(2)/2)*CM178+(1-EXP(-LN(2)/2))/(LN(2)/2)*CG179*CJ179*VLOOKUP('Données projet'!$B$12,Paramètres!$A$1:$I$89,3,0)*0.475*44/12</f>
        <v>4.5170044846698698E-13</v>
      </c>
      <c r="CN179" s="24">
        <f t="shared" si="172"/>
        <v>32.008084181804499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252.10592533338991</v>
      </c>
      <c r="CZ179" s="62">
        <f t="shared" si="150"/>
        <v>272.71831345325313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5.9542806505541046</v>
      </c>
      <c r="DH179" s="23">
        <f>EXP(-LN(2)/2)*DH178+(1-EXP(-LN(2)/2))/(LN(2)/2)*DB179*DE179*VLOOKUP('Données projet'!$B$13,Paramètres!$A$1:$I$89,3,0)*0.475*44/12</f>
        <v>5.866955423738173E-17</v>
      </c>
      <c r="DI179" s="24">
        <f t="shared" si="175"/>
        <v>5.9542806505541046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423.0896575168394</v>
      </c>
      <c r="DU179" s="62">
        <f t="shared" si="152"/>
        <v>305.98537395014284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22.769599272392831</v>
      </c>
      <c r="EB179" s="23">
        <f>EXP(-LN(2)/25)*EB178+(1-EXP(-LN(2)/25))/(LN(2)/25)*Calculateur!DW179*Calculateur!DY179*VLOOKUP('Données projet'!$B$14,Paramètres!$A$1:$I$89,3,0)*0.475*44/12</f>
        <v>12.491246097236161</v>
      </c>
      <c r="EC179" s="23">
        <f>EXP(-LN(2)/2)*EC178+(1-EXP(-LN(2)/2))/(LN(2)/2)*DW179*DZ179*VLOOKUP('Données projet'!$B$14,Paramètres!$A$1:$I$89,3,0)*0.475*44/12</f>
        <v>1.1502344918121306E-17</v>
      </c>
      <c r="ED179" s="24">
        <f t="shared" si="178"/>
        <v>35.260845369628996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2.2737367544323206E-13</v>
      </c>
      <c r="EK179" s="18">
        <f>EJ179*VLOOKUP('Données projet'!$B$15,Paramètres!$A$1:$I$89,3,0)*VLOOKUP('Données projet'!$B$15,Paramètres!$A$1:$I$89,5,0)</f>
        <v>1.3596945791505279E-13</v>
      </c>
      <c r="EL179" s="14">
        <f t="shared" si="179"/>
        <v>1.9708830566360721E-12</v>
      </c>
      <c r="EM179" s="22">
        <f t="shared" si="180"/>
        <v>3.669434796176543E-12</v>
      </c>
      <c r="EN179" s="62">
        <f t="shared" si="128"/>
        <v>289.1204014738413</v>
      </c>
      <c r="EO179" s="62">
        <f ca="1">AVERAGE(OFFSET($EN$3,0,0,'Données projet'!$E$15+1,1))-AVERAGE(OFFSET($H$3,0,0,'Données projet'!$E$15+1,1))</f>
        <v>281.21543175875604</v>
      </c>
      <c r="EP179" s="62">
        <f t="shared" si="154"/>
        <v>366.68536296857428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9.5995701470603443</v>
      </c>
      <c r="EW179" s="23">
        <f>EXP(-LN(2)/25)*EW178+(1-EXP(-LN(2)/25))/(LN(2)/25)*Calculateur!ER179*Calculateur!ET179*VLOOKUP('Données projet'!$B$15,Paramètres!$A$1:$I$89,3,0)*0.475*44/12</f>
        <v>1.2965956915294325</v>
      </c>
      <c r="EX179" s="23">
        <f>EXP(-LN(2)/2)*EX178+(1-EXP(-LN(2)/2))/(LN(2)/2)*ER179*EU179*VLOOKUP('Données projet'!$B$15,Paramètres!$A$1:$I$89,3,0)*0.475*44/12</f>
        <v>1.8100266352310923E-17</v>
      </c>
      <c r="EY179" s="24">
        <f t="shared" si="181"/>
        <v>10.896165838589777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2.2737367544323206E-13</v>
      </c>
      <c r="FF179" s="18">
        <f>FE179*VLOOKUP('Données projet'!$B$16,Paramètres!$A$1:$I$89,3,0)*VLOOKUP('Données projet'!$B$16,Paramètres!$A$1:$I$89,5,0)</f>
        <v>1.2710188457276673E-13</v>
      </c>
      <c r="FG179" s="14">
        <f t="shared" si="182"/>
        <v>1.856866851063998E-12</v>
      </c>
      <c r="FH179" s="22">
        <f t="shared" si="183"/>
        <v>3.4554122145673649E-12</v>
      </c>
      <c r="FI179" s="62">
        <f t="shared" si="131"/>
        <v>289.12040147384107</v>
      </c>
      <c r="FJ179" s="62">
        <f ca="1">AVERAGE(OFFSET($FI$3,0,0,'Données projet'!$E$16+1,1))-AVERAGE(OFFSET($H$3,0,0,'Données projet'!$E$16+1,1))</f>
        <v>280.9225643428145</v>
      </c>
      <c r="FK179" s="62">
        <f t="shared" si="156"/>
        <v>236.89414218053955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30.029499646056745</v>
      </c>
      <c r="FR179" s="23">
        <f>EXP(-LN(2)/25)*FR178+(1-EXP(-LN(2)/25))/(LN(2)/25)*Calculateur!FM179*Calculateur!FO179*VLOOKUP('Données projet'!$B$16,Paramètres!$A$1:$I$89,3,0)*0.475*44/12</f>
        <v>4.1498142904886688</v>
      </c>
      <c r="FS179" s="23">
        <f>EXP(-LN(2)/2)*FS178+(1-EXP(-LN(2)/2))/(LN(2)/2)*FM179*FP179*VLOOKUP('Données projet'!$B$16,Paramètres!$A$1:$I$89,3,0)*0.475*44/12</f>
        <v>4.7646413467869961E-19</v>
      </c>
      <c r="FT179" s="24">
        <f t="shared" si="184"/>
        <v>34.179313936545412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-5.6843418860808015E-13</v>
      </c>
      <c r="GA179" s="18">
        <f>FZ179*VLOOKUP('Données projet'!$B$17,Paramètres!$A$1:$I$89,3,0)*VLOOKUP('Données projet'!$B$17,Paramètres!$A$1:$I$89,5,0)</f>
        <v>-2.5124791136477147E-13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325.67421864225201</v>
      </c>
      <c r="GF179" s="62">
        <f t="shared" si="158"/>
        <v>542.01920418736745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19.43479371810901</v>
      </c>
      <c r="GM179" s="23">
        <f>EXP(-LN(2)/25)*GM178+(1-EXP(-LN(2)/25))/(LN(2)/25)*Calculateur!GH179*Calculateur!GJ179*VLOOKUP('Données projet'!$B$17,Paramètres!$A$1:$I$89,3,0)*0.475*44/12</f>
        <v>4.8635399491461655</v>
      </c>
      <c r="GN179" s="23">
        <f>EXP(-LN(2)/2)*GN178+(1-EXP(-LN(2)/2))/(LN(2)/2)*GH179*GK179*VLOOKUP('Données projet'!$B$17,Paramètres!$A$1:$I$89,3,0)*0.475*44/12</f>
        <v>4.8529303609278283E-19</v>
      </c>
      <c r="GO179" s="23">
        <f t="shared" si="187"/>
        <v>24.298333667255175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-2.5579538487363607E-13</v>
      </c>
      <c r="GV179" s="18">
        <f>GU179*VLOOKUP('Données projet'!$B$18,Paramètres!$A$1:$I$89,3,0)*VLOOKUP('Données projet'!$B$18,Paramètres!$A$1:$I$89,5,0)</f>
        <v>-2.5937652026186701E-13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220.89224520315713</v>
      </c>
      <c r="HA179" s="62">
        <f t="shared" si="160"/>
        <v>141.82763623159096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-2.8421709430404007E-14</v>
      </c>
      <c r="O180" s="14">
        <f>N180*VLOOKUP('Données projet'!$B$9,Paramètres!$A$1:$I$89,3,0)*VLOOKUP('Données projet'!$B$9,Paramètres!$A$1:$I$89,5,0)</f>
        <v>-2.7489477361086758E-14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84.959354125980269</v>
      </c>
      <c r="T180" s="62">
        <f t="shared" si="142"/>
        <v>89.658970210276806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0.80135795610745175</v>
      </c>
      <c r="AB180" s="23">
        <f>EXP(-LN(2)/2)*AB179+(1-EXP(-LN(2)/2))/(LN(2)/2)*V180*Y180*VLOOKUP('Données projet'!$B$9,Paramètres!$A$1:$I$89,3,0)*0.475*44/12</f>
        <v>2.5680202225525189E-16</v>
      </c>
      <c r="AC180" s="24">
        <f t="shared" si="163"/>
        <v>0.80135795610745197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-1.1368683772161603E-12</v>
      </c>
      <c r="AJ180" s="14">
        <f>AI180*VLOOKUP('Données projet'!$B$10,Paramètres!$A$1:$I$89,3,0)*VLOOKUP('Données projet'!$B$10,Paramètres!$A$1:$I$89,5,0)</f>
        <v>-1.0818439477588981E-12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592.76231355549089</v>
      </c>
      <c r="AO180" s="62">
        <f t="shared" si="144"/>
        <v>200.66895551079014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102.76357478027053</v>
      </c>
      <c r="AV180" s="23">
        <f>EXP(-LN(2)/25)*AV179+(1-EXP(-LN(2)/25))/(LN(2)/25)*Calculateur!AQ180*Calculateur!AS180*VLOOKUP('Données projet'!$B$10,Paramètres!$A$1:$I$89,3,0)*0.475*44/12</f>
        <v>21.083160534835173</v>
      </c>
      <c r="AW180" s="23">
        <f>EXP(-LN(2)/2)*AW179+(1-EXP(-LN(2)/2))/(LN(2)/2)*AQ180*AT180*VLOOKUP('Données projet'!$B$10,Paramètres!$A$1:$I$89,3,0)*0.475*44/12</f>
        <v>3.1547344808217449E-17</v>
      </c>
      <c r="AX180" s="23">
        <f t="shared" si="166"/>
        <v>123.8467353151057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-2.0572770154103635E-13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316.71836722354374</v>
      </c>
      <c r="BJ180" s="62">
        <f t="shared" si="146"/>
        <v>164.34067012996618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58.214350220135863</v>
      </c>
      <c r="BQ180" s="23">
        <f>EXP(-LN(2)/25)*BQ179+(1-EXP(-LN(2)/25))/(LN(2)/25)*Calculateur!BL180*Calculateur!BN180*VLOOKUP('Données projet'!$B$11,Paramètres!$A$1:$I$89,3,0)*0.475*44/12</f>
        <v>0.82049296348536127</v>
      </c>
      <c r="BR180" s="23">
        <f>EXP(-LN(2)/2)*BR179+(1-EXP(-LN(2)/2))/(LN(2)/2)*BL180*BO180*VLOOKUP('Données projet'!$B$11,Paramètres!$A$1:$I$89,3,0)*0.475*44/12</f>
        <v>2.0381270795314976E-18</v>
      </c>
      <c r="BS180" s="24">
        <f t="shared" si="169"/>
        <v>59.034843183621227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2.8421709430404007E-14</v>
      </c>
      <c r="BZ180" s="14">
        <f>BY180*VLOOKUP('Données projet'!$B$12,Paramètres!$A$1:$I$89,3,0)*VLOOKUP('Données projet'!$B$12,Paramètres!$A$1:$I$89,5,0)</f>
        <v>3.2366642699344085E-14</v>
      </c>
      <c r="CA180" s="14">
        <f t="shared" si="170"/>
        <v>5.5446527398450045E-13</v>
      </c>
      <c r="CB180" s="22">
        <f t="shared" si="171"/>
        <v>1.0220655882243624E-12</v>
      </c>
      <c r="CC180" s="62">
        <f t="shared" si="119"/>
        <v>289.19348642289629</v>
      </c>
      <c r="CD180" s="62">
        <f ca="1">AVERAGE(OFFSET($CC$3,0,0,'Données projet'!$E$12+1,1))-AVERAGE(OFFSET($H$3,0,0,'Données projet'!$E$12+1,1))</f>
        <v>454.9779384236806</v>
      </c>
      <c r="CE180" s="62">
        <f t="shared" si="148"/>
        <v>379.32753348721906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24.904580459621275</v>
      </c>
      <c r="CL180" s="23">
        <f>EXP(-LN(2)/25)*CL179+(1-EXP(-LN(2)/25))/(LN(2)/25)*Calculateur!CG180*Calculateur!CI180*VLOOKUP('Données projet'!$B$12,Paramètres!$A$1:$I$89,3,0)*0.475*44/12</f>
        <v>6.4247477854806432</v>
      </c>
      <c r="CM180" s="23">
        <f>EXP(-LN(2)/2)*CM179+(1-EXP(-LN(2)/2))/(LN(2)/2)*CG180*CJ180*VLOOKUP('Données projet'!$B$12,Paramètres!$A$1:$I$89,3,0)*0.475*44/12</f>
        <v>3.1940045017601119E-13</v>
      </c>
      <c r="CN180" s="24">
        <f t="shared" si="172"/>
        <v>31.329328245102239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252.10592533338991</v>
      </c>
      <c r="CZ180" s="62">
        <f t="shared" si="150"/>
        <v>272.71831345325313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5.7914605330426916</v>
      </c>
      <c r="DH180" s="23">
        <f>EXP(-LN(2)/2)*DH179+(1-EXP(-LN(2)/2))/(LN(2)/2)*DB180*DE180*VLOOKUP('Données projet'!$B$13,Paramètres!$A$1:$I$89,3,0)*0.475*44/12</f>
        <v>4.1485639650444565E-17</v>
      </c>
      <c r="DI180" s="24">
        <f t="shared" si="175"/>
        <v>5.7914605330426916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423.0896575168394</v>
      </c>
      <c r="DU180" s="62">
        <f t="shared" si="152"/>
        <v>305.98537395014284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22.323101318745429</v>
      </c>
      <c r="EB180" s="23">
        <f>EXP(-LN(2)/25)*EB179+(1-EXP(-LN(2)/25))/(LN(2)/25)*Calculateur!DW180*Calculateur!DY180*VLOOKUP('Données projet'!$B$14,Paramètres!$A$1:$I$89,3,0)*0.475*44/12</f>
        <v>12.149672315821155</v>
      </c>
      <c r="EC180" s="23">
        <f>EXP(-LN(2)/2)*EC179+(1-EXP(-LN(2)/2))/(LN(2)/2)*DW180*DZ180*VLOOKUP('Données projet'!$B$14,Paramètres!$A$1:$I$89,3,0)*0.475*44/12</f>
        <v>8.1333860911501991E-18</v>
      </c>
      <c r="ED180" s="24">
        <f t="shared" si="178"/>
        <v>34.472773634566586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2.2737367544323206E-13</v>
      </c>
      <c r="EK180" s="18">
        <f>EJ180*VLOOKUP('Données projet'!$B$15,Paramètres!$A$1:$I$89,3,0)*VLOOKUP('Données projet'!$B$15,Paramètres!$A$1:$I$89,5,0)</f>
        <v>1.3596945791505279E-13</v>
      </c>
      <c r="EL180" s="14">
        <f t="shared" si="179"/>
        <v>1.9708830566360721E-12</v>
      </c>
      <c r="EM180" s="22">
        <f t="shared" si="180"/>
        <v>3.669434796176543E-12</v>
      </c>
      <c r="EN180" s="62">
        <f t="shared" si="128"/>
        <v>289.19348642289896</v>
      </c>
      <c r="EO180" s="62">
        <f ca="1">AVERAGE(OFFSET($EN$3,0,0,'Données projet'!$E$15+1,1))-AVERAGE(OFFSET($H$3,0,0,'Données projet'!$E$15+1,1))</f>
        <v>281.21543175875604</v>
      </c>
      <c r="EP180" s="62">
        <f t="shared" si="154"/>
        <v>366.68536296857428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9.4113284316361323</v>
      </c>
      <c r="EW180" s="23">
        <f>EXP(-LN(2)/25)*EW179+(1-EXP(-LN(2)/25))/(LN(2)/25)*Calculateur!ER180*Calculateur!ET180*VLOOKUP('Données projet'!$B$15,Paramètres!$A$1:$I$89,3,0)*0.475*44/12</f>
        <v>1.2611402141595562</v>
      </c>
      <c r="EX180" s="23">
        <f>EXP(-LN(2)/2)*EX179+(1-EXP(-LN(2)/2))/(LN(2)/2)*ER180*EU180*VLOOKUP('Données projet'!$B$15,Paramètres!$A$1:$I$89,3,0)*0.475*44/12</f>
        <v>1.2798821079001749E-17</v>
      </c>
      <c r="EY180" s="24">
        <f t="shared" si="181"/>
        <v>10.672468645795689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2.2737367544323206E-13</v>
      </c>
      <c r="FF180" s="18">
        <f>FE180*VLOOKUP('Données projet'!$B$16,Paramètres!$A$1:$I$89,3,0)*VLOOKUP('Données projet'!$B$16,Paramètres!$A$1:$I$89,5,0)</f>
        <v>1.2710188457276673E-13</v>
      </c>
      <c r="FG180" s="14">
        <f t="shared" si="182"/>
        <v>1.856866851063998E-12</v>
      </c>
      <c r="FH180" s="22">
        <f t="shared" si="183"/>
        <v>3.4554122145673649E-12</v>
      </c>
      <c r="FI180" s="62">
        <f t="shared" si="131"/>
        <v>289.19348642289873</v>
      </c>
      <c r="FJ180" s="62">
        <f ca="1">AVERAGE(OFFSET($FI$3,0,0,'Données projet'!$E$16+1,1))-AVERAGE(OFFSET($H$3,0,0,'Données projet'!$E$16+1,1))</f>
        <v>280.9225643428145</v>
      </c>
      <c r="FK180" s="62">
        <f t="shared" si="156"/>
        <v>236.89414218053955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29.440639474183783</v>
      </c>
      <c r="FR180" s="23">
        <f>EXP(-LN(2)/25)*FR179+(1-EXP(-LN(2)/25))/(LN(2)/25)*Calculateur!FM180*Calculateur!FO180*VLOOKUP('Données projet'!$B$16,Paramètres!$A$1:$I$89,3,0)*0.475*44/12</f>
        <v>4.0363374004860075</v>
      </c>
      <c r="FS180" s="23">
        <f>EXP(-LN(2)/2)*FS179+(1-EXP(-LN(2)/2))/(LN(2)/2)*FM180*FP180*VLOOKUP('Données projet'!$B$16,Paramètres!$A$1:$I$89,3,0)*0.475*44/12</f>
        <v>3.3691102062348896E-19</v>
      </c>
      <c r="FT180" s="24">
        <f t="shared" si="184"/>
        <v>33.476976874669788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-5.6843418860808015E-13</v>
      </c>
      <c r="GA180" s="18">
        <f>FZ180*VLOOKUP('Données projet'!$B$17,Paramètres!$A$1:$I$89,3,0)*VLOOKUP('Données projet'!$B$17,Paramètres!$A$1:$I$89,5,0)</f>
        <v>-2.5124791136477147E-13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325.67421864225201</v>
      </c>
      <c r="GF180" s="62">
        <f t="shared" si="158"/>
        <v>542.01920418736745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19.05368926735057</v>
      </c>
      <c r="GM180" s="23">
        <f>EXP(-LN(2)/25)*GM179+(1-EXP(-LN(2)/25))/(LN(2)/25)*Calculateur!GH180*Calculateur!GJ180*VLOOKUP('Données projet'!$B$17,Paramètres!$A$1:$I$89,3,0)*0.475*44/12</f>
        <v>4.7305461934743134</v>
      </c>
      <c r="GN180" s="23">
        <f>EXP(-LN(2)/2)*GN179+(1-EXP(-LN(2)/2))/(LN(2)/2)*GH180*GK180*VLOOKUP('Données projet'!$B$17,Paramètres!$A$1:$I$89,3,0)*0.475*44/12</f>
        <v>3.431539966838147E-19</v>
      </c>
      <c r="GO180" s="23">
        <f t="shared" si="187"/>
        <v>23.784235460824885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-2.5579538487363607E-13</v>
      </c>
      <c r="GV180" s="18">
        <f>GU180*VLOOKUP('Données projet'!$B$18,Paramètres!$A$1:$I$89,3,0)*VLOOKUP('Données projet'!$B$18,Paramètres!$A$1:$I$89,5,0)</f>
        <v>-2.5937652026186701E-13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220.89224520315713</v>
      </c>
      <c r="HA180" s="62">
        <f t="shared" si="160"/>
        <v>141.82763623159096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-2.8421709430404007E-14</v>
      </c>
      <c r="O181" s="14">
        <f>N181*VLOOKUP('Données projet'!$B$9,Paramètres!$A$1:$I$89,3,0)*VLOOKUP('Données projet'!$B$9,Paramètres!$A$1:$I$89,5,0)</f>
        <v>-2.7489477361086758E-14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84.959354125980269</v>
      </c>
      <c r="T181" s="62">
        <f t="shared" si="142"/>
        <v>89.658970210276806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0.77944478065611011</v>
      </c>
      <c r="AB181" s="23">
        <f>EXP(-LN(2)/2)*AB180+(1-EXP(-LN(2)/2))/(LN(2)/2)*V181*Y181*VLOOKUP('Données projet'!$B$9,Paramètres!$A$1:$I$89,3,0)*0.475*44/12</f>
        <v>1.8158645135910731E-16</v>
      </c>
      <c r="AC181" s="24">
        <f t="shared" si="163"/>
        <v>0.77944478065611034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-1.1368683772161603E-12</v>
      </c>
      <c r="AJ181" s="14">
        <f>AI181*VLOOKUP('Données projet'!$B$10,Paramètres!$A$1:$I$89,3,0)*VLOOKUP('Données projet'!$B$10,Paramètres!$A$1:$I$89,5,0)</f>
        <v>-1.0818439477588981E-12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592.76231355549089</v>
      </c>
      <c r="AO181" s="62">
        <f t="shared" si="144"/>
        <v>200.66895551079014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100.74844375842095</v>
      </c>
      <c r="AV181" s="23">
        <f>EXP(-LN(2)/25)*AV180+(1-EXP(-LN(2)/25))/(LN(2)/25)*Calculateur!AQ181*Calculateur!AS181*VLOOKUP('Données projet'!$B$10,Paramètres!$A$1:$I$89,3,0)*0.475*44/12</f>
        <v>20.506640401294877</v>
      </c>
      <c r="AW181" s="23">
        <f>EXP(-LN(2)/2)*AW180+(1-EXP(-LN(2)/2))/(LN(2)/2)*AQ181*AT181*VLOOKUP('Données projet'!$B$10,Paramètres!$A$1:$I$89,3,0)*0.475*44/12</f>
        <v>2.2307341442320782E-17</v>
      </c>
      <c r="AX181" s="23">
        <f t="shared" si="166"/>
        <v>121.25508415971582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-2.0572770154103635E-13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316.71836722354374</v>
      </c>
      <c r="BJ181" s="62">
        <f t="shared" si="146"/>
        <v>164.34067012996618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57.072802319566584</v>
      </c>
      <c r="BQ181" s="23">
        <f>EXP(-LN(2)/25)*BQ180+(1-EXP(-LN(2)/25))/(LN(2)/25)*Calculateur!BL181*Calculateur!BN181*VLOOKUP('Données projet'!$B$11,Paramètres!$A$1:$I$89,3,0)*0.475*44/12</f>
        <v>0.79805654025100436</v>
      </c>
      <c r="BR181" s="23">
        <f>EXP(-LN(2)/2)*BR180+(1-EXP(-LN(2)/2))/(LN(2)/2)*BL181*BO181*VLOOKUP('Données projet'!$B$11,Paramètres!$A$1:$I$89,3,0)*0.475*44/12</f>
        <v>1.4411734788566559E-18</v>
      </c>
      <c r="BS181" s="24">
        <f t="shared" si="169"/>
        <v>57.870858859817588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2.8421709430404007E-14</v>
      </c>
      <c r="BZ181" s="14">
        <f>BY181*VLOOKUP('Données projet'!$B$12,Paramètres!$A$1:$I$89,3,0)*VLOOKUP('Données projet'!$B$12,Paramètres!$A$1:$I$89,5,0)</f>
        <v>3.2366642699344085E-14</v>
      </c>
      <c r="CA181" s="14">
        <f t="shared" si="170"/>
        <v>5.5446527398450045E-13</v>
      </c>
      <c r="CB181" s="22">
        <f t="shared" si="171"/>
        <v>1.0220655882243624E-12</v>
      </c>
      <c r="CC181" s="62">
        <f t="shared" si="119"/>
        <v>289.26530351148119</v>
      </c>
      <c r="CD181" s="62">
        <f ca="1">AVERAGE(OFFSET($CC$3,0,0,'Données projet'!$E$12+1,1))-AVERAGE(OFFSET($H$3,0,0,'Données projet'!$E$12+1,1))</f>
        <v>454.9779384236806</v>
      </c>
      <c r="CE181" s="62">
        <f t="shared" si="148"/>
        <v>379.32753348721906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24.416216827102264</v>
      </c>
      <c r="CL181" s="23">
        <f>EXP(-LN(2)/25)*CL180+(1-EXP(-LN(2)/25))/(LN(2)/25)*Calculateur!CG181*Calculateur!CI181*VLOOKUP('Données projet'!$B$12,Paramètres!$A$1:$I$89,3,0)*0.475*44/12</f>
        <v>6.2490627194238728</v>
      </c>
      <c r="CM181" s="23">
        <f>EXP(-LN(2)/2)*CM180+(1-EXP(-LN(2)/2))/(LN(2)/2)*CG181*CJ181*VLOOKUP('Données projet'!$B$12,Paramètres!$A$1:$I$89,3,0)*0.475*44/12</f>
        <v>2.2585022423349354E-13</v>
      </c>
      <c r="CN181" s="24">
        <f t="shared" si="172"/>
        <v>30.665279546526364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252.10592533338991</v>
      </c>
      <c r="CZ181" s="62">
        <f t="shared" si="150"/>
        <v>272.71831345325313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5.6330927402069664</v>
      </c>
      <c r="DH181" s="23">
        <f>EXP(-LN(2)/2)*DH180+(1-EXP(-LN(2)/2))/(LN(2)/2)*DB181*DE181*VLOOKUP('Données projet'!$B$13,Paramètres!$A$1:$I$89,3,0)*0.475*44/12</f>
        <v>2.9334777118690865E-17</v>
      </c>
      <c r="DI181" s="24">
        <f t="shared" si="175"/>
        <v>5.6330927402069664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423.0896575168394</v>
      </c>
      <c r="DU181" s="62">
        <f t="shared" si="152"/>
        <v>305.98537395014284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21.885358917632193</v>
      </c>
      <c r="EB181" s="23">
        <f>EXP(-LN(2)/25)*EB180+(1-EXP(-LN(2)/25))/(LN(2)/25)*Calculateur!DW181*Calculateur!DY181*VLOOKUP('Données projet'!$B$14,Paramètres!$A$1:$I$89,3,0)*0.475*44/12</f>
        <v>11.817438887421527</v>
      </c>
      <c r="EC181" s="23">
        <f>EXP(-LN(2)/2)*EC180+(1-EXP(-LN(2)/2))/(LN(2)/2)*DW181*DZ181*VLOOKUP('Données projet'!$B$14,Paramètres!$A$1:$I$89,3,0)*0.475*44/12</f>
        <v>5.751172459060653E-18</v>
      </c>
      <c r="ED181" s="24">
        <f t="shared" si="178"/>
        <v>33.70279780505372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2.2737367544323206E-13</v>
      </c>
      <c r="EK181" s="18">
        <f>EJ181*VLOOKUP('Données projet'!$B$15,Paramètres!$A$1:$I$89,3,0)*VLOOKUP('Données projet'!$B$15,Paramètres!$A$1:$I$89,5,0)</f>
        <v>1.3596945791505279E-13</v>
      </c>
      <c r="EL181" s="14">
        <f t="shared" si="179"/>
        <v>1.9708830566360721E-12</v>
      </c>
      <c r="EM181" s="22">
        <f t="shared" si="180"/>
        <v>3.669434796176543E-12</v>
      </c>
      <c r="EN181" s="62">
        <f t="shared" si="128"/>
        <v>289.26530351148386</v>
      </c>
      <c r="EO181" s="62">
        <f ca="1">AVERAGE(OFFSET($EN$3,0,0,'Données projet'!$E$15+1,1))-AVERAGE(OFFSET($H$3,0,0,'Données projet'!$E$15+1,1))</f>
        <v>281.21543175875604</v>
      </c>
      <c r="EP181" s="62">
        <f t="shared" si="154"/>
        <v>366.68536296857428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9.2267780214352797</v>
      </c>
      <c r="EW181" s="23">
        <f>EXP(-LN(2)/25)*EW180+(1-EXP(-LN(2)/25))/(LN(2)/25)*Calculateur!ER181*Calculateur!ET181*VLOOKUP('Données projet'!$B$15,Paramètres!$A$1:$I$89,3,0)*0.475*44/12</f>
        <v>1.2266542686828816</v>
      </c>
      <c r="EX181" s="23">
        <f>EXP(-LN(2)/2)*EX180+(1-EXP(-LN(2)/2))/(LN(2)/2)*ER181*EU181*VLOOKUP('Données projet'!$B$15,Paramètres!$A$1:$I$89,3,0)*0.475*44/12</f>
        <v>9.0501331761554614E-18</v>
      </c>
      <c r="EY181" s="24">
        <f t="shared" si="181"/>
        <v>10.453432290118162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2.2737367544323206E-13</v>
      </c>
      <c r="FF181" s="18">
        <f>FE181*VLOOKUP('Données projet'!$B$16,Paramètres!$A$1:$I$89,3,0)*VLOOKUP('Données projet'!$B$16,Paramètres!$A$1:$I$89,5,0)</f>
        <v>1.2710188457276673E-13</v>
      </c>
      <c r="FG181" s="14">
        <f t="shared" si="182"/>
        <v>1.856866851063998E-12</v>
      </c>
      <c r="FH181" s="22">
        <f t="shared" si="183"/>
        <v>3.4554122145673649E-12</v>
      </c>
      <c r="FI181" s="62">
        <f t="shared" si="131"/>
        <v>289.26530351148364</v>
      </c>
      <c r="FJ181" s="62">
        <f ca="1">AVERAGE(OFFSET($FI$3,0,0,'Données projet'!$E$16+1,1))-AVERAGE(OFFSET($H$3,0,0,'Données projet'!$E$16+1,1))</f>
        <v>280.9225643428145</v>
      </c>
      <c r="FK181" s="62">
        <f t="shared" si="156"/>
        <v>236.89414218053955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28.863326491112009</v>
      </c>
      <c r="FR181" s="23">
        <f>EXP(-LN(2)/25)*FR180+(1-EXP(-LN(2)/25))/(LN(2)/25)*Calculateur!FM181*Calculateur!FO181*VLOOKUP('Données projet'!$B$16,Paramètres!$A$1:$I$89,3,0)*0.475*44/12</f>
        <v>3.9259635420079588</v>
      </c>
      <c r="FS181" s="23">
        <f>EXP(-LN(2)/2)*FS180+(1-EXP(-LN(2)/2))/(LN(2)/2)*FM181*FP181*VLOOKUP('Données projet'!$B$16,Paramètres!$A$1:$I$89,3,0)*0.475*44/12</f>
        <v>2.382320673393498E-19</v>
      </c>
      <c r="FT181" s="24">
        <f t="shared" si="184"/>
        <v>32.789290033119968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-5.6843418860808015E-13</v>
      </c>
      <c r="GA181" s="18">
        <f>FZ181*VLOOKUP('Données projet'!$B$17,Paramètres!$A$1:$I$89,3,0)*VLOOKUP('Données projet'!$B$17,Paramètres!$A$1:$I$89,5,0)</f>
        <v>-2.5124791136477147E-13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325.67421864225201</v>
      </c>
      <c r="GF181" s="62">
        <f t="shared" si="158"/>
        <v>542.01920418736745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18.68005804242074</v>
      </c>
      <c r="GM181" s="23">
        <f>EXP(-LN(2)/25)*GM180+(1-EXP(-LN(2)/25))/(LN(2)/25)*Calculateur!GH181*Calculateur!GJ181*VLOOKUP('Données projet'!$B$17,Paramètres!$A$1:$I$89,3,0)*0.475*44/12</f>
        <v>4.6011891590451457</v>
      </c>
      <c r="GN181" s="23">
        <f>EXP(-LN(2)/2)*GN180+(1-EXP(-LN(2)/2))/(LN(2)/2)*GH181*GK181*VLOOKUP('Données projet'!$B$17,Paramètres!$A$1:$I$89,3,0)*0.475*44/12</f>
        <v>2.4264651804639141E-19</v>
      </c>
      <c r="GO181" s="23">
        <f t="shared" si="187"/>
        <v>23.281247201465884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-2.5579538487363607E-13</v>
      </c>
      <c r="GV181" s="18">
        <f>GU181*VLOOKUP('Données projet'!$B$18,Paramètres!$A$1:$I$89,3,0)*VLOOKUP('Données projet'!$B$18,Paramètres!$A$1:$I$89,5,0)</f>
        <v>-2.5937652026186701E-13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220.89224520315713</v>
      </c>
      <c r="HA181" s="62">
        <f t="shared" si="160"/>
        <v>141.82763623159096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-2.8421709430404007E-14</v>
      </c>
      <c r="O182" s="14">
        <f>N182*VLOOKUP('Données projet'!$B$9,Paramètres!$A$1:$I$89,3,0)*VLOOKUP('Données projet'!$B$9,Paramètres!$A$1:$I$89,5,0)</f>
        <v>-2.7489477361086758E-14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84.959354125980269</v>
      </c>
      <c r="T182" s="62">
        <f t="shared" si="142"/>
        <v>89.658970210276806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0.75813082213984917</v>
      </c>
      <c r="AB182" s="23">
        <f>EXP(-LN(2)/2)*AB181+(1-EXP(-LN(2)/2))/(LN(2)/2)*V182*Y182*VLOOKUP('Données projet'!$B$9,Paramètres!$A$1:$I$89,3,0)*0.475*44/12</f>
        <v>1.2840101112762595E-16</v>
      </c>
      <c r="AC182" s="24">
        <f t="shared" si="163"/>
        <v>0.75813082213984928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-1.1368683772161603E-12</v>
      </c>
      <c r="AJ182" s="14">
        <f>AI182*VLOOKUP('Données projet'!$B$10,Paramètres!$A$1:$I$89,3,0)*VLOOKUP('Données projet'!$B$10,Paramètres!$A$1:$I$89,5,0)</f>
        <v>-1.0818439477588981E-12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592.76231355549089</v>
      </c>
      <c r="AO182" s="62">
        <f t="shared" si="144"/>
        <v>200.66895551079014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98.77282822680128</v>
      </c>
      <c r="AV182" s="23">
        <f>EXP(-LN(2)/25)*AV181+(1-EXP(-LN(2)/25))/(LN(2)/25)*Calculateur!AQ182*Calculateur!AS182*VLOOKUP('Données projet'!$B$10,Paramètres!$A$1:$I$89,3,0)*0.475*44/12</f>
        <v>19.94588524112412</v>
      </c>
      <c r="AW182" s="23">
        <f>EXP(-LN(2)/2)*AW181+(1-EXP(-LN(2)/2))/(LN(2)/2)*AQ182*AT182*VLOOKUP('Données projet'!$B$10,Paramètres!$A$1:$I$89,3,0)*0.475*44/12</f>
        <v>1.5773672404108724E-17</v>
      </c>
      <c r="AX182" s="23">
        <f t="shared" si="166"/>
        <v>118.7187134679254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-2.0572770154103635E-13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316.71836722354374</v>
      </c>
      <c r="BJ182" s="62">
        <f t="shared" si="146"/>
        <v>164.34067012996618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55.953639477052</v>
      </c>
      <c r="BQ182" s="23">
        <f>EXP(-LN(2)/25)*BQ181+(1-EXP(-LN(2)/25))/(LN(2)/25)*Calculateur!BL182*Calculateur!BN182*VLOOKUP('Données projet'!$B$11,Paramètres!$A$1:$I$89,3,0)*0.475*44/12</f>
        <v>0.77623364218987123</v>
      </c>
      <c r="BR182" s="23">
        <f>EXP(-LN(2)/2)*BR181+(1-EXP(-LN(2)/2))/(LN(2)/2)*BL182*BO182*VLOOKUP('Données projet'!$B$11,Paramètres!$A$1:$I$89,3,0)*0.475*44/12</f>
        <v>1.0190635397657488E-18</v>
      </c>
      <c r="BS182" s="24">
        <f t="shared" si="169"/>
        <v>56.729873119241873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2.8421709430404007E-14</v>
      </c>
      <c r="BZ182" s="14">
        <f>BY182*VLOOKUP('Données projet'!$B$12,Paramètres!$A$1:$I$89,3,0)*VLOOKUP('Données projet'!$B$12,Paramètres!$A$1:$I$89,5,0)</f>
        <v>3.2366642699344085E-14</v>
      </c>
      <c r="CA182" s="14">
        <f t="shared" si="170"/>
        <v>5.5446527398450045E-13</v>
      </c>
      <c r="CB182" s="22">
        <f t="shared" si="171"/>
        <v>1.0220655882243624E-12</v>
      </c>
      <c r="CC182" s="62">
        <f t="shared" si="119"/>
        <v>289.33587473413814</v>
      </c>
      <c r="CD182" s="62">
        <f ca="1">AVERAGE(OFFSET($CC$3,0,0,'Données projet'!$E$12+1,1))-AVERAGE(OFFSET($H$3,0,0,'Données projet'!$E$12+1,1))</f>
        <v>454.9779384236806</v>
      </c>
      <c r="CE182" s="62">
        <f t="shared" si="148"/>
        <v>379.32753348721906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23.937429707544549</v>
      </c>
      <c r="CL182" s="23">
        <f>EXP(-LN(2)/25)*CL181+(1-EXP(-LN(2)/25))/(LN(2)/25)*Calculateur!CG182*Calculateur!CI182*VLOOKUP('Données projet'!$B$12,Paramètres!$A$1:$I$89,3,0)*0.475*44/12</f>
        <v>6.0781817707373014</v>
      </c>
      <c r="CM182" s="23">
        <f>EXP(-LN(2)/2)*CM181+(1-EXP(-LN(2)/2))/(LN(2)/2)*CG182*CJ182*VLOOKUP('Données projet'!$B$12,Paramètres!$A$1:$I$89,3,0)*0.475*44/12</f>
        <v>1.5970022508800562E-13</v>
      </c>
      <c r="CN182" s="24">
        <f t="shared" si="172"/>
        <v>30.015611478282011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252.10592533338991</v>
      </c>
      <c r="CZ182" s="62">
        <f t="shared" si="150"/>
        <v>272.71831345325313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5.4790555229945346</v>
      </c>
      <c r="DH182" s="23">
        <f>EXP(-LN(2)/2)*DH181+(1-EXP(-LN(2)/2))/(LN(2)/2)*DB182*DE182*VLOOKUP('Données projet'!$B$13,Paramètres!$A$1:$I$89,3,0)*0.475*44/12</f>
        <v>2.0742819825222283E-17</v>
      </c>
      <c r="DI182" s="24">
        <f t="shared" si="175"/>
        <v>5.4790555229945346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423.0896575168394</v>
      </c>
      <c r="DU182" s="62">
        <f t="shared" si="152"/>
        <v>305.98537395014284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21.456200378008287</v>
      </c>
      <c r="EB182" s="23">
        <f>EXP(-LN(2)/25)*EB181+(1-EXP(-LN(2)/25))/(LN(2)/25)*Calculateur!DW182*Calculateur!DY182*VLOOKUP('Données projet'!$B$14,Paramètres!$A$1:$I$89,3,0)*0.475*44/12</f>
        <v>11.494290399592884</v>
      </c>
      <c r="EC182" s="23">
        <f>EXP(-LN(2)/2)*EC181+(1-EXP(-LN(2)/2))/(LN(2)/2)*DW182*DZ182*VLOOKUP('Données projet'!$B$14,Paramètres!$A$1:$I$89,3,0)*0.475*44/12</f>
        <v>4.0666930455750996E-18</v>
      </c>
      <c r="ED182" s="24">
        <f t="shared" si="178"/>
        <v>32.950490777601175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2.2737367544323206E-13</v>
      </c>
      <c r="EK182" s="18">
        <f>EJ182*VLOOKUP('Données projet'!$B$15,Paramètres!$A$1:$I$89,3,0)*VLOOKUP('Données projet'!$B$15,Paramètres!$A$1:$I$89,5,0)</f>
        <v>1.3596945791505279E-13</v>
      </c>
      <c r="EL182" s="14">
        <f t="shared" si="179"/>
        <v>1.9708830566360721E-12</v>
      </c>
      <c r="EM182" s="22">
        <f t="shared" si="180"/>
        <v>3.669434796176543E-12</v>
      </c>
      <c r="EN182" s="62">
        <f t="shared" si="128"/>
        <v>289.33587473414082</v>
      </c>
      <c r="EO182" s="62">
        <f ca="1">AVERAGE(OFFSET($EN$3,0,0,'Données projet'!$E$15+1,1))-AVERAGE(OFFSET($H$3,0,0,'Données projet'!$E$15+1,1))</f>
        <v>281.21543175875604</v>
      </c>
      <c r="EP182" s="62">
        <f t="shared" si="154"/>
        <v>366.68536296857428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9.0458465322138295</v>
      </c>
      <c r="EW182" s="23">
        <f>EXP(-LN(2)/25)*EW181+(1-EXP(-LN(2)/25))/(LN(2)/25)*Calculateur!ER182*Calculateur!ET182*VLOOKUP('Données projet'!$B$15,Paramètres!$A$1:$I$89,3,0)*0.475*44/12</f>
        <v>1.1931113431988039</v>
      </c>
      <c r="EX182" s="23">
        <f>EXP(-LN(2)/2)*EX181+(1-EXP(-LN(2)/2))/(LN(2)/2)*ER182*EU182*VLOOKUP('Données projet'!$B$15,Paramètres!$A$1:$I$89,3,0)*0.475*44/12</f>
        <v>6.3994105395008743E-18</v>
      </c>
      <c r="EY182" s="24">
        <f t="shared" si="181"/>
        <v>10.238957875412634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2.2737367544323206E-13</v>
      </c>
      <c r="FF182" s="18">
        <f>FE182*VLOOKUP('Données projet'!$B$16,Paramètres!$A$1:$I$89,3,0)*VLOOKUP('Données projet'!$B$16,Paramètres!$A$1:$I$89,5,0)</f>
        <v>1.2710188457276673E-13</v>
      </c>
      <c r="FG182" s="14">
        <f t="shared" si="182"/>
        <v>1.856866851063998E-12</v>
      </c>
      <c r="FH182" s="22">
        <f t="shared" si="183"/>
        <v>3.4554122145673649E-12</v>
      </c>
      <c r="FI182" s="62">
        <f t="shared" si="131"/>
        <v>289.33587473414059</v>
      </c>
      <c r="FJ182" s="62">
        <f ca="1">AVERAGE(OFFSET($FI$3,0,0,'Données projet'!$E$16+1,1))-AVERAGE(OFFSET($H$3,0,0,'Données projet'!$E$16+1,1))</f>
        <v>280.9225643428145</v>
      </c>
      <c r="FK182" s="62">
        <f t="shared" si="156"/>
        <v>236.89414218053955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28.297334263512123</v>
      </c>
      <c r="FR182" s="23">
        <f>EXP(-LN(2)/25)*FR181+(1-EXP(-LN(2)/25))/(LN(2)/25)*Calculateur!FM182*Calculateur!FO182*VLOOKUP('Données projet'!$B$16,Paramètres!$A$1:$I$89,3,0)*0.475*44/12</f>
        <v>3.8186078624943014</v>
      </c>
      <c r="FS182" s="23">
        <f>EXP(-LN(2)/2)*FS181+(1-EXP(-LN(2)/2))/(LN(2)/2)*FM182*FP182*VLOOKUP('Données projet'!$B$16,Paramètres!$A$1:$I$89,3,0)*0.475*44/12</f>
        <v>1.6845551031174448E-19</v>
      </c>
      <c r="FT182" s="24">
        <f t="shared" si="184"/>
        <v>32.115942126006424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-5.6843418860808015E-13</v>
      </c>
      <c r="GA182" s="18">
        <f>FZ182*VLOOKUP('Données projet'!$B$17,Paramètres!$A$1:$I$89,3,0)*VLOOKUP('Données projet'!$B$17,Paramètres!$A$1:$I$89,5,0)</f>
        <v>-2.5124791136477147E-13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325.67421864225201</v>
      </c>
      <c r="GF182" s="62">
        <f t="shared" si="158"/>
        <v>542.01920418736745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18.31375349791924</v>
      </c>
      <c r="GM182" s="23">
        <f>EXP(-LN(2)/25)*GM181+(1-EXP(-LN(2)/25))/(LN(2)/25)*Calculateur!GH182*Calculateur!GJ182*VLOOKUP('Données projet'!$B$17,Paramètres!$A$1:$I$89,3,0)*0.475*44/12</f>
        <v>4.4753693995250341</v>
      </c>
      <c r="GN182" s="23">
        <f>EXP(-LN(2)/2)*GN181+(1-EXP(-LN(2)/2))/(LN(2)/2)*GH182*GK182*VLOOKUP('Données projet'!$B$17,Paramètres!$A$1:$I$89,3,0)*0.475*44/12</f>
        <v>1.7157699834190735E-19</v>
      </c>
      <c r="GO182" s="23">
        <f t="shared" si="187"/>
        <v>22.789122897444273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-2.5579538487363607E-13</v>
      </c>
      <c r="GV182" s="18">
        <f>GU182*VLOOKUP('Données projet'!$B$18,Paramètres!$A$1:$I$89,3,0)*VLOOKUP('Données projet'!$B$18,Paramètres!$A$1:$I$89,5,0)</f>
        <v>-2.5937652026186701E-13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220.89224520315713</v>
      </c>
      <c r="HA182" s="62">
        <f t="shared" si="160"/>
        <v>141.82763623159096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-2.8421709430404007E-14</v>
      </c>
      <c r="O183" s="14">
        <f>N183*VLOOKUP('Données projet'!$B$9,Paramètres!$A$1:$I$89,3,0)*VLOOKUP('Données projet'!$B$9,Paramètres!$A$1:$I$89,5,0)</f>
        <v>-2.7489477361086758E-14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84.959354125980269</v>
      </c>
      <c r="T183" s="62">
        <f t="shared" si="142"/>
        <v>89.658970210276806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0.73739969494006774</v>
      </c>
      <c r="AB183" s="23">
        <f>EXP(-LN(2)/2)*AB182+(1-EXP(-LN(2)/2))/(LN(2)/2)*V183*Y183*VLOOKUP('Données projet'!$B$9,Paramètres!$A$1:$I$89,3,0)*0.475*44/12</f>
        <v>9.0793225679553654E-17</v>
      </c>
      <c r="AC183" s="24">
        <f t="shared" si="163"/>
        <v>0.73739969494006785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-1.1368683772161603E-12</v>
      </c>
      <c r="AJ183" s="14">
        <f>AI183*VLOOKUP('Données projet'!$B$10,Paramètres!$A$1:$I$89,3,0)*VLOOKUP('Données projet'!$B$10,Paramètres!$A$1:$I$89,5,0)</f>
        <v>-1.0818439477588981E-12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592.76231355549089</v>
      </c>
      <c r="AO183" s="62">
        <f t="shared" si="144"/>
        <v>200.66895551079014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96.835953310750185</v>
      </c>
      <c r="AV183" s="23">
        <f>EXP(-LN(2)/25)*AV182+(1-EXP(-LN(2)/25))/(LN(2)/25)*Calculateur!AQ183*Calculateur!AS183*VLOOKUP('Données projet'!$B$10,Paramètres!$A$1:$I$89,3,0)*0.475*44/12</f>
        <v>19.400463960297063</v>
      </c>
      <c r="AW183" s="23">
        <f>EXP(-LN(2)/2)*AW182+(1-EXP(-LN(2)/2))/(LN(2)/2)*AQ183*AT183*VLOOKUP('Données projet'!$B$10,Paramètres!$A$1:$I$89,3,0)*0.475*44/12</f>
        <v>1.1153670721160391E-17</v>
      </c>
      <c r="AX183" s="23">
        <f t="shared" si="166"/>
        <v>116.23641727104724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-2.0572770154103635E-13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316.71836722354374</v>
      </c>
      <c r="BJ183" s="62">
        <f t="shared" si="146"/>
        <v>164.34067012996618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54.856422735257198</v>
      </c>
      <c r="BQ183" s="23">
        <f>EXP(-LN(2)/25)*BQ182+(1-EXP(-LN(2)/25))/(LN(2)/25)*Calculateur!BL183*Calculateur!BN183*VLOOKUP('Données projet'!$B$11,Paramètres!$A$1:$I$89,3,0)*0.475*44/12</f>
        <v>0.75500749242383602</v>
      </c>
      <c r="BR183" s="23">
        <f>EXP(-LN(2)/2)*BR182+(1-EXP(-LN(2)/2))/(LN(2)/2)*BL183*BO183*VLOOKUP('Données projet'!$B$11,Paramètres!$A$1:$I$89,3,0)*0.475*44/12</f>
        <v>7.2058673942832793E-19</v>
      </c>
      <c r="BS183" s="24">
        <f t="shared" si="169"/>
        <v>55.611430227681034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2.8421709430404007E-14</v>
      </c>
      <c r="BZ183" s="14">
        <f>BY183*VLOOKUP('Données projet'!$B$12,Paramètres!$A$1:$I$89,3,0)*VLOOKUP('Données projet'!$B$12,Paramètres!$A$1:$I$89,5,0)</f>
        <v>3.2366642699344085E-14</v>
      </c>
      <c r="CA183" s="14">
        <f t="shared" si="170"/>
        <v>5.5446527398450045E-13</v>
      </c>
      <c r="CB183" s="22">
        <f t="shared" si="171"/>
        <v>1.0220655882243624E-12</v>
      </c>
      <c r="CC183" s="62">
        <f t="shared" si="119"/>
        <v>289.40522170385566</v>
      </c>
      <c r="CD183" s="62">
        <f ca="1">AVERAGE(OFFSET($CC$3,0,0,'Données projet'!$E$12+1,1))-AVERAGE(OFFSET($H$3,0,0,'Données projet'!$E$12+1,1))</f>
        <v>454.9779384236806</v>
      </c>
      <c r="CE183" s="62">
        <f t="shared" si="148"/>
        <v>379.32753348721906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23.468031311370055</v>
      </c>
      <c r="CL183" s="23">
        <f>EXP(-LN(2)/25)*CL182+(1-EXP(-LN(2)/25))/(LN(2)/25)*Calculateur!CG183*Calculateur!CI183*VLOOKUP('Données projet'!$B$12,Paramètres!$A$1:$I$89,3,0)*0.475*44/12</f>
        <v>5.9119735705788026</v>
      </c>
      <c r="CM183" s="23">
        <f>EXP(-LN(2)/2)*CM182+(1-EXP(-LN(2)/2))/(LN(2)/2)*CG183*CJ183*VLOOKUP('Données projet'!$B$12,Paramètres!$A$1:$I$89,3,0)*0.475*44/12</f>
        <v>1.1292511211674678E-13</v>
      </c>
      <c r="CN183" s="24">
        <f t="shared" si="172"/>
        <v>29.38000488194897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252.10592533338991</v>
      </c>
      <c r="CZ183" s="62">
        <f t="shared" si="150"/>
        <v>272.71831345325313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5.3292304615872412</v>
      </c>
      <c r="DH183" s="23">
        <f>EXP(-LN(2)/2)*DH182+(1-EXP(-LN(2)/2))/(LN(2)/2)*DB183*DE183*VLOOKUP('Données projet'!$B$13,Paramètres!$A$1:$I$89,3,0)*0.475*44/12</f>
        <v>1.4667388559345432E-17</v>
      </c>
      <c r="DI183" s="24">
        <f t="shared" si="175"/>
        <v>5.3292304615872412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423.0896575168394</v>
      </c>
      <c r="DU183" s="62">
        <f t="shared" si="152"/>
        <v>305.98537395014284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21.035457375585541</v>
      </c>
      <c r="EB183" s="23">
        <f>EXP(-LN(2)/25)*EB182+(1-EXP(-LN(2)/25))/(LN(2)/25)*Calculateur!DW183*Calculateur!DY183*VLOOKUP('Données projet'!$B$14,Paramètres!$A$1:$I$89,3,0)*0.475*44/12</f>
        <v>11.179978424157555</v>
      </c>
      <c r="EC183" s="23">
        <f>EXP(-LN(2)/2)*EC182+(1-EXP(-LN(2)/2))/(LN(2)/2)*DW183*DZ183*VLOOKUP('Données projet'!$B$14,Paramètres!$A$1:$I$89,3,0)*0.475*44/12</f>
        <v>2.8755862295303265E-18</v>
      </c>
      <c r="ED183" s="24">
        <f t="shared" si="178"/>
        <v>32.215435799743098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2.2737367544323206E-13</v>
      </c>
      <c r="EK183" s="18">
        <f>EJ183*VLOOKUP('Données projet'!$B$15,Paramètres!$A$1:$I$89,3,0)*VLOOKUP('Données projet'!$B$15,Paramètres!$A$1:$I$89,5,0)</f>
        <v>1.3596945791505279E-13</v>
      </c>
      <c r="EL183" s="14">
        <f t="shared" si="179"/>
        <v>1.9708830566360721E-12</v>
      </c>
      <c r="EM183" s="22">
        <f t="shared" si="180"/>
        <v>3.669434796176543E-12</v>
      </c>
      <c r="EN183" s="62">
        <f t="shared" si="128"/>
        <v>289.40522170385833</v>
      </c>
      <c r="EO183" s="62">
        <f ca="1">AVERAGE(OFFSET($EN$3,0,0,'Données projet'!$E$15+1,1))-AVERAGE(OFFSET($H$3,0,0,'Données projet'!$E$15+1,1))</f>
        <v>281.21543175875604</v>
      </c>
      <c r="EP183" s="62">
        <f t="shared" si="154"/>
        <v>366.68536296857428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8.8684629991387016</v>
      </c>
      <c r="EW183" s="23">
        <f>EXP(-LN(2)/25)*EW182+(1-EXP(-LN(2)/25))/(LN(2)/25)*Calculateur!ER183*Calculateur!ET183*VLOOKUP('Données projet'!$B$15,Paramètres!$A$1:$I$89,3,0)*0.475*44/12</f>
        <v>1.1604856507760339</v>
      </c>
      <c r="EX183" s="23">
        <f>EXP(-LN(2)/2)*EX182+(1-EXP(-LN(2)/2))/(LN(2)/2)*ER183*EU183*VLOOKUP('Données projet'!$B$15,Paramètres!$A$1:$I$89,3,0)*0.475*44/12</f>
        <v>4.5250665880777307E-18</v>
      </c>
      <c r="EY183" s="24">
        <f t="shared" si="181"/>
        <v>10.028948649914735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2.2737367544323206E-13</v>
      </c>
      <c r="FF183" s="18">
        <f>FE183*VLOOKUP('Données projet'!$B$16,Paramètres!$A$1:$I$89,3,0)*VLOOKUP('Données projet'!$B$16,Paramètres!$A$1:$I$89,5,0)</f>
        <v>1.2710188457276673E-13</v>
      </c>
      <c r="FG183" s="14">
        <f t="shared" si="182"/>
        <v>1.856866851063998E-12</v>
      </c>
      <c r="FH183" s="22">
        <f t="shared" si="183"/>
        <v>3.4554122145673649E-12</v>
      </c>
      <c r="FI183" s="62">
        <f t="shared" si="131"/>
        <v>289.4052217038581</v>
      </c>
      <c r="FJ183" s="62">
        <f ca="1">AVERAGE(OFFSET($FI$3,0,0,'Données projet'!$E$16+1,1))-AVERAGE(OFFSET($H$3,0,0,'Données projet'!$E$16+1,1))</f>
        <v>280.9225643428145</v>
      </c>
      <c r="FK183" s="62">
        <f t="shared" si="156"/>
        <v>236.89414218053955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27.742440798274302</v>
      </c>
      <c r="FR183" s="23">
        <f>EXP(-LN(2)/25)*FR182+(1-EXP(-LN(2)/25))/(LN(2)/25)*Calculateur!FM183*Calculateur!FO183*VLOOKUP('Données projet'!$B$16,Paramètres!$A$1:$I$89,3,0)*0.475*44/12</f>
        <v>3.7141878296825346</v>
      </c>
      <c r="FS183" s="23">
        <f>EXP(-LN(2)/2)*FS182+(1-EXP(-LN(2)/2))/(LN(2)/2)*FM183*FP183*VLOOKUP('Données projet'!$B$16,Paramètres!$A$1:$I$89,3,0)*0.475*44/12</f>
        <v>1.191160336696749E-19</v>
      </c>
      <c r="FT183" s="24">
        <f t="shared" si="184"/>
        <v>31.456628627956835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-5.6843418860808015E-13</v>
      </c>
      <c r="GA183" s="18">
        <f>FZ183*VLOOKUP('Données projet'!$B$17,Paramètres!$A$1:$I$89,3,0)*VLOOKUP('Données projet'!$B$17,Paramètres!$A$1:$I$89,5,0)</f>
        <v>-2.5124791136477147E-13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325.67421864225201</v>
      </c>
      <c r="GF183" s="62">
        <f t="shared" si="158"/>
        <v>542.01920418736745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17.954631962111705</v>
      </c>
      <c r="GM183" s="23">
        <f>EXP(-LN(2)/25)*GM182+(1-EXP(-LN(2)/25))/(LN(2)/25)*Calculateur!GH183*Calculateur!GJ183*VLOOKUP('Données projet'!$B$17,Paramètres!$A$1:$I$89,3,0)*0.475*44/12</f>
        <v>4.3529901879455739</v>
      </c>
      <c r="GN183" s="23">
        <f>EXP(-LN(2)/2)*GN182+(1-EXP(-LN(2)/2))/(LN(2)/2)*GH183*GK183*VLOOKUP('Données projet'!$B$17,Paramètres!$A$1:$I$89,3,0)*0.475*44/12</f>
        <v>1.2132325902319571E-19</v>
      </c>
      <c r="GO183" s="23">
        <f t="shared" si="187"/>
        <v>22.307622150057277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-2.5579538487363607E-13</v>
      </c>
      <c r="GV183" s="18">
        <f>GU183*VLOOKUP('Données projet'!$B$18,Paramètres!$A$1:$I$89,3,0)*VLOOKUP('Données projet'!$B$18,Paramètres!$A$1:$I$89,5,0)</f>
        <v>-2.5937652026186701E-13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220.89224520315713</v>
      </c>
      <c r="HA183" s="62">
        <f t="shared" si="160"/>
        <v>141.82763623159096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-2.8421709430404007E-14</v>
      </c>
      <c r="O184" s="14">
        <f>N184*VLOOKUP('Données projet'!$B$9,Paramètres!$A$1:$I$89,3,0)*VLOOKUP('Données projet'!$B$9,Paramètres!$A$1:$I$89,5,0)</f>
        <v>-2.7489477361086758E-14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84.959354125980269</v>
      </c>
      <c r="T184" s="62">
        <f t="shared" si="142"/>
        <v>89.658970210276806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0.71723546150376694</v>
      </c>
      <c r="AB184" s="23">
        <f>EXP(-LN(2)/2)*AB183+(1-EXP(-LN(2)/2))/(LN(2)/2)*V184*Y184*VLOOKUP('Données projet'!$B$9,Paramètres!$A$1:$I$89,3,0)*0.475*44/12</f>
        <v>6.4200505563812973E-17</v>
      </c>
      <c r="AC184" s="24">
        <f t="shared" si="163"/>
        <v>0.71723546150376705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-1.1368683772161603E-12</v>
      </c>
      <c r="AJ184" s="14">
        <f>AI184*VLOOKUP('Données projet'!$B$10,Paramètres!$A$1:$I$89,3,0)*VLOOKUP('Données projet'!$B$10,Paramètres!$A$1:$I$89,5,0)</f>
        <v>-1.0818439477588981E-12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592.76231355549089</v>
      </c>
      <c r="AO184" s="62">
        <f t="shared" si="144"/>
        <v>200.66895551079014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94.937059330425797</v>
      </c>
      <c r="AV184" s="23">
        <f>EXP(-LN(2)/25)*AV183+(1-EXP(-LN(2)/25))/(LN(2)/25)*Calculateur!AQ184*Calculateur!AS184*VLOOKUP('Données projet'!$B$10,Paramètres!$A$1:$I$89,3,0)*0.475*44/12</f>
        <v>18.869957253076681</v>
      </c>
      <c r="AW184" s="23">
        <f>EXP(-LN(2)/2)*AW183+(1-EXP(-LN(2)/2))/(LN(2)/2)*AQ184*AT184*VLOOKUP('Données projet'!$B$10,Paramètres!$A$1:$I$89,3,0)*0.475*44/12</f>
        <v>7.8868362020543622E-18</v>
      </c>
      <c r="AX184" s="23">
        <f t="shared" si="166"/>
        <v>113.80701658350247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-2.0572770154103635E-13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316.71836722354374</v>
      </c>
      <c r="BJ184" s="62">
        <f t="shared" si="146"/>
        <v>164.34067012996618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53.780721744532862</v>
      </c>
      <c r="BQ184" s="23">
        <f>EXP(-LN(2)/25)*BQ183+(1-EXP(-LN(2)/25))/(LN(2)/25)*Calculateur!BL184*Calculateur!BN184*VLOOKUP('Données projet'!$B$11,Paramètres!$A$1:$I$89,3,0)*0.475*44/12</f>
        <v>0.73436177283938775</v>
      </c>
      <c r="BR184" s="23">
        <f>EXP(-LN(2)/2)*BR183+(1-EXP(-LN(2)/2))/(LN(2)/2)*BL184*BO184*VLOOKUP('Données projet'!$B$11,Paramètres!$A$1:$I$89,3,0)*0.475*44/12</f>
        <v>5.0953176988287441E-19</v>
      </c>
      <c r="BS184" s="24">
        <f t="shared" si="169"/>
        <v>54.515083517372247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2.8421709430404007E-14</v>
      </c>
      <c r="BZ184" s="14">
        <f>BY184*VLOOKUP('Données projet'!$B$12,Paramètres!$A$1:$I$89,3,0)*VLOOKUP('Données projet'!$B$12,Paramètres!$A$1:$I$89,5,0)</f>
        <v>3.2366642699344085E-14</v>
      </c>
      <c r="CA184" s="14">
        <f t="shared" si="170"/>
        <v>5.5446527398450045E-13</v>
      </c>
      <c r="CB184" s="22">
        <f t="shared" si="171"/>
        <v>1.0220655882243624E-12</v>
      </c>
      <c r="CC184" s="62">
        <f t="shared" si="119"/>
        <v>289.47336565868511</v>
      </c>
      <c r="CD184" s="62">
        <f ca="1">AVERAGE(OFFSET($CC$3,0,0,'Données projet'!$E$12+1,1))-AVERAGE(OFFSET($H$3,0,0,'Données projet'!$E$12+1,1))</f>
        <v>454.9779384236806</v>
      </c>
      <c r="CE184" s="62">
        <f t="shared" si="148"/>
        <v>379.32753348721906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23.00783753143979</v>
      </c>
      <c r="CL184" s="23">
        <f>EXP(-LN(2)/25)*CL183+(1-EXP(-LN(2)/25))/(LN(2)/25)*Calculateur!CG184*Calculateur!CI184*VLOOKUP('Données projet'!$B$12,Paramètres!$A$1:$I$89,3,0)*0.475*44/12</f>
        <v>5.7503103423941475</v>
      </c>
      <c r="CM184" s="23">
        <f>EXP(-LN(2)/2)*CM183+(1-EXP(-LN(2)/2))/(LN(2)/2)*CG184*CJ184*VLOOKUP('Données projet'!$B$12,Paramètres!$A$1:$I$89,3,0)*0.475*44/12</f>
        <v>7.9850112544002823E-14</v>
      </c>
      <c r="CN184" s="24">
        <f t="shared" si="172"/>
        <v>28.758147873834016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252.10592533338991</v>
      </c>
      <c r="CZ184" s="62">
        <f t="shared" si="150"/>
        <v>272.71831345325313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5.1835023743630879</v>
      </c>
      <c r="DH184" s="23">
        <f>EXP(-LN(2)/2)*DH183+(1-EXP(-LN(2)/2))/(LN(2)/2)*DB184*DE184*VLOOKUP('Données projet'!$B$13,Paramètres!$A$1:$I$89,3,0)*0.475*44/12</f>
        <v>1.0371409912611141E-17</v>
      </c>
      <c r="DI184" s="24">
        <f t="shared" si="175"/>
        <v>5.1835023743630879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423.0896575168394</v>
      </c>
      <c r="DU184" s="62">
        <f t="shared" si="152"/>
        <v>305.98537395014284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20.622964886812415</v>
      </c>
      <c r="EB184" s="23">
        <f>EXP(-LN(2)/25)*EB183+(1-EXP(-LN(2)/25))/(LN(2)/25)*Calculateur!DW184*Calculateur!DY184*VLOOKUP('Données projet'!$B$14,Paramètres!$A$1:$I$89,3,0)*0.475*44/12</f>
        <v>10.874261326219454</v>
      </c>
      <c r="EC184" s="23">
        <f>EXP(-LN(2)/2)*EC183+(1-EXP(-LN(2)/2))/(LN(2)/2)*DW184*DZ184*VLOOKUP('Données projet'!$B$14,Paramètres!$A$1:$I$89,3,0)*0.475*44/12</f>
        <v>2.0333465227875498E-18</v>
      </c>
      <c r="ED184" s="24">
        <f t="shared" si="178"/>
        <v>31.497226213031869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2.2737367544323206E-13</v>
      </c>
      <c r="EK184" s="18">
        <f>EJ184*VLOOKUP('Données projet'!$B$15,Paramètres!$A$1:$I$89,3,0)*VLOOKUP('Données projet'!$B$15,Paramètres!$A$1:$I$89,5,0)</f>
        <v>1.3596945791505279E-13</v>
      </c>
      <c r="EL184" s="14">
        <f t="shared" si="179"/>
        <v>1.9708830566360721E-12</v>
      </c>
      <c r="EM184" s="22">
        <f t="shared" si="180"/>
        <v>3.669434796176543E-12</v>
      </c>
      <c r="EN184" s="62">
        <f t="shared" si="128"/>
        <v>289.47336565868778</v>
      </c>
      <c r="EO184" s="62">
        <f ca="1">AVERAGE(OFFSET($EN$3,0,0,'Données projet'!$E$15+1,1))-AVERAGE(OFFSET($H$3,0,0,'Données projet'!$E$15+1,1))</f>
        <v>281.21543175875604</v>
      </c>
      <c r="EP184" s="62">
        <f t="shared" si="154"/>
        <v>366.68536296857428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8.6945578489539042</v>
      </c>
      <c r="EW184" s="23">
        <f>EXP(-LN(2)/25)*EW183+(1-EXP(-LN(2)/25))/(LN(2)/25)*Calculateur!ER184*Calculateur!ET184*VLOOKUP('Données projet'!$B$15,Paramètres!$A$1:$I$89,3,0)*0.475*44/12</f>
        <v>1.1287521096282753</v>
      </c>
      <c r="EX184" s="23">
        <f>EXP(-LN(2)/2)*EX183+(1-EXP(-LN(2)/2))/(LN(2)/2)*ER184*EU184*VLOOKUP('Données projet'!$B$15,Paramètres!$A$1:$I$89,3,0)*0.475*44/12</f>
        <v>3.1997052697504371E-18</v>
      </c>
      <c r="EY184" s="24">
        <f t="shared" si="181"/>
        <v>9.823309958582179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2.2737367544323206E-13</v>
      </c>
      <c r="FF184" s="18">
        <f>FE184*VLOOKUP('Données projet'!$B$16,Paramètres!$A$1:$I$89,3,0)*VLOOKUP('Données projet'!$B$16,Paramètres!$A$1:$I$89,5,0)</f>
        <v>1.2710188457276673E-13</v>
      </c>
      <c r="FG184" s="14">
        <f t="shared" si="182"/>
        <v>1.856866851063998E-12</v>
      </c>
      <c r="FH184" s="22">
        <f t="shared" si="183"/>
        <v>3.4554122145673649E-12</v>
      </c>
      <c r="FI184" s="62">
        <f t="shared" si="131"/>
        <v>289.47336565868756</v>
      </c>
      <c r="FJ184" s="62">
        <f ca="1">AVERAGE(OFFSET($FI$3,0,0,'Données projet'!$E$16+1,1))-AVERAGE(OFFSET($H$3,0,0,'Données projet'!$E$16+1,1))</f>
        <v>280.9225643428145</v>
      </c>
      <c r="FK184" s="62">
        <f t="shared" si="156"/>
        <v>236.89414218053955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27.198428455438197</v>
      </c>
      <c r="FR184" s="23">
        <f>EXP(-LN(2)/25)*FR183+(1-EXP(-LN(2)/25))/(LN(2)/25)*Calculateur!FM184*Calculateur!FO184*VLOOKUP('Données projet'!$B$16,Paramètres!$A$1:$I$89,3,0)*0.475*44/12</f>
        <v>3.6126231681592165</v>
      </c>
      <c r="FS184" s="23">
        <f>EXP(-LN(2)/2)*FS183+(1-EXP(-LN(2)/2))/(LN(2)/2)*FM184*FP184*VLOOKUP('Données projet'!$B$16,Paramètres!$A$1:$I$89,3,0)*0.475*44/12</f>
        <v>8.422775515587224E-20</v>
      </c>
      <c r="FT184" s="24">
        <f t="shared" si="184"/>
        <v>30.811051623597415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-5.6843418860808015E-13</v>
      </c>
      <c r="GA184" s="18">
        <f>FZ184*VLOOKUP('Données projet'!$B$17,Paramètres!$A$1:$I$89,3,0)*VLOOKUP('Données projet'!$B$17,Paramètres!$A$1:$I$89,5,0)</f>
        <v>-2.5124791136477147E-13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325.67421864225201</v>
      </c>
      <c r="GF184" s="62">
        <f t="shared" si="158"/>
        <v>542.01920418736745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17.602552580578845</v>
      </c>
      <c r="GM184" s="23">
        <f>EXP(-LN(2)/25)*GM183+(1-EXP(-LN(2)/25))/(LN(2)/25)*Calculateur!GH184*Calculateur!GJ184*VLOOKUP('Données projet'!$B$17,Paramètres!$A$1:$I$89,3,0)*0.475*44/12</f>
        <v>4.2339574423423967</v>
      </c>
      <c r="GN184" s="23">
        <f>EXP(-LN(2)/2)*GN183+(1-EXP(-LN(2)/2))/(LN(2)/2)*GH184*GK184*VLOOKUP('Données projet'!$B$17,Paramètres!$A$1:$I$89,3,0)*0.475*44/12</f>
        <v>8.5788499170953676E-20</v>
      </c>
      <c r="GO184" s="23">
        <f t="shared" si="187"/>
        <v>21.836510022921242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-2.5579538487363607E-13</v>
      </c>
      <c r="GV184" s="18">
        <f>GU184*VLOOKUP('Données projet'!$B$18,Paramètres!$A$1:$I$89,3,0)*VLOOKUP('Données projet'!$B$18,Paramètres!$A$1:$I$89,5,0)</f>
        <v>-2.5937652026186701E-13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220.89224520315713</v>
      </c>
      <c r="HA184" s="62">
        <f t="shared" si="160"/>
        <v>141.82763623159096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-2.8421709430404007E-14</v>
      </c>
      <c r="O185" s="14">
        <f>N185*VLOOKUP('Données projet'!$B$9,Paramètres!$A$1:$I$89,3,0)*VLOOKUP('Données projet'!$B$9,Paramètres!$A$1:$I$89,5,0)</f>
        <v>-2.7489477361086758E-14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84.959354125980269</v>
      </c>
      <c r="T185" s="62">
        <f t="shared" si="142"/>
        <v>89.658970210276806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0.69762262009117282</v>
      </c>
      <c r="AB185" s="23">
        <f>EXP(-LN(2)/2)*AB184+(1-EXP(-LN(2)/2))/(LN(2)/2)*V185*Y185*VLOOKUP('Données projet'!$B$9,Paramètres!$A$1:$I$89,3,0)*0.475*44/12</f>
        <v>4.5396612839776827E-17</v>
      </c>
      <c r="AC185" s="24">
        <f t="shared" si="163"/>
        <v>0.69762262009117282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-1.1368683772161603E-12</v>
      </c>
      <c r="AJ185" s="14">
        <f>AI185*VLOOKUP('Données projet'!$B$10,Paramètres!$A$1:$I$89,3,0)*VLOOKUP('Données projet'!$B$10,Paramètres!$A$1:$I$89,5,0)</f>
        <v>-1.0818439477588981E-12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592.76231355549089</v>
      </c>
      <c r="AO185" s="62">
        <f t="shared" si="144"/>
        <v>200.66895551079014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93.075401502844613</v>
      </c>
      <c r="AV185" s="23">
        <f>EXP(-LN(2)/25)*AV184+(1-EXP(-LN(2)/25))/(LN(2)/25)*Calculateur!AQ185*Calculateur!AS185*VLOOKUP('Données projet'!$B$10,Paramètres!$A$1:$I$89,3,0)*0.475*44/12</f>
        <v>18.353957279663376</v>
      </c>
      <c r="AW185" s="23">
        <f>EXP(-LN(2)/2)*AW184+(1-EXP(-LN(2)/2))/(LN(2)/2)*AQ185*AT185*VLOOKUP('Données projet'!$B$10,Paramètres!$A$1:$I$89,3,0)*0.475*44/12</f>
        <v>5.5768353605801955E-18</v>
      </c>
      <c r="AX185" s="23">
        <f t="shared" si="166"/>
        <v>111.42935878250799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-2.0572770154103635E-13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316.71836722354374</v>
      </c>
      <c r="BJ185" s="62">
        <f t="shared" si="146"/>
        <v>164.34067012996618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52.726114594123807</v>
      </c>
      <c r="BQ185" s="23">
        <f>EXP(-LN(2)/25)*BQ184+(1-EXP(-LN(2)/25))/(LN(2)/25)*Calculateur!BL185*Calculateur!BN185*VLOOKUP('Données projet'!$B$11,Paramètres!$A$1:$I$89,3,0)*0.475*44/12</f>
        <v>0.71428061154268752</v>
      </c>
      <c r="BR185" s="23">
        <f>EXP(-LN(2)/2)*BR184+(1-EXP(-LN(2)/2))/(LN(2)/2)*BL185*BO185*VLOOKUP('Données projet'!$B$11,Paramètres!$A$1:$I$89,3,0)*0.475*44/12</f>
        <v>3.6029336971416396E-19</v>
      </c>
      <c r="BS185" s="24">
        <f t="shared" si="169"/>
        <v>53.440395205666498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2.8421709430404007E-14</v>
      </c>
      <c r="BZ185" s="14">
        <f>BY185*VLOOKUP('Données projet'!$B$12,Paramètres!$A$1:$I$89,3,0)*VLOOKUP('Données projet'!$B$12,Paramètres!$A$1:$I$89,5,0)</f>
        <v>3.2366642699344085E-14</v>
      </c>
      <c r="CA185" s="14">
        <f t="shared" si="170"/>
        <v>5.5446527398450045E-13</v>
      </c>
      <c r="CB185" s="22">
        <f t="shared" si="171"/>
        <v>1.0220655882243624E-12</v>
      </c>
      <c r="CC185" s="62">
        <f t="shared" si="119"/>
        <v>289.54032746824544</v>
      </c>
      <c r="CD185" s="62">
        <f ca="1">AVERAGE(OFFSET($CC$3,0,0,'Données projet'!$E$12+1,1))-AVERAGE(OFFSET($H$3,0,0,'Données projet'!$E$12+1,1))</f>
        <v>454.9779384236806</v>
      </c>
      <c r="CE185" s="62">
        <f t="shared" si="148"/>
        <v>379.32753348721906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22.556667870843466</v>
      </c>
      <c r="CL185" s="23">
        <f>EXP(-LN(2)/25)*CL184+(1-EXP(-LN(2)/25))/(LN(2)/25)*Calculateur!CG185*Calculateur!CI185*VLOOKUP('Données projet'!$B$12,Paramètres!$A$1:$I$89,3,0)*0.475*44/12</f>
        <v>5.5930678036857016</v>
      </c>
      <c r="CM185" s="23">
        <f>EXP(-LN(2)/2)*CM184+(1-EXP(-LN(2)/2))/(LN(2)/2)*CG185*CJ185*VLOOKUP('Données projet'!$B$12,Paramètres!$A$1:$I$89,3,0)*0.475*44/12</f>
        <v>5.6462556058373404E-14</v>
      </c>
      <c r="CN185" s="24">
        <f t="shared" si="172"/>
        <v>28.149735674529225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252.10592533338991</v>
      </c>
      <c r="CZ185" s="62">
        <f t="shared" si="150"/>
        <v>272.71831345325313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5.0417592293475861</v>
      </c>
      <c r="DH185" s="23">
        <f>EXP(-LN(2)/2)*DH184+(1-EXP(-LN(2)/2))/(LN(2)/2)*DB185*DE185*VLOOKUP('Données projet'!$B$13,Paramètres!$A$1:$I$89,3,0)*0.475*44/12</f>
        <v>7.3336942796727162E-18</v>
      </c>
      <c r="DI185" s="24">
        <f t="shared" si="175"/>
        <v>5.0417592293475861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423.0896575168394</v>
      </c>
      <c r="DU185" s="62">
        <f t="shared" si="152"/>
        <v>305.98537395014284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20.218561124148554</v>
      </c>
      <c r="EB185" s="23">
        <f>EXP(-LN(2)/25)*EB184+(1-EXP(-LN(2)/25))/(LN(2)/25)*Calculateur!DW185*Calculateur!DY185*VLOOKUP('Données projet'!$B$14,Paramètres!$A$1:$I$89,3,0)*0.475*44/12</f>
        <v>10.576904078401434</v>
      </c>
      <c r="EC185" s="23">
        <f>EXP(-LN(2)/2)*EC184+(1-EXP(-LN(2)/2))/(LN(2)/2)*DW185*DZ185*VLOOKUP('Données projet'!$B$14,Paramètres!$A$1:$I$89,3,0)*0.475*44/12</f>
        <v>1.4377931147651632E-18</v>
      </c>
      <c r="ED185" s="24">
        <f t="shared" si="178"/>
        <v>30.795465202549988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2.2737367544323206E-13</v>
      </c>
      <c r="EK185" s="18">
        <f>EJ185*VLOOKUP('Données projet'!$B$15,Paramètres!$A$1:$I$89,3,0)*VLOOKUP('Données projet'!$B$15,Paramètres!$A$1:$I$89,5,0)</f>
        <v>1.3596945791505279E-13</v>
      </c>
      <c r="EL185" s="14">
        <f t="shared" si="179"/>
        <v>1.9708830566360721E-12</v>
      </c>
      <c r="EM185" s="22">
        <f t="shared" si="180"/>
        <v>3.669434796176543E-12</v>
      </c>
      <c r="EN185" s="62">
        <f t="shared" si="128"/>
        <v>289.54032746824811</v>
      </c>
      <c r="EO185" s="62">
        <f ca="1">AVERAGE(OFFSET($EN$3,0,0,'Données projet'!$E$15+1,1))-AVERAGE(OFFSET($H$3,0,0,'Données projet'!$E$15+1,1))</f>
        <v>281.21543175875604</v>
      </c>
      <c r="EP185" s="62">
        <f t="shared" si="154"/>
        <v>366.68536296857428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8.5240628726925625</v>
      </c>
      <c r="EW185" s="23">
        <f>EXP(-LN(2)/25)*EW184+(1-EXP(-LN(2)/25))/(LN(2)/25)*Calculateur!ER185*Calculateur!ET185*VLOOKUP('Données projet'!$B$15,Paramètres!$A$1:$I$89,3,0)*0.475*44/12</f>
        <v>1.0978863238319965</v>
      </c>
      <c r="EX185" s="23">
        <f>EXP(-LN(2)/2)*EX184+(1-EXP(-LN(2)/2))/(LN(2)/2)*ER185*EU185*VLOOKUP('Données projet'!$B$15,Paramètres!$A$1:$I$89,3,0)*0.475*44/12</f>
        <v>2.2625332940388653E-18</v>
      </c>
      <c r="EY185" s="24">
        <f t="shared" si="181"/>
        <v>9.6219491965245592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2.2737367544323206E-13</v>
      </c>
      <c r="FF185" s="18">
        <f>FE185*VLOOKUP('Données projet'!$B$16,Paramètres!$A$1:$I$89,3,0)*VLOOKUP('Données projet'!$B$16,Paramètres!$A$1:$I$89,5,0)</f>
        <v>1.2710188457276673E-13</v>
      </c>
      <c r="FG185" s="14">
        <f t="shared" si="182"/>
        <v>1.856866851063998E-12</v>
      </c>
      <c r="FH185" s="22">
        <f t="shared" si="183"/>
        <v>3.4554122145673649E-12</v>
      </c>
      <c r="FI185" s="62">
        <f t="shared" si="131"/>
        <v>289.54032746824788</v>
      </c>
      <c r="FJ185" s="62">
        <f ca="1">AVERAGE(OFFSET($FI$3,0,0,'Données projet'!$E$16+1,1))-AVERAGE(OFFSET($H$3,0,0,'Données projet'!$E$16+1,1))</f>
        <v>280.9225643428145</v>
      </c>
      <c r="FK185" s="62">
        <f t="shared" si="156"/>
        <v>236.89414218053955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26.665083862830343</v>
      </c>
      <c r="FR185" s="23">
        <f>EXP(-LN(2)/25)*FR184+(1-EXP(-LN(2)/25))/(LN(2)/25)*Calculateur!FM185*Calculateur!FO185*VLOOKUP('Données projet'!$B$16,Paramètres!$A$1:$I$89,3,0)*0.475*44/12</f>
        <v>3.513835797646307</v>
      </c>
      <c r="FS185" s="23">
        <f>EXP(-LN(2)/2)*FS184+(1-EXP(-LN(2)/2))/(LN(2)/2)*FM185*FP185*VLOOKUP('Données projet'!$B$16,Paramètres!$A$1:$I$89,3,0)*0.475*44/12</f>
        <v>5.9558016834837451E-20</v>
      </c>
      <c r="FT185" s="24">
        <f t="shared" si="184"/>
        <v>30.178919660476652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-5.6843418860808015E-13</v>
      </c>
      <c r="GA185" s="18">
        <f>FZ185*VLOOKUP('Données projet'!$B$17,Paramètres!$A$1:$I$89,3,0)*VLOOKUP('Données projet'!$B$17,Paramètres!$A$1:$I$89,5,0)</f>
        <v>-2.5124791136477147E-13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325.67421864225201</v>
      </c>
      <c r="GF185" s="62">
        <f t="shared" si="158"/>
        <v>542.01920418736745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17.257377260970628</v>
      </c>
      <c r="GM185" s="23">
        <f>EXP(-LN(2)/25)*GM184+(1-EXP(-LN(2)/25))/(LN(2)/25)*Calculateur!GH185*Calculateur!GJ185*VLOOKUP('Données projet'!$B$17,Paramètres!$A$1:$I$89,3,0)*0.475*44/12</f>
        <v>4.1181796534273989</v>
      </c>
      <c r="GN185" s="23">
        <f>EXP(-LN(2)/2)*GN184+(1-EXP(-LN(2)/2))/(LN(2)/2)*GH185*GK185*VLOOKUP('Données projet'!$B$17,Paramètres!$A$1:$I$89,3,0)*0.475*44/12</f>
        <v>6.0661629511597854E-20</v>
      </c>
      <c r="GO185" s="23">
        <f t="shared" si="187"/>
        <v>21.375556914398025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-2.5579538487363607E-13</v>
      </c>
      <c r="GV185" s="18">
        <f>GU185*VLOOKUP('Données projet'!$B$18,Paramètres!$A$1:$I$89,3,0)*VLOOKUP('Données projet'!$B$18,Paramètres!$A$1:$I$89,5,0)</f>
        <v>-2.5937652026186701E-13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220.89224520315713</v>
      </c>
      <c r="HA185" s="62">
        <f t="shared" si="160"/>
        <v>141.82763623159096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-2.8421709430404007E-14</v>
      </c>
      <c r="O186" s="14">
        <f>N186*VLOOKUP('Données projet'!$B$9,Paramètres!$A$1:$I$89,3,0)*VLOOKUP('Données projet'!$B$9,Paramètres!$A$1:$I$89,5,0)</f>
        <v>-2.7489477361086758E-14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84.959354125980269</v>
      </c>
      <c r="T186" s="62">
        <f t="shared" si="142"/>
        <v>89.658970210276806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0.67854609285840051</v>
      </c>
      <c r="AB186" s="23">
        <f>EXP(-LN(2)/2)*AB185+(1-EXP(-LN(2)/2))/(LN(2)/2)*V186*Y186*VLOOKUP('Données projet'!$B$9,Paramètres!$A$1:$I$89,3,0)*0.475*44/12</f>
        <v>3.2100252781906487E-17</v>
      </c>
      <c r="AC186" s="24">
        <f t="shared" si="163"/>
        <v>0.67854609285840051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-1.1368683772161603E-12</v>
      </c>
      <c r="AJ186" s="14">
        <f>AI186*VLOOKUP('Données projet'!$B$10,Paramètres!$A$1:$I$89,3,0)*VLOOKUP('Données projet'!$B$10,Paramètres!$A$1:$I$89,5,0)</f>
        <v>-1.0818439477588981E-12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592.76231355549089</v>
      </c>
      <c r="AO186" s="62">
        <f t="shared" si="144"/>
        <v>200.66895551079014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91.250249649763134</v>
      </c>
      <c r="AV186" s="23">
        <f>EXP(-LN(2)/25)*AV185+(1-EXP(-LN(2)/25))/(LN(2)/25)*Calculateur!AQ186*Calculateur!AS186*VLOOKUP('Données projet'!$B$10,Paramètres!$A$1:$I$89,3,0)*0.475*44/12</f>
        <v>17.852067352658317</v>
      </c>
      <c r="AW186" s="23">
        <f>EXP(-LN(2)/2)*AW185+(1-EXP(-LN(2)/2))/(LN(2)/2)*AQ186*AT186*VLOOKUP('Données projet'!$B$10,Paramètres!$A$1:$I$89,3,0)*0.475*44/12</f>
        <v>3.9434181010271811E-18</v>
      </c>
      <c r="AX186" s="23">
        <f t="shared" si="166"/>
        <v>109.10231700242144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-2.0572770154103635E-13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316.71836722354374</v>
      </c>
      <c r="BJ186" s="62">
        <f t="shared" si="146"/>
        <v>164.34067012996618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51.692187646687429</v>
      </c>
      <c r="BQ186" s="23">
        <f>EXP(-LN(2)/25)*BQ185+(1-EXP(-LN(2)/25))/(LN(2)/25)*Calculateur!BL186*Calculateur!BN186*VLOOKUP('Données projet'!$B$11,Paramètres!$A$1:$I$89,3,0)*0.475*44/12</f>
        <v>0.69474857065766793</v>
      </c>
      <c r="BR186" s="23">
        <f>EXP(-LN(2)/2)*BR185+(1-EXP(-LN(2)/2))/(LN(2)/2)*BL186*BO186*VLOOKUP('Données projet'!$B$11,Paramètres!$A$1:$I$89,3,0)*0.475*44/12</f>
        <v>2.5476588494143721E-19</v>
      </c>
      <c r="BS186" s="24">
        <f t="shared" si="169"/>
        <v>52.386936217345095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2.8421709430404007E-14</v>
      </c>
      <c r="BZ186" s="14">
        <f>BY186*VLOOKUP('Données projet'!$B$12,Paramètres!$A$1:$I$89,3,0)*VLOOKUP('Données projet'!$B$12,Paramètres!$A$1:$I$89,5,0)</f>
        <v>3.2366642699344085E-14</v>
      </c>
      <c r="CA186" s="14">
        <f t="shared" si="170"/>
        <v>5.5446527398450045E-13</v>
      </c>
      <c r="CB186" s="22">
        <f t="shared" si="171"/>
        <v>1.0220655882243624E-12</v>
      </c>
      <c r="CC186" s="62">
        <f t="shared" si="119"/>
        <v>289.60612764011398</v>
      </c>
      <c r="CD186" s="62">
        <f ca="1">AVERAGE(OFFSET($CC$3,0,0,'Données projet'!$E$12+1,1))-AVERAGE(OFFSET($H$3,0,0,'Données projet'!$E$12+1,1))</f>
        <v>454.9779384236806</v>
      </c>
      <c r="CE186" s="62">
        <f t="shared" si="148"/>
        <v>379.32753348721906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22.114345372105117</v>
      </c>
      <c r="CL186" s="23">
        <f>EXP(-LN(2)/25)*CL185+(1-EXP(-LN(2)/25))/(LN(2)/25)*Calculateur!CG186*Calculateur!CI186*VLOOKUP('Données projet'!$B$12,Paramètres!$A$1:$I$89,3,0)*0.475*44/12</f>
        <v>5.4401250704672632</v>
      </c>
      <c r="CM186" s="23">
        <f>EXP(-LN(2)/2)*CM185+(1-EXP(-LN(2)/2))/(LN(2)/2)*CG186*CJ186*VLOOKUP('Données projet'!$B$12,Paramètres!$A$1:$I$89,3,0)*0.475*44/12</f>
        <v>3.9925056272001418E-14</v>
      </c>
      <c r="CN186" s="24">
        <f t="shared" si="172"/>
        <v>27.55447044257242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252.10592533338991</v>
      </c>
      <c r="CZ186" s="62">
        <f t="shared" si="150"/>
        <v>272.71831345325313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4.9038920580864813</v>
      </c>
      <c r="DH186" s="23">
        <f>EXP(-LN(2)/2)*DH185+(1-EXP(-LN(2)/2))/(LN(2)/2)*DB186*DE186*VLOOKUP('Données projet'!$B$13,Paramètres!$A$1:$I$89,3,0)*0.475*44/12</f>
        <v>5.1857049563055706E-18</v>
      </c>
      <c r="DI186" s="24">
        <f t="shared" si="175"/>
        <v>4.9038920580864813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423.0896575168394</v>
      </c>
      <c r="DU186" s="62">
        <f t="shared" si="152"/>
        <v>305.98537395014284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19.822087472608594</v>
      </c>
      <c r="EB186" s="23">
        <f>EXP(-LN(2)/25)*EB185+(1-EXP(-LN(2)/25))/(LN(2)/25)*Calculateur!DW186*Calculateur!DY186*VLOOKUP('Données projet'!$B$14,Paramètres!$A$1:$I$89,3,0)*0.475*44/12</f>
        <v>10.287678080162335</v>
      </c>
      <c r="EC186" s="23">
        <f>EXP(-LN(2)/2)*EC185+(1-EXP(-LN(2)/2))/(LN(2)/2)*DW186*DZ186*VLOOKUP('Données projet'!$B$14,Paramètres!$A$1:$I$89,3,0)*0.475*44/12</f>
        <v>1.0166732613937749E-18</v>
      </c>
      <c r="ED186" s="24">
        <f t="shared" si="178"/>
        <v>30.109765552770931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2.2737367544323206E-13</v>
      </c>
      <c r="EK186" s="18">
        <f>EJ186*VLOOKUP('Données projet'!$B$15,Paramètres!$A$1:$I$89,3,0)*VLOOKUP('Données projet'!$B$15,Paramètres!$A$1:$I$89,5,0)</f>
        <v>1.3596945791505279E-13</v>
      </c>
      <c r="EL186" s="14">
        <f t="shared" si="179"/>
        <v>1.9708830566360721E-12</v>
      </c>
      <c r="EM186" s="22">
        <f t="shared" si="180"/>
        <v>3.669434796176543E-12</v>
      </c>
      <c r="EN186" s="62">
        <f t="shared" si="128"/>
        <v>289.60612764011665</v>
      </c>
      <c r="EO186" s="62">
        <f ca="1">AVERAGE(OFFSET($EN$3,0,0,'Données projet'!$E$15+1,1))-AVERAGE(OFFSET($H$3,0,0,'Données projet'!$E$15+1,1))</f>
        <v>281.21543175875604</v>
      </c>
      <c r="EP186" s="62">
        <f t="shared" si="154"/>
        <v>366.68536296857428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8.3569111989240383</v>
      </c>
      <c r="EW186" s="23">
        <f>EXP(-LN(2)/25)*EW185+(1-EXP(-LN(2)/25))/(LN(2)/25)*Calculateur!ER186*Calculateur!ET186*VLOOKUP('Données projet'!$B$15,Paramètres!$A$1:$I$89,3,0)*0.475*44/12</f>
        <v>1.0678645645714779</v>
      </c>
      <c r="EX186" s="23">
        <f>EXP(-LN(2)/2)*EX185+(1-EXP(-LN(2)/2))/(LN(2)/2)*ER186*EU186*VLOOKUP('Données projet'!$B$15,Paramètres!$A$1:$I$89,3,0)*0.475*44/12</f>
        <v>1.5998526348752186E-18</v>
      </c>
      <c r="EY186" s="24">
        <f t="shared" si="181"/>
        <v>9.424775763495516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2.2737367544323206E-13</v>
      </c>
      <c r="FF186" s="18">
        <f>FE186*VLOOKUP('Données projet'!$B$16,Paramètres!$A$1:$I$89,3,0)*VLOOKUP('Données projet'!$B$16,Paramètres!$A$1:$I$89,5,0)</f>
        <v>1.2710188457276673E-13</v>
      </c>
      <c r="FG186" s="14">
        <f t="shared" si="182"/>
        <v>1.856866851063998E-12</v>
      </c>
      <c r="FH186" s="22">
        <f t="shared" si="183"/>
        <v>3.4554122145673649E-12</v>
      </c>
      <c r="FI186" s="62">
        <f t="shared" si="131"/>
        <v>289.60612764011643</v>
      </c>
      <c r="FJ186" s="62">
        <f ca="1">AVERAGE(OFFSET($FI$3,0,0,'Données projet'!$E$16+1,1))-AVERAGE(OFFSET($H$3,0,0,'Données projet'!$E$16+1,1))</f>
        <v>280.9225643428145</v>
      </c>
      <c r="FK186" s="62">
        <f t="shared" si="156"/>
        <v>236.89414218053955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26.142197832375452</v>
      </c>
      <c r="FR186" s="23">
        <f>EXP(-LN(2)/25)*FR185+(1-EXP(-LN(2)/25))/(LN(2)/25)*Calculateur!FM186*Calculateur!FO186*VLOOKUP('Données projet'!$B$16,Paramètres!$A$1:$I$89,3,0)*0.475*44/12</f>
        <v>3.4177497729750752</v>
      </c>
      <c r="FS186" s="23">
        <f>EXP(-LN(2)/2)*FS185+(1-EXP(-LN(2)/2))/(LN(2)/2)*FM186*FP186*VLOOKUP('Données projet'!$B$16,Paramètres!$A$1:$I$89,3,0)*0.475*44/12</f>
        <v>4.211387757793612E-20</v>
      </c>
      <c r="FT186" s="24">
        <f t="shared" si="184"/>
        <v>29.559947605350526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-5.6843418860808015E-13</v>
      </c>
      <c r="GA186" s="18">
        <f>FZ186*VLOOKUP('Données projet'!$B$17,Paramètres!$A$1:$I$89,3,0)*VLOOKUP('Données projet'!$B$17,Paramètres!$A$1:$I$89,5,0)</f>
        <v>-2.5124791136477147E-13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325.67421864225201</v>
      </c>
      <c r="GF186" s="62">
        <f t="shared" si="158"/>
        <v>542.01920418736745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16.918970618843773</v>
      </c>
      <c r="GM186" s="23">
        <f>EXP(-LN(2)/25)*GM185+(1-EXP(-LN(2)/25))/(LN(2)/25)*Calculateur!GH186*Calculateur!GJ186*VLOOKUP('Données projet'!$B$17,Paramètres!$A$1:$I$89,3,0)*0.475*44/12</f>
        <v>4.0055678142387707</v>
      </c>
      <c r="GN186" s="23">
        <f>EXP(-LN(2)/2)*GN185+(1-EXP(-LN(2)/2))/(LN(2)/2)*GH186*GK186*VLOOKUP('Données projet'!$B$17,Paramètres!$A$1:$I$89,3,0)*0.475*44/12</f>
        <v>4.2894249585476838E-20</v>
      </c>
      <c r="GO186" s="23">
        <f t="shared" si="187"/>
        <v>20.924538433082542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-2.5579538487363607E-13</v>
      </c>
      <c r="GV186" s="18">
        <f>GU186*VLOOKUP('Données projet'!$B$18,Paramètres!$A$1:$I$89,3,0)*VLOOKUP('Données projet'!$B$18,Paramètres!$A$1:$I$89,5,0)</f>
        <v>-2.5937652026186701E-13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220.89224520315713</v>
      </c>
      <c r="HA186" s="62">
        <f t="shared" si="160"/>
        <v>141.82763623159096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-2.8421709430404007E-14</v>
      </c>
      <c r="O187" s="14">
        <f>N187*VLOOKUP('Données projet'!$B$9,Paramètres!$A$1:$I$89,3,0)*VLOOKUP('Données projet'!$B$9,Paramètres!$A$1:$I$89,5,0)</f>
        <v>-2.7489477361086758E-14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84.959354125980269</v>
      </c>
      <c r="T187" s="62">
        <f t="shared" si="142"/>
        <v>89.658970210276806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0.65999121426599938</v>
      </c>
      <c r="AB187" s="23">
        <f>EXP(-LN(2)/2)*AB186+(1-EXP(-LN(2)/2))/(LN(2)/2)*V187*Y187*VLOOKUP('Données projet'!$B$9,Paramètres!$A$1:$I$89,3,0)*0.475*44/12</f>
        <v>2.2698306419888414E-17</v>
      </c>
      <c r="AC187" s="24">
        <f t="shared" si="163"/>
        <v>0.65999121426599938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-1.1368683772161603E-12</v>
      </c>
      <c r="AJ187" s="14">
        <f>AI187*VLOOKUP('Données projet'!$B$10,Paramètres!$A$1:$I$89,3,0)*VLOOKUP('Données projet'!$B$10,Paramètres!$A$1:$I$89,5,0)</f>
        <v>-1.0818439477588981E-12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592.76231355549089</v>
      </c>
      <c r="AO187" s="62">
        <f t="shared" si="144"/>
        <v>200.66895551079014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89.460887911287884</v>
      </c>
      <c r="AV187" s="23">
        <f>EXP(-LN(2)/25)*AV186+(1-EXP(-LN(2)/25))/(LN(2)/25)*Calculateur!AQ187*Calculateur!AS187*VLOOKUP('Données projet'!$B$10,Paramètres!$A$1:$I$89,3,0)*0.475*44/12</f>
        <v>17.363901632100454</v>
      </c>
      <c r="AW187" s="23">
        <f>EXP(-LN(2)/2)*AW186+(1-EXP(-LN(2)/2))/(LN(2)/2)*AQ187*AT187*VLOOKUP('Données projet'!$B$10,Paramètres!$A$1:$I$89,3,0)*0.475*44/12</f>
        <v>2.7884176802900978E-18</v>
      </c>
      <c r="AX187" s="23">
        <f t="shared" si="166"/>
        <v>106.82478954338833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-2.0572770154103635E-13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316.71836722354374</v>
      </c>
      <c r="BJ187" s="62">
        <f t="shared" si="146"/>
        <v>164.34067012996618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50.678535376057113</v>
      </c>
      <c r="BQ187" s="23">
        <f>EXP(-LN(2)/25)*BQ186+(1-EXP(-LN(2)/25))/(LN(2)/25)*Calculateur!BL187*Calculateur!BN187*VLOOKUP('Données projet'!$B$11,Paramètres!$A$1:$I$89,3,0)*0.475*44/12</f>
        <v>0.67575063445779449</v>
      </c>
      <c r="BR187" s="23">
        <f>EXP(-LN(2)/2)*BR186+(1-EXP(-LN(2)/2))/(LN(2)/2)*BL187*BO187*VLOOKUP('Données projet'!$B$11,Paramètres!$A$1:$I$89,3,0)*0.475*44/12</f>
        <v>1.8014668485708198E-19</v>
      </c>
      <c r="BS187" s="24">
        <f t="shared" si="169"/>
        <v>51.354286010514905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2.8421709430404007E-14</v>
      </c>
      <c r="BZ187" s="14">
        <f>BY187*VLOOKUP('Données projet'!$B$12,Paramètres!$A$1:$I$89,3,0)*VLOOKUP('Données projet'!$B$12,Paramètres!$A$1:$I$89,5,0)</f>
        <v>3.2366642699344085E-14</v>
      </c>
      <c r="CA187" s="14">
        <f t="shared" si="170"/>
        <v>5.5446527398450045E-13</v>
      </c>
      <c r="CB187" s="22">
        <f t="shared" si="171"/>
        <v>1.0220655882243624E-12</v>
      </c>
      <c r="CC187" s="62">
        <f t="shared" si="119"/>
        <v>289.67078632610776</v>
      </c>
      <c r="CD187" s="62">
        <f ca="1">AVERAGE(OFFSET($CC$3,0,0,'Données projet'!$E$12+1,1))-AVERAGE(OFFSET($H$3,0,0,'Données projet'!$E$12+1,1))</f>
        <v>454.9779384236806</v>
      </c>
      <c r="CE187" s="62">
        <f t="shared" si="148"/>
        <v>379.32753348721906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21.680696547776943</v>
      </c>
      <c r="CL187" s="23">
        <f>EXP(-LN(2)/25)*CL186+(1-EXP(-LN(2)/25))/(LN(2)/25)*Calculateur!CG187*Calculateur!CI187*VLOOKUP('Données projet'!$B$12,Paramètres!$A$1:$I$89,3,0)*0.475*44/12</f>
        <v>5.2913645643315919</v>
      </c>
      <c r="CM187" s="23">
        <f>EXP(-LN(2)/2)*CM186+(1-EXP(-LN(2)/2))/(LN(2)/2)*CG187*CJ187*VLOOKUP('Données projet'!$B$12,Paramètres!$A$1:$I$89,3,0)*0.475*44/12</f>
        <v>2.8231278029186705E-14</v>
      </c>
      <c r="CN187" s="24">
        <f t="shared" si="172"/>
        <v>26.972061112108562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252.10592533338991</v>
      </c>
      <c r="CZ187" s="62">
        <f t="shared" si="150"/>
        <v>272.71831345325313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4.7697948718736312</v>
      </c>
      <c r="DH187" s="23">
        <f>EXP(-LN(2)/2)*DH186+(1-EXP(-LN(2)/2))/(LN(2)/2)*DB187*DE187*VLOOKUP('Données projet'!$B$13,Paramètres!$A$1:$I$89,3,0)*0.475*44/12</f>
        <v>3.6668471398363581E-18</v>
      </c>
      <c r="DI187" s="24">
        <f t="shared" si="175"/>
        <v>4.7697948718736312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423.0896575168394</v>
      </c>
      <c r="DU187" s="62">
        <f t="shared" si="152"/>
        <v>305.98537395014284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19.43338842755028</v>
      </c>
      <c r="EB187" s="23">
        <f>EXP(-LN(2)/25)*EB186+(1-EXP(-LN(2)/25))/(LN(2)/25)*Calculateur!DW187*Calculateur!DY187*VLOOKUP('Données projet'!$B$14,Paramètres!$A$1:$I$89,3,0)*0.475*44/12</f>
        <v>10.006360982054819</v>
      </c>
      <c r="EC187" s="23">
        <f>EXP(-LN(2)/2)*EC186+(1-EXP(-LN(2)/2))/(LN(2)/2)*DW187*DZ187*VLOOKUP('Données projet'!$B$14,Paramètres!$A$1:$I$89,3,0)*0.475*44/12</f>
        <v>7.1889655738258162E-19</v>
      </c>
      <c r="ED187" s="24">
        <f t="shared" si="178"/>
        <v>29.439749409605099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2.2737367544323206E-13</v>
      </c>
      <c r="EK187" s="18">
        <f>EJ187*VLOOKUP('Données projet'!$B$15,Paramètres!$A$1:$I$89,3,0)*VLOOKUP('Données projet'!$B$15,Paramètres!$A$1:$I$89,5,0)</f>
        <v>1.3596945791505279E-13</v>
      </c>
      <c r="EL187" s="14">
        <f t="shared" si="179"/>
        <v>1.9708830566360721E-12</v>
      </c>
      <c r="EM187" s="22">
        <f t="shared" si="180"/>
        <v>3.669434796176543E-12</v>
      </c>
      <c r="EN187" s="62">
        <f t="shared" si="128"/>
        <v>289.67078632611043</v>
      </c>
      <c r="EO187" s="62">
        <f ca="1">AVERAGE(OFFSET($EN$3,0,0,'Données projet'!$E$15+1,1))-AVERAGE(OFFSET($H$3,0,0,'Données projet'!$E$15+1,1))</f>
        <v>281.21543175875604</v>
      </c>
      <c r="EP187" s="62">
        <f t="shared" si="154"/>
        <v>366.68536296857428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8.1930372675256606</v>
      </c>
      <c r="EW187" s="23">
        <f>EXP(-LN(2)/25)*EW186+(1-EXP(-LN(2)/25))/(LN(2)/25)*Calculateur!ER187*Calculateur!ET187*VLOOKUP('Données projet'!$B$15,Paramètres!$A$1:$I$89,3,0)*0.475*44/12</f>
        <v>1.0386637518967141</v>
      </c>
      <c r="EX187" s="23">
        <f>EXP(-LN(2)/2)*EX186+(1-EXP(-LN(2)/2))/(LN(2)/2)*ER187*EU187*VLOOKUP('Données projet'!$B$15,Paramètres!$A$1:$I$89,3,0)*0.475*44/12</f>
        <v>1.1312666470194327E-18</v>
      </c>
      <c r="EY187" s="24">
        <f t="shared" si="181"/>
        <v>9.2317010194223741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2.2737367544323206E-13</v>
      </c>
      <c r="FF187" s="18">
        <f>FE187*VLOOKUP('Données projet'!$B$16,Paramètres!$A$1:$I$89,3,0)*VLOOKUP('Données projet'!$B$16,Paramètres!$A$1:$I$89,5,0)</f>
        <v>1.2710188457276673E-13</v>
      </c>
      <c r="FG187" s="14">
        <f t="shared" si="182"/>
        <v>1.856866851063998E-12</v>
      </c>
      <c r="FH187" s="22">
        <f t="shared" si="183"/>
        <v>3.4554122145673649E-12</v>
      </c>
      <c r="FI187" s="62">
        <f t="shared" si="131"/>
        <v>289.6707863261102</v>
      </c>
      <c r="FJ187" s="62">
        <f ca="1">AVERAGE(OFFSET($FI$3,0,0,'Données projet'!$E$16+1,1))-AVERAGE(OFFSET($H$3,0,0,'Données projet'!$E$16+1,1))</f>
        <v>280.9225643428145</v>
      </c>
      <c r="FK187" s="62">
        <f t="shared" si="156"/>
        <v>236.89414218053955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25.629565278048791</v>
      </c>
      <c r="FR187" s="23">
        <f>EXP(-LN(2)/25)*FR186+(1-EXP(-LN(2)/25))/(LN(2)/25)*Calculateur!FM187*Calculateur!FO187*VLOOKUP('Données projet'!$B$16,Paramètres!$A$1:$I$89,3,0)*0.475*44/12</f>
        <v>3.3242912257014225</v>
      </c>
      <c r="FS187" s="23">
        <f>EXP(-LN(2)/2)*FS186+(1-EXP(-LN(2)/2))/(LN(2)/2)*FM187*FP187*VLOOKUP('Données projet'!$B$16,Paramètres!$A$1:$I$89,3,0)*0.475*44/12</f>
        <v>2.9779008417418726E-20</v>
      </c>
      <c r="FT187" s="24">
        <f t="shared" si="184"/>
        <v>28.953856503750213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-5.6843418860808015E-13</v>
      </c>
      <c r="GA187" s="18">
        <f>FZ187*VLOOKUP('Données projet'!$B$17,Paramètres!$A$1:$I$89,3,0)*VLOOKUP('Données projet'!$B$17,Paramètres!$A$1:$I$89,5,0)</f>
        <v>-2.5124791136477147E-13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325.67421864225201</v>
      </c>
      <c r="GF187" s="62">
        <f t="shared" si="158"/>
        <v>542.01920418736745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16.587199924561354</v>
      </c>
      <c r="GM187" s="23">
        <f>EXP(-LN(2)/25)*GM186+(1-EXP(-LN(2)/25))/(LN(2)/25)*Calculateur!GH187*Calculateur!GJ187*VLOOKUP('Données projet'!$B$17,Paramètres!$A$1:$I$89,3,0)*0.475*44/12</f>
        <v>3.896035351714755</v>
      </c>
      <c r="GN187" s="23">
        <f>EXP(-LN(2)/2)*GN186+(1-EXP(-LN(2)/2))/(LN(2)/2)*GH187*GK187*VLOOKUP('Données projet'!$B$17,Paramètres!$A$1:$I$89,3,0)*0.475*44/12</f>
        <v>3.0330814755798927E-20</v>
      </c>
      <c r="GO187" s="23">
        <f t="shared" si="187"/>
        <v>20.483235276276108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-2.5579538487363607E-13</v>
      </c>
      <c r="GV187" s="18">
        <f>GU187*VLOOKUP('Données projet'!$B$18,Paramètres!$A$1:$I$89,3,0)*VLOOKUP('Données projet'!$B$18,Paramètres!$A$1:$I$89,5,0)</f>
        <v>-2.5937652026186701E-13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220.89224520315713</v>
      </c>
      <c r="HA187" s="62">
        <f t="shared" si="160"/>
        <v>141.82763623159096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-2.8421709430404007E-14</v>
      </c>
      <c r="O188" s="14">
        <f>N188*VLOOKUP('Données projet'!$B$9,Paramètres!$A$1:$I$89,3,0)*VLOOKUP('Données projet'!$B$9,Paramètres!$A$1:$I$89,5,0)</f>
        <v>-2.7489477361086758E-14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84.959354125980269</v>
      </c>
      <c r="T188" s="62">
        <f t="shared" si="142"/>
        <v>89.658970210276806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0.64194371980446607</v>
      </c>
      <c r="AB188" s="23">
        <f>EXP(-LN(2)/2)*AB187+(1-EXP(-LN(2)/2))/(LN(2)/2)*V188*Y188*VLOOKUP('Données projet'!$B$9,Paramètres!$A$1:$I$89,3,0)*0.475*44/12</f>
        <v>1.6050126390953243E-17</v>
      </c>
      <c r="AC188" s="24">
        <f t="shared" si="163"/>
        <v>0.64194371980446607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-1.1368683772161603E-12</v>
      </c>
      <c r="AJ188" s="14">
        <f>AI188*VLOOKUP('Données projet'!$B$10,Paramètres!$A$1:$I$89,3,0)*VLOOKUP('Données projet'!$B$10,Paramètres!$A$1:$I$89,5,0)</f>
        <v>-1.0818439477588981E-12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592.76231355549089</v>
      </c>
      <c r="AO188" s="62">
        <f t="shared" si="144"/>
        <v>200.66895551079014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87.706614465101239</v>
      </c>
      <c r="AV188" s="23">
        <f>EXP(-LN(2)/25)*AV187+(1-EXP(-LN(2)/25))/(LN(2)/25)*Calculateur!AQ188*Calculateur!AS188*VLOOKUP('Données projet'!$B$10,Paramètres!$A$1:$I$89,3,0)*0.475*44/12</f>
        <v>16.889084828842766</v>
      </c>
      <c r="AW188" s="23">
        <f>EXP(-LN(2)/2)*AW187+(1-EXP(-LN(2)/2))/(LN(2)/2)*AQ188*AT188*VLOOKUP('Données projet'!$B$10,Paramètres!$A$1:$I$89,3,0)*0.475*44/12</f>
        <v>1.9717090505135906E-18</v>
      </c>
      <c r="AX188" s="23">
        <f t="shared" si="166"/>
        <v>104.59569929394401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-2.0572770154103635E-13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316.71836722354374</v>
      </c>
      <c r="BJ188" s="62">
        <f t="shared" si="146"/>
        <v>164.34067012996618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49.684760208187022</v>
      </c>
      <c r="BQ188" s="23">
        <f>EXP(-LN(2)/25)*BQ187+(1-EXP(-LN(2)/25))/(LN(2)/25)*Calculateur!BL188*Calculateur!BN188*VLOOKUP('Données projet'!$B$11,Paramètres!$A$1:$I$89,3,0)*0.475*44/12</f>
        <v>0.65727219782236468</v>
      </c>
      <c r="BR188" s="23">
        <f>EXP(-LN(2)/2)*BR187+(1-EXP(-LN(2)/2))/(LN(2)/2)*BL188*BO188*VLOOKUP('Données projet'!$B$11,Paramètres!$A$1:$I$89,3,0)*0.475*44/12</f>
        <v>1.273829424707186E-19</v>
      </c>
      <c r="BS188" s="24">
        <f t="shared" si="169"/>
        <v>50.342032406009388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2.8421709430404007E-14</v>
      </c>
      <c r="BZ188" s="14">
        <f>BY188*VLOOKUP('Données projet'!$B$12,Paramètres!$A$1:$I$89,3,0)*VLOOKUP('Données projet'!$B$12,Paramètres!$A$1:$I$89,5,0)</f>
        <v>3.2366642699344085E-14</v>
      </c>
      <c r="CA188" s="14">
        <f t="shared" si="170"/>
        <v>5.5446527398450045E-13</v>
      </c>
      <c r="CB188" s="22">
        <f t="shared" si="171"/>
        <v>1.0220655882243624E-12</v>
      </c>
      <c r="CC188" s="62">
        <f t="shared" si="119"/>
        <v>289.73432332845476</v>
      </c>
      <c r="CD188" s="62">
        <f ca="1">AVERAGE(OFFSET($CC$3,0,0,'Données projet'!$E$12+1,1))-AVERAGE(OFFSET($H$3,0,0,'Données projet'!$E$12+1,1))</f>
        <v>454.9779384236806</v>
      </c>
      <c r="CE188" s="62">
        <f t="shared" si="148"/>
        <v>379.32753348721906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21.255551312394179</v>
      </c>
      <c r="CL188" s="23">
        <f>EXP(-LN(2)/25)*CL187+(1-EXP(-LN(2)/25))/(LN(2)/25)*Calculateur!CG188*Calculateur!CI188*VLOOKUP('Données projet'!$B$12,Paramètres!$A$1:$I$89,3,0)*0.475*44/12</f>
        <v>5.1466719220591752</v>
      </c>
      <c r="CM188" s="23">
        <f>EXP(-LN(2)/2)*CM187+(1-EXP(-LN(2)/2))/(LN(2)/2)*CG188*CJ188*VLOOKUP('Données projet'!$B$12,Paramètres!$A$1:$I$89,3,0)*0.475*44/12</f>
        <v>1.9962528136000712E-14</v>
      </c>
      <c r="CN188" s="24">
        <f t="shared" si="172"/>
        <v>26.402223234453373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252.10592533338991</v>
      </c>
      <c r="CZ188" s="62">
        <f t="shared" si="150"/>
        <v>272.71831345325313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4.6393645802696355</v>
      </c>
      <c r="DH188" s="23">
        <f>EXP(-LN(2)/2)*DH187+(1-EXP(-LN(2)/2))/(LN(2)/2)*DB188*DE188*VLOOKUP('Données projet'!$B$13,Paramètres!$A$1:$I$89,3,0)*0.475*44/12</f>
        <v>2.5928524781527853E-18</v>
      </c>
      <c r="DI188" s="24">
        <f t="shared" si="175"/>
        <v>4.6393645802696355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423.0896575168394</v>
      </c>
      <c r="DU188" s="62">
        <f t="shared" si="152"/>
        <v>305.98537395014284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19.052311533682555</v>
      </c>
      <c r="EB188" s="23">
        <f>EXP(-LN(2)/25)*EB187+(1-EXP(-LN(2)/25))/(LN(2)/25)*Calculateur!DW188*Calculateur!DY188*VLOOKUP('Données projet'!$B$14,Paramètres!$A$1:$I$89,3,0)*0.475*44/12</f>
        <v>9.7327365147888756</v>
      </c>
      <c r="EC188" s="23">
        <f>EXP(-LN(2)/2)*EC187+(1-EXP(-LN(2)/2))/(LN(2)/2)*DW188*DZ188*VLOOKUP('Données projet'!$B$14,Paramètres!$A$1:$I$89,3,0)*0.475*44/12</f>
        <v>5.0833663069688744E-19</v>
      </c>
      <c r="ED188" s="24">
        <f t="shared" si="178"/>
        <v>28.785048048471431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2.2737367544323206E-13</v>
      </c>
      <c r="EK188" s="18">
        <f>EJ188*VLOOKUP('Données projet'!$B$15,Paramètres!$A$1:$I$89,3,0)*VLOOKUP('Données projet'!$B$15,Paramètres!$A$1:$I$89,5,0)</f>
        <v>1.3596945791505279E-13</v>
      </c>
      <c r="EL188" s="14">
        <f t="shared" si="179"/>
        <v>1.9708830566360721E-12</v>
      </c>
      <c r="EM188" s="22">
        <f t="shared" si="180"/>
        <v>3.669434796176543E-12</v>
      </c>
      <c r="EN188" s="62">
        <f t="shared" si="128"/>
        <v>289.73432332845744</v>
      </c>
      <c r="EO188" s="62">
        <f ca="1">AVERAGE(OFFSET($EN$3,0,0,'Données projet'!$E$15+1,1))-AVERAGE(OFFSET($H$3,0,0,'Données projet'!$E$15+1,1))</f>
        <v>281.21543175875604</v>
      </c>
      <c r="EP188" s="62">
        <f t="shared" si="154"/>
        <v>366.68536296857428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8.0323768039687771</v>
      </c>
      <c r="EW188" s="23">
        <f>EXP(-LN(2)/25)*EW187+(1-EXP(-LN(2)/25))/(LN(2)/25)*Calculateur!ER188*Calculateur!ET188*VLOOKUP('Données projet'!$B$15,Paramètres!$A$1:$I$89,3,0)*0.475*44/12</f>
        <v>1.0102614369801457</v>
      </c>
      <c r="EX188" s="23">
        <f>EXP(-LN(2)/2)*EX187+(1-EXP(-LN(2)/2))/(LN(2)/2)*ER188*EU188*VLOOKUP('Données projet'!$B$15,Paramètres!$A$1:$I$89,3,0)*0.475*44/12</f>
        <v>7.9992631743760929E-19</v>
      </c>
      <c r="EY188" s="24">
        <f t="shared" si="181"/>
        <v>9.0426382409489232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2.2737367544323206E-13</v>
      </c>
      <c r="FF188" s="18">
        <f>FE188*VLOOKUP('Données projet'!$B$16,Paramètres!$A$1:$I$89,3,0)*VLOOKUP('Données projet'!$B$16,Paramètres!$A$1:$I$89,5,0)</f>
        <v>1.2710188457276673E-13</v>
      </c>
      <c r="FG188" s="14">
        <f t="shared" si="182"/>
        <v>1.856866851063998E-12</v>
      </c>
      <c r="FH188" s="22">
        <f t="shared" si="183"/>
        <v>3.4554122145673649E-12</v>
      </c>
      <c r="FI188" s="62">
        <f t="shared" si="131"/>
        <v>289.73432332845721</v>
      </c>
      <c r="FJ188" s="62">
        <f ca="1">AVERAGE(OFFSET($FI$3,0,0,'Données projet'!$E$16+1,1))-AVERAGE(OFFSET($H$3,0,0,'Données projet'!$E$16+1,1))</f>
        <v>280.9225643428145</v>
      </c>
      <c r="FK188" s="62">
        <f t="shared" si="156"/>
        <v>236.89414218053955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25.126985135437494</v>
      </c>
      <c r="FR188" s="23">
        <f>EXP(-LN(2)/25)*FR187+(1-EXP(-LN(2)/25))/(LN(2)/25)*Calculateur!FM188*Calculateur!FO188*VLOOKUP('Données projet'!$B$16,Paramètres!$A$1:$I$89,3,0)*0.475*44/12</f>
        <v>3.2333883073177394</v>
      </c>
      <c r="FS188" s="23">
        <f>EXP(-LN(2)/2)*FS187+(1-EXP(-LN(2)/2))/(LN(2)/2)*FM188*FP188*VLOOKUP('Données projet'!$B$16,Paramètres!$A$1:$I$89,3,0)*0.475*44/12</f>
        <v>2.105693878896806E-20</v>
      </c>
      <c r="FT188" s="24">
        <f t="shared" si="184"/>
        <v>28.360373442755233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-5.6843418860808015E-13</v>
      </c>
      <c r="GA188" s="18">
        <f>FZ188*VLOOKUP('Données projet'!$B$17,Paramètres!$A$1:$I$89,3,0)*VLOOKUP('Données projet'!$B$17,Paramètres!$A$1:$I$89,5,0)</f>
        <v>-2.5124791136477147E-13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325.67421864225201</v>
      </c>
      <c r="GF188" s="62">
        <f t="shared" si="158"/>
        <v>542.01920418736745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16.261935051233671</v>
      </c>
      <c r="GM188" s="23">
        <f>EXP(-LN(2)/25)*GM187+(1-EXP(-LN(2)/25))/(LN(2)/25)*Calculateur!GH188*Calculateur!GJ188*VLOOKUP('Données projet'!$B$17,Paramètres!$A$1:$I$89,3,0)*0.475*44/12</f>
        <v>3.7894980601385204</v>
      </c>
      <c r="GN188" s="23">
        <f>EXP(-LN(2)/2)*GN187+(1-EXP(-LN(2)/2))/(LN(2)/2)*GH188*GK188*VLOOKUP('Données projet'!$B$17,Paramètres!$A$1:$I$89,3,0)*0.475*44/12</f>
        <v>2.1447124792738419E-20</v>
      </c>
      <c r="GO188" s="23">
        <f t="shared" si="187"/>
        <v>20.051433111372191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-2.5579538487363607E-13</v>
      </c>
      <c r="GV188" s="18">
        <f>GU188*VLOOKUP('Données projet'!$B$18,Paramètres!$A$1:$I$89,3,0)*VLOOKUP('Données projet'!$B$18,Paramètres!$A$1:$I$89,5,0)</f>
        <v>-2.5937652026186701E-13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220.89224520315713</v>
      </c>
      <c r="HA188" s="62">
        <f t="shared" si="160"/>
        <v>141.82763623159096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-2.8421709430404007E-14</v>
      </c>
      <c r="O189" s="14">
        <f>N189*VLOOKUP('Données projet'!$B$9,Paramètres!$A$1:$I$89,3,0)*VLOOKUP('Données projet'!$B$9,Paramètres!$A$1:$I$89,5,0)</f>
        <v>-2.7489477361086758E-14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84.959354125980269</v>
      </c>
      <c r="T189" s="62">
        <f t="shared" si="142"/>
        <v>89.658970210276806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0.62438973502805994</v>
      </c>
      <c r="AB189" s="23">
        <f>EXP(-LN(2)/2)*AB188+(1-EXP(-LN(2)/2))/(LN(2)/2)*V189*Y189*VLOOKUP('Données projet'!$B$9,Paramètres!$A$1:$I$89,3,0)*0.475*44/12</f>
        <v>1.1349153209944207E-17</v>
      </c>
      <c r="AC189" s="24">
        <f t="shared" si="163"/>
        <v>0.62438973502805994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-1.1368683772161603E-12</v>
      </c>
      <c r="AJ189" s="14">
        <f>AI189*VLOOKUP('Données projet'!$B$10,Paramètres!$A$1:$I$89,3,0)*VLOOKUP('Données projet'!$B$10,Paramètres!$A$1:$I$89,5,0)</f>
        <v>-1.0818439477588981E-12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592.76231355549089</v>
      </c>
      <c r="AO189" s="62">
        <f t="shared" si="144"/>
        <v>200.66895551079014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85.986741251193166</v>
      </c>
      <c r="AV189" s="23">
        <f>EXP(-LN(2)/25)*AV188+(1-EXP(-LN(2)/25))/(LN(2)/25)*Calculateur!AQ189*Calculateur!AS189*VLOOKUP('Données projet'!$B$10,Paramètres!$A$1:$I$89,3,0)*0.475*44/12</f>
        <v>16.42725191603969</v>
      </c>
      <c r="AW189" s="23">
        <f>EXP(-LN(2)/2)*AW188+(1-EXP(-LN(2)/2))/(LN(2)/2)*AQ189*AT189*VLOOKUP('Données projet'!$B$10,Paramètres!$A$1:$I$89,3,0)*0.475*44/12</f>
        <v>1.3942088401450489E-18</v>
      </c>
      <c r="AX189" s="23">
        <f t="shared" si="166"/>
        <v>102.41399316723286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-2.0572770154103635E-13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316.71836722354374</v>
      </c>
      <c r="BJ189" s="62">
        <f t="shared" si="146"/>
        <v>164.34067012996618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48.710472365215857</v>
      </c>
      <c r="BQ189" s="23">
        <f>EXP(-LN(2)/25)*BQ188+(1-EXP(-LN(2)/25))/(LN(2)/25)*Calculateur!BL189*Calculateur!BN189*VLOOKUP('Données projet'!$B$11,Paramètres!$A$1:$I$89,3,0)*0.475*44/12</f>
        <v>0.6392990550084694</v>
      </c>
      <c r="BR189" s="23">
        <f>EXP(-LN(2)/2)*BR188+(1-EXP(-LN(2)/2))/(LN(2)/2)*BL189*BO189*VLOOKUP('Données projet'!$B$11,Paramètres!$A$1:$I$89,3,0)*0.475*44/12</f>
        <v>9.0073342428540991E-20</v>
      </c>
      <c r="BS189" s="24">
        <f t="shared" si="169"/>
        <v>49.349771420224329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2.8421709430404007E-14</v>
      </c>
      <c r="BZ189" s="14">
        <f>BY189*VLOOKUP('Données projet'!$B$12,Paramètres!$A$1:$I$89,3,0)*VLOOKUP('Données projet'!$B$12,Paramètres!$A$1:$I$89,5,0)</f>
        <v>3.2366642699344085E-14</v>
      </c>
      <c r="CA189" s="14">
        <f t="shared" si="170"/>
        <v>5.5446527398450045E-13</v>
      </c>
      <c r="CB189" s="22">
        <f t="shared" si="171"/>
        <v>1.0220655882243624E-12</v>
      </c>
      <c r="CC189" s="62">
        <f t="shared" si="119"/>
        <v>289.79675810585843</v>
      </c>
      <c r="CD189" s="62">
        <f ca="1">AVERAGE(OFFSET($CC$3,0,0,'Données projet'!$E$12+1,1))-AVERAGE(OFFSET($H$3,0,0,'Données projet'!$E$12+1,1))</f>
        <v>454.9779384236806</v>
      </c>
      <c r="CE189" s="62">
        <f t="shared" si="148"/>
        <v>379.32753348721906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20.838742915764282</v>
      </c>
      <c r="CL189" s="23">
        <f>EXP(-LN(2)/25)*CL188+(1-EXP(-LN(2)/25))/(LN(2)/25)*Calculateur!CG189*Calculateur!CI189*VLOOKUP('Données projet'!$B$12,Paramètres!$A$1:$I$89,3,0)*0.475*44/12</f>
        <v>5.0059359076987535</v>
      </c>
      <c r="CM189" s="23">
        <f>EXP(-LN(2)/2)*CM188+(1-EXP(-LN(2)/2))/(LN(2)/2)*CG189*CJ189*VLOOKUP('Données projet'!$B$12,Paramètres!$A$1:$I$89,3,0)*0.475*44/12</f>
        <v>1.4115639014593354E-14</v>
      </c>
      <c r="CN189" s="24">
        <f t="shared" si="172"/>
        <v>25.844678823463049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252.10592533338991</v>
      </c>
      <c r="CZ189" s="62">
        <f t="shared" si="150"/>
        <v>272.71831345325313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4.5125009118485826</v>
      </c>
      <c r="DH189" s="23">
        <f>EXP(-LN(2)/2)*DH188+(1-EXP(-LN(2)/2))/(LN(2)/2)*DB189*DE189*VLOOKUP('Données projet'!$B$13,Paramètres!$A$1:$I$89,3,0)*0.475*44/12</f>
        <v>1.8334235699181791E-18</v>
      </c>
      <c r="DI189" s="24">
        <f t="shared" si="175"/>
        <v>4.5125009118485826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423.0896575168394</v>
      </c>
      <c r="DU189" s="62">
        <f t="shared" si="152"/>
        <v>305.98537395014284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18.67870732526962</v>
      </c>
      <c r="EB189" s="23">
        <f>EXP(-LN(2)/25)*EB188+(1-EXP(-LN(2)/25))/(LN(2)/25)*Calculateur!DW189*Calculateur!DY189*VLOOKUP('Données projet'!$B$14,Paramètres!$A$1:$I$89,3,0)*0.475*44/12</f>
        <v>9.4665943229696055</v>
      </c>
      <c r="EC189" s="23">
        <f>EXP(-LN(2)/2)*EC188+(1-EXP(-LN(2)/2))/(LN(2)/2)*DW189*DZ189*VLOOKUP('Données projet'!$B$14,Paramètres!$A$1:$I$89,3,0)*0.475*44/12</f>
        <v>3.5944827869129081E-19</v>
      </c>
      <c r="ED189" s="24">
        <f t="shared" si="178"/>
        <v>28.145301648239226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2.2737367544323206E-13</v>
      </c>
      <c r="EK189" s="18">
        <f>EJ189*VLOOKUP('Données projet'!$B$15,Paramètres!$A$1:$I$89,3,0)*VLOOKUP('Données projet'!$B$15,Paramètres!$A$1:$I$89,5,0)</f>
        <v>1.3596945791505279E-13</v>
      </c>
      <c r="EL189" s="14">
        <f t="shared" si="179"/>
        <v>1.9708830566360721E-12</v>
      </c>
      <c r="EM189" s="22">
        <f t="shared" si="180"/>
        <v>3.669434796176543E-12</v>
      </c>
      <c r="EN189" s="62">
        <f t="shared" si="128"/>
        <v>289.7967581058611</v>
      </c>
      <c r="EO189" s="62">
        <f ca="1">AVERAGE(OFFSET($EN$3,0,0,'Données projet'!$E$15+1,1))-AVERAGE(OFFSET($H$3,0,0,'Données projet'!$E$15+1,1))</f>
        <v>281.21543175875604</v>
      </c>
      <c r="EP189" s="62">
        <f t="shared" si="154"/>
        <v>366.68536296857428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7.8748667941090371</v>
      </c>
      <c r="EW189" s="23">
        <f>EXP(-LN(2)/25)*EW188+(1-EXP(-LN(2)/25))/(LN(2)/25)*Calculateur!ER189*Calculateur!ET189*VLOOKUP('Données projet'!$B$15,Paramètres!$A$1:$I$89,3,0)*0.475*44/12</f>
        <v>0.98263578485858361</v>
      </c>
      <c r="EX189" s="23">
        <f>EXP(-LN(2)/2)*EX188+(1-EXP(-LN(2)/2))/(LN(2)/2)*ER189*EU189*VLOOKUP('Données projet'!$B$15,Paramètres!$A$1:$I$89,3,0)*0.475*44/12</f>
        <v>5.6563332350971634E-19</v>
      </c>
      <c r="EY189" s="24">
        <f t="shared" si="181"/>
        <v>8.8575025789676207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2.2737367544323206E-13</v>
      </c>
      <c r="FF189" s="18">
        <f>FE189*VLOOKUP('Données projet'!$B$16,Paramètres!$A$1:$I$89,3,0)*VLOOKUP('Données projet'!$B$16,Paramètres!$A$1:$I$89,5,0)</f>
        <v>1.2710188457276673E-13</v>
      </c>
      <c r="FG189" s="14">
        <f t="shared" si="182"/>
        <v>1.856866851063998E-12</v>
      </c>
      <c r="FH189" s="22">
        <f t="shared" si="183"/>
        <v>3.4554122145673649E-12</v>
      </c>
      <c r="FI189" s="62">
        <f t="shared" si="131"/>
        <v>289.79675810586087</v>
      </c>
      <c r="FJ189" s="62">
        <f ca="1">AVERAGE(OFFSET($FI$3,0,0,'Données projet'!$E$16+1,1))-AVERAGE(OFFSET($H$3,0,0,'Données projet'!$E$16+1,1))</f>
        <v>280.9225643428145</v>
      </c>
      <c r="FK189" s="62">
        <f t="shared" si="156"/>
        <v>236.89414218053955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24.634260282879186</v>
      </c>
      <c r="FR189" s="23">
        <f>EXP(-LN(2)/25)*FR188+(1-EXP(-LN(2)/25))/(LN(2)/25)*Calculateur!FM189*Calculateur!FO189*VLOOKUP('Données projet'!$B$16,Paramètres!$A$1:$I$89,3,0)*0.475*44/12</f>
        <v>3.1449711340176347</v>
      </c>
      <c r="FS189" s="23">
        <f>EXP(-LN(2)/2)*FS188+(1-EXP(-LN(2)/2))/(LN(2)/2)*FM189*FP189*VLOOKUP('Données projet'!$B$16,Paramètres!$A$1:$I$89,3,0)*0.475*44/12</f>
        <v>1.4889504208709363E-20</v>
      </c>
      <c r="FT189" s="24">
        <f t="shared" si="184"/>
        <v>27.77923141689682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-5.6843418860808015E-13</v>
      </c>
      <c r="GA189" s="18">
        <f>FZ189*VLOOKUP('Données projet'!$B$17,Paramètres!$A$1:$I$89,3,0)*VLOOKUP('Données projet'!$B$17,Paramètres!$A$1:$I$89,5,0)</f>
        <v>-2.5124791136477147E-13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325.67421864225201</v>
      </c>
      <c r="GF189" s="62">
        <f t="shared" si="158"/>
        <v>542.01920418736745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15.94304842367996</v>
      </c>
      <c r="GM189" s="23">
        <f>EXP(-LN(2)/25)*GM188+(1-EXP(-LN(2)/25))/(LN(2)/25)*Calculateur!GH189*Calculateur!GJ189*VLOOKUP('Données projet'!$B$17,Paramètres!$A$1:$I$89,3,0)*0.475*44/12</f>
        <v>3.6858740364029905</v>
      </c>
      <c r="GN189" s="23">
        <f>EXP(-LN(2)/2)*GN188+(1-EXP(-LN(2)/2))/(LN(2)/2)*GH189*GK189*VLOOKUP('Données projet'!$B$17,Paramètres!$A$1:$I$89,3,0)*0.475*44/12</f>
        <v>1.5165407377899463E-20</v>
      </c>
      <c r="GO189" s="23">
        <f t="shared" si="187"/>
        <v>19.628922460082951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-2.5579538487363607E-13</v>
      </c>
      <c r="GV189" s="18">
        <f>GU189*VLOOKUP('Données projet'!$B$18,Paramètres!$A$1:$I$89,3,0)*VLOOKUP('Données projet'!$B$18,Paramètres!$A$1:$I$89,5,0)</f>
        <v>-2.5937652026186701E-13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220.89224520315713</v>
      </c>
      <c r="HA189" s="62">
        <f t="shared" si="160"/>
        <v>141.82763623159096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-2.8421709430404007E-14</v>
      </c>
      <c r="O190" s="14">
        <f>N190*VLOOKUP('Données projet'!$B$9,Paramètres!$A$1:$I$89,3,0)*VLOOKUP('Données projet'!$B$9,Paramètres!$A$1:$I$89,5,0)</f>
        <v>-2.7489477361086758E-14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84.959354125980269</v>
      </c>
      <c r="T190" s="62">
        <f t="shared" si="142"/>
        <v>89.658970210276806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0.6073157648884886</v>
      </c>
      <c r="AB190" s="23">
        <f>EXP(-LN(2)/2)*AB189+(1-EXP(-LN(2)/2))/(LN(2)/2)*V190*Y190*VLOOKUP('Données projet'!$B$9,Paramètres!$A$1:$I$89,3,0)*0.475*44/12</f>
        <v>8.0250631954766217E-18</v>
      </c>
      <c r="AC190" s="24">
        <f t="shared" si="163"/>
        <v>0.6073157648884886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-1.1368683772161603E-12</v>
      </c>
      <c r="AJ190" s="14">
        <f>AI190*VLOOKUP('Données projet'!$B$10,Paramètres!$A$1:$I$89,3,0)*VLOOKUP('Données projet'!$B$10,Paramètres!$A$1:$I$89,5,0)</f>
        <v>-1.0818439477588981E-12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592.76231355549089</v>
      </c>
      <c r="AO190" s="62">
        <f t="shared" si="144"/>
        <v>200.66895551079014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84.300593701990749</v>
      </c>
      <c r="AV190" s="23">
        <f>EXP(-LN(2)/25)*AV189+(1-EXP(-LN(2)/25))/(LN(2)/25)*Calculateur!AQ190*Calculateur!AS190*VLOOKUP('Données projet'!$B$10,Paramètres!$A$1:$I$89,3,0)*0.475*44/12</f>
        <v>15.978047848523952</v>
      </c>
      <c r="AW190" s="23">
        <f>EXP(-LN(2)/2)*AW189+(1-EXP(-LN(2)/2))/(LN(2)/2)*AQ190*AT190*VLOOKUP('Données projet'!$B$10,Paramètres!$A$1:$I$89,3,0)*0.475*44/12</f>
        <v>9.8585452525679528E-19</v>
      </c>
      <c r="AX190" s="23">
        <f t="shared" si="166"/>
        <v>100.27864155051471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-2.0572770154103635E-13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316.71836722354374</v>
      </c>
      <c r="BJ190" s="62">
        <f t="shared" si="146"/>
        <v>164.34067012996618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47.75528971258845</v>
      </c>
      <c r="BQ190" s="23">
        <f>EXP(-LN(2)/25)*BQ189+(1-EXP(-LN(2)/25))/(LN(2)/25)*Calculateur!BL190*Calculateur!BN190*VLOOKUP('Données projet'!$B$11,Paramètres!$A$1:$I$89,3,0)*0.475*44/12</f>
        <v>0.6218173887299866</v>
      </c>
      <c r="BR190" s="23">
        <f>EXP(-LN(2)/2)*BR189+(1-EXP(-LN(2)/2))/(LN(2)/2)*BL190*BO190*VLOOKUP('Données projet'!$B$11,Paramètres!$A$1:$I$89,3,0)*0.475*44/12</f>
        <v>6.3691471235359301E-20</v>
      </c>
      <c r="BS190" s="24">
        <f t="shared" si="169"/>
        <v>48.377107101318437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2.8421709430404007E-14</v>
      </c>
      <c r="BZ190" s="14">
        <f>BY190*VLOOKUP('Données projet'!$B$12,Paramètres!$A$1:$I$89,3,0)*VLOOKUP('Données projet'!$B$12,Paramètres!$A$1:$I$89,5,0)</f>
        <v>3.2366642699344085E-14</v>
      </c>
      <c r="CA190" s="14">
        <f t="shared" si="170"/>
        <v>5.5446527398450045E-13</v>
      </c>
      <c r="CB190" s="22">
        <f t="shared" si="171"/>
        <v>1.0220655882243624E-12</v>
      </c>
      <c r="CC190" s="62">
        <f t="shared" si="119"/>
        <v>289.85810977945744</v>
      </c>
      <c r="CD190" s="62">
        <f ca="1">AVERAGE(OFFSET($CC$3,0,0,'Données projet'!$E$12+1,1))-AVERAGE(OFFSET($H$3,0,0,'Données projet'!$E$12+1,1))</f>
        <v>454.9779384236806</v>
      </c>
      <c r="CE190" s="62">
        <f t="shared" si="148"/>
        <v>379.32753348721906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20.430107877564279</v>
      </c>
      <c r="CL190" s="23">
        <f>EXP(-LN(2)/25)*CL189+(1-EXP(-LN(2)/25))/(LN(2)/25)*Calculateur!CG190*Calculateur!CI190*VLOOKUP('Données projet'!$B$12,Paramètres!$A$1:$I$89,3,0)*0.475*44/12</f>
        <v>4.8690483270520026</v>
      </c>
      <c r="CM190" s="23">
        <f>EXP(-LN(2)/2)*CM189+(1-EXP(-LN(2)/2))/(LN(2)/2)*CG190*CJ190*VLOOKUP('Données projet'!$B$12,Paramètres!$A$1:$I$89,3,0)*0.475*44/12</f>
        <v>9.9812640680003576E-15</v>
      </c>
      <c r="CN190" s="24">
        <f t="shared" si="172"/>
        <v>25.299156204616292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252.10592533338991</v>
      </c>
      <c r="CZ190" s="62">
        <f t="shared" si="150"/>
        <v>272.71831345325313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4.3891063371119738</v>
      </c>
      <c r="DH190" s="23">
        <f>EXP(-LN(2)/2)*DH189+(1-EXP(-LN(2)/2))/(LN(2)/2)*DB190*DE190*VLOOKUP('Données projet'!$B$13,Paramètres!$A$1:$I$89,3,0)*0.475*44/12</f>
        <v>1.2964262390763927E-18</v>
      </c>
      <c r="DI190" s="24">
        <f t="shared" si="175"/>
        <v>4.3891063371119738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423.0896575168394</v>
      </c>
      <c r="DU190" s="62">
        <f t="shared" si="152"/>
        <v>305.98537395014284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18.312429267507596</v>
      </c>
      <c r="EB190" s="23">
        <f>EXP(-LN(2)/25)*EB189+(1-EXP(-LN(2)/25))/(LN(2)/25)*Calculateur!DW190*Calculateur!DY190*VLOOKUP('Données projet'!$B$14,Paramètres!$A$1:$I$89,3,0)*0.475*44/12</f>
        <v>9.2077298033814419</v>
      </c>
      <c r="EC190" s="23">
        <f>EXP(-LN(2)/2)*EC189+(1-EXP(-LN(2)/2))/(LN(2)/2)*DW190*DZ190*VLOOKUP('Données projet'!$B$14,Paramètres!$A$1:$I$89,3,0)*0.475*44/12</f>
        <v>2.5416831534844372E-19</v>
      </c>
      <c r="ED190" s="24">
        <f t="shared" si="178"/>
        <v>27.520159070889036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2.2737367544323206E-13</v>
      </c>
      <c r="EK190" s="18">
        <f>EJ190*VLOOKUP('Données projet'!$B$15,Paramètres!$A$1:$I$89,3,0)*VLOOKUP('Données projet'!$B$15,Paramètres!$A$1:$I$89,5,0)</f>
        <v>1.3596945791505279E-13</v>
      </c>
      <c r="EL190" s="14">
        <f t="shared" si="179"/>
        <v>1.9708830566360721E-12</v>
      </c>
      <c r="EM190" s="22">
        <f t="shared" si="180"/>
        <v>3.669434796176543E-12</v>
      </c>
      <c r="EN190" s="62">
        <f t="shared" si="128"/>
        <v>289.85810977946011</v>
      </c>
      <c r="EO190" s="62">
        <f ca="1">AVERAGE(OFFSET($EN$3,0,0,'Données projet'!$E$15+1,1))-AVERAGE(OFFSET($H$3,0,0,'Données projet'!$E$15+1,1))</f>
        <v>281.21543175875604</v>
      </c>
      <c r="EP190" s="62">
        <f t="shared" si="154"/>
        <v>366.68536296857428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7.7204454594710272</v>
      </c>
      <c r="EW190" s="23">
        <f>EXP(-LN(2)/25)*EW189+(1-EXP(-LN(2)/25))/(LN(2)/25)*Calculateur!ER190*Calculateur!ET190*VLOOKUP('Données projet'!$B$15,Paramètres!$A$1:$I$89,3,0)*0.475*44/12</f>
        <v>0.95576555764705551</v>
      </c>
      <c r="EX190" s="23">
        <f>EXP(-LN(2)/2)*EX189+(1-EXP(-LN(2)/2))/(LN(2)/2)*ER190*EU190*VLOOKUP('Données projet'!$B$15,Paramètres!$A$1:$I$89,3,0)*0.475*44/12</f>
        <v>3.9996315871880464E-19</v>
      </c>
      <c r="EY190" s="24">
        <f t="shared" si="181"/>
        <v>8.6762110171180833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2.2737367544323206E-13</v>
      </c>
      <c r="FF190" s="18">
        <f>FE190*VLOOKUP('Données projet'!$B$16,Paramètres!$A$1:$I$89,3,0)*VLOOKUP('Données projet'!$B$16,Paramètres!$A$1:$I$89,5,0)</f>
        <v>1.2710188457276673E-13</v>
      </c>
      <c r="FG190" s="14">
        <f t="shared" si="182"/>
        <v>1.856866851063998E-12</v>
      </c>
      <c r="FH190" s="22">
        <f t="shared" si="183"/>
        <v>3.4554122145673649E-12</v>
      </c>
      <c r="FI190" s="62">
        <f t="shared" si="131"/>
        <v>289.85810977945988</v>
      </c>
      <c r="FJ190" s="62">
        <f ca="1">AVERAGE(OFFSET($FI$3,0,0,'Données projet'!$E$16+1,1))-AVERAGE(OFFSET($H$3,0,0,'Données projet'!$E$16+1,1))</f>
        <v>280.9225643428145</v>
      </c>
      <c r="FK190" s="62">
        <f t="shared" si="156"/>
        <v>236.89414218053955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24.15119746414706</v>
      </c>
      <c r="FR190" s="23">
        <f>EXP(-LN(2)/25)*FR189+(1-EXP(-LN(2)/25))/(LN(2)/25)*Calculateur!FM190*Calculateur!FO190*VLOOKUP('Données projet'!$B$16,Paramètres!$A$1:$I$89,3,0)*0.475*44/12</f>
        <v>3.0589717329710786</v>
      </c>
      <c r="FS190" s="23">
        <f>EXP(-LN(2)/2)*FS189+(1-EXP(-LN(2)/2))/(LN(2)/2)*FM190*FP190*VLOOKUP('Données projet'!$B$16,Paramètres!$A$1:$I$89,3,0)*0.475*44/12</f>
        <v>1.052846939448403E-20</v>
      </c>
      <c r="FT190" s="24">
        <f t="shared" si="184"/>
        <v>27.210169197118137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-5.6843418860808015E-13</v>
      </c>
      <c r="GA190" s="18">
        <f>FZ190*VLOOKUP('Données projet'!$B$17,Paramètres!$A$1:$I$89,3,0)*VLOOKUP('Données projet'!$B$17,Paramètres!$A$1:$I$89,5,0)</f>
        <v>-2.5124791136477147E-13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325.67421864225201</v>
      </c>
      <c r="GF190" s="62">
        <f t="shared" si="158"/>
        <v>542.01920418736745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15.630414968390939</v>
      </c>
      <c r="GM190" s="23">
        <f>EXP(-LN(2)/25)*GM189+(1-EXP(-LN(2)/25))/(LN(2)/25)*Calculateur!GH190*Calculateur!GJ190*VLOOKUP('Données projet'!$B$17,Paramètres!$A$1:$I$89,3,0)*0.475*44/12</f>
        <v>3.5850836170458593</v>
      </c>
      <c r="GN190" s="23">
        <f>EXP(-LN(2)/2)*GN189+(1-EXP(-LN(2)/2))/(LN(2)/2)*GH190*GK190*VLOOKUP('Données projet'!$B$17,Paramètres!$A$1:$I$89,3,0)*0.475*44/12</f>
        <v>1.072356239636921E-20</v>
      </c>
      <c r="GO190" s="23">
        <f t="shared" si="187"/>
        <v>19.215498585436798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-2.5579538487363607E-13</v>
      </c>
      <c r="GV190" s="18">
        <f>GU190*VLOOKUP('Données projet'!$B$18,Paramètres!$A$1:$I$89,3,0)*VLOOKUP('Données projet'!$B$18,Paramètres!$A$1:$I$89,5,0)</f>
        <v>-2.5937652026186701E-13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220.89224520315713</v>
      </c>
      <c r="HA190" s="62">
        <f t="shared" si="160"/>
        <v>141.82763623159096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-2.8421709430404007E-14</v>
      </c>
      <c r="O191" s="14">
        <f>N191*VLOOKUP('Données projet'!$B$9,Paramètres!$A$1:$I$89,3,0)*VLOOKUP('Données projet'!$B$9,Paramètres!$A$1:$I$89,5,0)</f>
        <v>-2.7489477361086758E-14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84.959354125980269</v>
      </c>
      <c r="T191" s="62">
        <f t="shared" si="142"/>
        <v>89.658970210276806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0.59070868336026483</v>
      </c>
      <c r="AB191" s="23">
        <f>EXP(-LN(2)/2)*AB190+(1-EXP(-LN(2)/2))/(LN(2)/2)*V191*Y191*VLOOKUP('Données projet'!$B$9,Paramètres!$A$1:$I$89,3,0)*0.475*44/12</f>
        <v>5.6745766049721034E-18</v>
      </c>
      <c r="AC191" s="24">
        <f t="shared" si="163"/>
        <v>0.59070868336026483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-1.1368683772161603E-12</v>
      </c>
      <c r="AJ191" s="14">
        <f>AI191*VLOOKUP('Données projet'!$B$10,Paramètres!$A$1:$I$89,3,0)*VLOOKUP('Données projet'!$B$10,Paramètres!$A$1:$I$89,5,0)</f>
        <v>-1.0818439477588981E-12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592.76231355549089</v>
      </c>
      <c r="AO191" s="62">
        <f t="shared" si="144"/>
        <v>200.66895551079014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82.647510477779733</v>
      </c>
      <c r="AV191" s="23">
        <f>EXP(-LN(2)/25)*AV190+(1-EXP(-LN(2)/25))/(LN(2)/25)*Calculateur!AQ191*Calculateur!AS191*VLOOKUP('Données projet'!$B$10,Paramètres!$A$1:$I$89,3,0)*0.475*44/12</f>
        <v>15.541127289857046</v>
      </c>
      <c r="AW191" s="23">
        <f>EXP(-LN(2)/2)*AW190+(1-EXP(-LN(2)/2))/(LN(2)/2)*AQ191*AT191*VLOOKUP('Données projet'!$B$10,Paramètres!$A$1:$I$89,3,0)*0.475*44/12</f>
        <v>6.9710442007252444E-19</v>
      </c>
      <c r="AX191" s="23">
        <f t="shared" si="166"/>
        <v>98.188637767636777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-2.0572770154103635E-13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316.71836722354374</v>
      </c>
      <c r="BJ191" s="62">
        <f t="shared" si="146"/>
        <v>164.34067012996618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46.818837609175176</v>
      </c>
      <c r="BQ191" s="23">
        <f>EXP(-LN(2)/25)*BQ190+(1-EXP(-LN(2)/25))/(LN(2)/25)*Calculateur!BL191*Calculateur!BN191*VLOOKUP('Données projet'!$B$11,Paramètres!$A$1:$I$89,3,0)*0.475*44/12</f>
        <v>0.60481375953520977</v>
      </c>
      <c r="BR191" s="23">
        <f>EXP(-LN(2)/2)*BR190+(1-EXP(-LN(2)/2))/(LN(2)/2)*BL191*BO191*VLOOKUP('Données projet'!$B$11,Paramètres!$A$1:$I$89,3,0)*0.475*44/12</f>
        <v>4.5036671214270495E-20</v>
      </c>
      <c r="BS191" s="24">
        <f t="shared" si="169"/>
        <v>47.423651368710388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2.8421709430404007E-14</v>
      </c>
      <c r="BZ191" s="14">
        <f>BY191*VLOOKUP('Données projet'!$B$12,Paramètres!$A$1:$I$89,3,0)*VLOOKUP('Données projet'!$B$12,Paramètres!$A$1:$I$89,5,0)</f>
        <v>3.2366642699344085E-14</v>
      </c>
      <c r="CA191" s="14">
        <f t="shared" si="170"/>
        <v>5.5446527398450045E-13</v>
      </c>
      <c r="CB191" s="22">
        <f t="shared" si="171"/>
        <v>1.0220655882243624E-12</v>
      </c>
      <c r="CC191" s="62">
        <f t="shared" si="119"/>
        <v>289.91839713868126</v>
      </c>
      <c r="CD191" s="62">
        <f ca="1">AVERAGE(OFFSET($CC$3,0,0,'Données projet'!$E$12+1,1))-AVERAGE(OFFSET($H$3,0,0,'Données projet'!$E$12+1,1))</f>
        <v>454.9779384236806</v>
      </c>
      <c r="CE191" s="62">
        <f t="shared" si="148"/>
        <v>379.32753348721906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20.029485923220612</v>
      </c>
      <c r="CL191" s="23">
        <f>EXP(-LN(2)/25)*CL190+(1-EXP(-LN(2)/25))/(LN(2)/25)*Calculateur!CG191*Calculateur!CI191*VLOOKUP('Données projet'!$B$12,Paramètres!$A$1:$I$89,3,0)*0.475*44/12</f>
        <v>4.7359039444966422</v>
      </c>
      <c r="CM191" s="23">
        <f>EXP(-LN(2)/2)*CM190+(1-EXP(-LN(2)/2))/(LN(2)/2)*CG191*CJ191*VLOOKUP('Données projet'!$B$12,Paramètres!$A$1:$I$89,3,0)*0.475*44/12</f>
        <v>7.0578195072966787E-15</v>
      </c>
      <c r="CN191" s="24">
        <f t="shared" si="172"/>
        <v>24.765389867717261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252.10592533338991</v>
      </c>
      <c r="CZ191" s="62">
        <f t="shared" si="150"/>
        <v>272.71831345325313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4.2690859935105765</v>
      </c>
      <c r="DH191" s="23">
        <f>EXP(-LN(2)/2)*DH190+(1-EXP(-LN(2)/2))/(LN(2)/2)*DB191*DE191*VLOOKUP('Données projet'!$B$13,Paramètres!$A$1:$I$89,3,0)*0.475*44/12</f>
        <v>9.1671178495908953E-19</v>
      </c>
      <c r="DI191" s="24">
        <f t="shared" si="175"/>
        <v>4.2690859935105765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423.0896575168394</v>
      </c>
      <c r="DU191" s="62">
        <f t="shared" si="152"/>
        <v>305.98537395014284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17.953333699050731</v>
      </c>
      <c r="EB191" s="23">
        <f>EXP(-LN(2)/25)*EB190+(1-EXP(-LN(2)/25))/(LN(2)/25)*Calculateur!DW191*Calculateur!DY191*VLOOKUP('Données projet'!$B$14,Paramètres!$A$1:$I$89,3,0)*0.475*44/12</f>
        <v>8.9559439476945109</v>
      </c>
      <c r="EC191" s="23">
        <f>EXP(-LN(2)/2)*EC190+(1-EXP(-LN(2)/2))/(LN(2)/2)*DW191*DZ191*VLOOKUP('Données projet'!$B$14,Paramètres!$A$1:$I$89,3,0)*0.475*44/12</f>
        <v>1.7972413934564541E-19</v>
      </c>
      <c r="ED191" s="24">
        <f t="shared" si="178"/>
        <v>26.909277646745242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2.2737367544323206E-13</v>
      </c>
      <c r="EK191" s="18">
        <f>EJ191*VLOOKUP('Données projet'!$B$15,Paramètres!$A$1:$I$89,3,0)*VLOOKUP('Données projet'!$B$15,Paramètres!$A$1:$I$89,5,0)</f>
        <v>1.3596945791505279E-13</v>
      </c>
      <c r="EL191" s="14">
        <f t="shared" si="179"/>
        <v>1.9708830566360721E-12</v>
      </c>
      <c r="EM191" s="22">
        <f t="shared" si="180"/>
        <v>3.669434796176543E-12</v>
      </c>
      <c r="EN191" s="62">
        <f t="shared" si="128"/>
        <v>289.91839713868393</v>
      </c>
      <c r="EO191" s="62">
        <f ca="1">AVERAGE(OFFSET($EN$3,0,0,'Données projet'!$E$15+1,1))-AVERAGE(OFFSET($H$3,0,0,'Données projet'!$E$15+1,1))</f>
        <v>281.21543175875604</v>
      </c>
      <c r="EP191" s="62">
        <f t="shared" si="154"/>
        <v>366.68536296857428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7.5690522330175547</v>
      </c>
      <c r="EW191" s="23">
        <f>EXP(-LN(2)/25)*EW190+(1-EXP(-LN(2)/25))/(LN(2)/25)*Calculateur!ER191*Calculateur!ET191*VLOOKUP('Données projet'!$B$15,Paramètres!$A$1:$I$89,3,0)*0.475*44/12</f>
        <v>0.92963009821167053</v>
      </c>
      <c r="EX191" s="23">
        <f>EXP(-LN(2)/2)*EX190+(1-EXP(-LN(2)/2))/(LN(2)/2)*ER191*EU191*VLOOKUP('Données projet'!$B$15,Paramètres!$A$1:$I$89,3,0)*0.475*44/12</f>
        <v>2.8281666175485817E-19</v>
      </c>
      <c r="EY191" s="24">
        <f t="shared" si="181"/>
        <v>8.4986823312292259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2.2737367544323206E-13</v>
      </c>
      <c r="FF191" s="18">
        <f>FE191*VLOOKUP('Données projet'!$B$16,Paramètres!$A$1:$I$89,3,0)*VLOOKUP('Données projet'!$B$16,Paramètres!$A$1:$I$89,5,0)</f>
        <v>1.2710188457276673E-13</v>
      </c>
      <c r="FG191" s="14">
        <f t="shared" si="182"/>
        <v>1.856866851063998E-12</v>
      </c>
      <c r="FH191" s="22">
        <f t="shared" si="183"/>
        <v>3.4554122145673649E-12</v>
      </c>
      <c r="FI191" s="62">
        <f t="shared" si="131"/>
        <v>289.9183971386837</v>
      </c>
      <c r="FJ191" s="62">
        <f ca="1">AVERAGE(OFFSET($FI$3,0,0,'Données projet'!$E$16+1,1))-AVERAGE(OFFSET($H$3,0,0,'Données projet'!$E$16+1,1))</f>
        <v>280.9225643428145</v>
      </c>
      <c r="FK191" s="62">
        <f t="shared" si="156"/>
        <v>236.89414218053955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23.677607212651047</v>
      </c>
      <c r="FR191" s="23">
        <f>EXP(-LN(2)/25)*FR190+(1-EXP(-LN(2)/25))/(LN(2)/25)*Calculateur!FM191*Calculateur!FO191*VLOOKUP('Données projet'!$B$16,Paramètres!$A$1:$I$89,3,0)*0.475*44/12</f>
        <v>2.9753239900686523</v>
      </c>
      <c r="FS191" s="23">
        <f>EXP(-LN(2)/2)*FS190+(1-EXP(-LN(2)/2))/(LN(2)/2)*FM191*FP191*VLOOKUP('Données projet'!$B$16,Paramètres!$A$1:$I$89,3,0)*0.475*44/12</f>
        <v>7.4447521043546814E-21</v>
      </c>
      <c r="FT191" s="24">
        <f t="shared" si="184"/>
        <v>26.652931202719699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-5.6843418860808015E-13</v>
      </c>
      <c r="GA191" s="18">
        <f>FZ191*VLOOKUP('Données projet'!$B$17,Paramètres!$A$1:$I$89,3,0)*VLOOKUP('Données projet'!$B$17,Paramètres!$A$1:$I$89,5,0)</f>
        <v>-2.5124791136477147E-13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325.67421864225201</v>
      </c>
      <c r="GF191" s="62">
        <f t="shared" si="158"/>
        <v>542.01920418736745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15.323912064472557</v>
      </c>
      <c r="GM191" s="23">
        <f>EXP(-LN(2)/25)*GM190+(1-EXP(-LN(2)/25))/(LN(2)/25)*Calculateur!GH191*Calculateur!GJ191*VLOOKUP('Données projet'!$B$17,Paramètres!$A$1:$I$89,3,0)*0.475*44/12</f>
        <v>3.4870493170063868</v>
      </c>
      <c r="GN191" s="23">
        <f>EXP(-LN(2)/2)*GN190+(1-EXP(-LN(2)/2))/(LN(2)/2)*GH191*GK191*VLOOKUP('Données projet'!$B$17,Paramètres!$A$1:$I$89,3,0)*0.475*44/12</f>
        <v>7.5827036889497317E-21</v>
      </c>
      <c r="GO191" s="23">
        <f t="shared" si="187"/>
        <v>18.810961381478943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-2.5579538487363607E-13</v>
      </c>
      <c r="GV191" s="18">
        <f>GU191*VLOOKUP('Données projet'!$B$18,Paramètres!$A$1:$I$89,3,0)*VLOOKUP('Données projet'!$B$18,Paramètres!$A$1:$I$89,5,0)</f>
        <v>-2.5937652026186701E-13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220.89224520315713</v>
      </c>
      <c r="HA191" s="62">
        <f t="shared" si="160"/>
        <v>141.82763623159096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-2.8421709430404007E-14</v>
      </c>
      <c r="O192" s="14">
        <f>N192*VLOOKUP('Données projet'!$B$9,Paramètres!$A$1:$I$89,3,0)*VLOOKUP('Données projet'!$B$9,Paramètres!$A$1:$I$89,5,0)</f>
        <v>-2.7489477361086758E-14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84.959354125980269</v>
      </c>
      <c r="T192" s="62">
        <f t="shared" si="142"/>
        <v>89.658970210276806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0.5745557233497588</v>
      </c>
      <c r="AB192" s="23">
        <f>EXP(-LN(2)/2)*AB191+(1-EXP(-LN(2)/2))/(LN(2)/2)*V192*Y192*VLOOKUP('Données projet'!$B$9,Paramètres!$A$1:$I$89,3,0)*0.475*44/12</f>
        <v>4.0125315977383108E-18</v>
      </c>
      <c r="AC192" s="24">
        <f t="shared" si="163"/>
        <v>0.5745557233497588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-1.1368683772161603E-12</v>
      </c>
      <c r="AJ192" s="14">
        <f>AI192*VLOOKUP('Données projet'!$B$10,Paramètres!$A$1:$I$89,3,0)*VLOOKUP('Données projet'!$B$10,Paramètres!$A$1:$I$89,5,0)</f>
        <v>-1.0818439477588981E-12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592.76231355549089</v>
      </c>
      <c r="AO192" s="62">
        <f t="shared" si="144"/>
        <v>200.66895551079014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81.026843207314286</v>
      </c>
      <c r="AV192" s="23">
        <f>EXP(-LN(2)/25)*AV191+(1-EXP(-LN(2)/25))/(LN(2)/25)*Calculateur!AQ192*Calculateur!AS192*VLOOKUP('Données projet'!$B$10,Paramètres!$A$1:$I$89,3,0)*0.475*44/12</f>
        <v>15.11615434684354</v>
      </c>
      <c r="AW192" s="23">
        <f>EXP(-LN(2)/2)*AW191+(1-EXP(-LN(2)/2))/(LN(2)/2)*AQ192*AT192*VLOOKUP('Données projet'!$B$10,Paramètres!$A$1:$I$89,3,0)*0.475*44/12</f>
        <v>4.9292726262839764E-19</v>
      </c>
      <c r="AX192" s="23">
        <f t="shared" si="166"/>
        <v>96.14299755415783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-2.0572770154103635E-13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316.71836722354374</v>
      </c>
      <c r="BJ192" s="62">
        <f t="shared" si="146"/>
        <v>164.34067012996618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45.900748760330458</v>
      </c>
      <c r="BQ192" s="23">
        <f>EXP(-LN(2)/25)*BQ191+(1-EXP(-LN(2)/25))/(LN(2)/25)*Calculateur!BL192*Calculateur!BN192*VLOOKUP('Données projet'!$B$11,Paramètres!$A$1:$I$89,3,0)*0.475*44/12</f>
        <v>0.58827509547494616</v>
      </c>
      <c r="BR192" s="23">
        <f>EXP(-LN(2)/2)*BR191+(1-EXP(-LN(2)/2))/(LN(2)/2)*BL192*BO192*VLOOKUP('Données projet'!$B$11,Paramètres!$A$1:$I$89,3,0)*0.475*44/12</f>
        <v>3.1845735617679651E-20</v>
      </c>
      <c r="BS192" s="24">
        <f t="shared" si="169"/>
        <v>46.489023855805407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2.8421709430404007E-14</v>
      </c>
      <c r="BZ192" s="14">
        <f>BY192*VLOOKUP('Données projet'!$B$12,Paramètres!$A$1:$I$89,3,0)*VLOOKUP('Données projet'!$B$12,Paramètres!$A$1:$I$89,5,0)</f>
        <v>3.2366642699344085E-14</v>
      </c>
      <c r="CA192" s="14">
        <f t="shared" si="170"/>
        <v>5.5446527398450045E-13</v>
      </c>
      <c r="CB192" s="22">
        <f t="shared" si="171"/>
        <v>1.0220655882243624E-12</v>
      </c>
      <c r="CC192" s="62">
        <f t="shared" si="119"/>
        <v>289.97763864700488</v>
      </c>
      <c r="CD192" s="62">
        <f ca="1">AVERAGE(OFFSET($CC$3,0,0,'Données projet'!$E$12+1,1))-AVERAGE(OFFSET($H$3,0,0,'Données projet'!$E$12+1,1))</f>
        <v>454.9779384236806</v>
      </c>
      <c r="CE192" s="62">
        <f t="shared" si="148"/>
        <v>379.32753348721906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19.636719921046364</v>
      </c>
      <c r="CL192" s="23">
        <f>EXP(-LN(2)/25)*CL191+(1-EXP(-LN(2)/25))/(LN(2)/25)*Calculateur!CG192*Calculateur!CI192*VLOOKUP('Données projet'!$B$12,Paramètres!$A$1:$I$89,3,0)*0.475*44/12</f>
        <v>4.6064004020840175</v>
      </c>
      <c r="CM192" s="23">
        <f>EXP(-LN(2)/2)*CM191+(1-EXP(-LN(2)/2))/(LN(2)/2)*CG192*CJ192*VLOOKUP('Données projet'!$B$12,Paramètres!$A$1:$I$89,3,0)*0.475*44/12</f>
        <v>4.9906320340001796E-15</v>
      </c>
      <c r="CN192" s="24">
        <f t="shared" si="172"/>
        <v>24.243120323130384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252.10592533338991</v>
      </c>
      <c r="CZ192" s="62">
        <f t="shared" si="150"/>
        <v>272.71831345325313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4.1523476125165546</v>
      </c>
      <c r="DH192" s="23">
        <f>EXP(-LN(2)/2)*DH191+(1-EXP(-LN(2)/2))/(LN(2)/2)*DB192*DE192*VLOOKUP('Données projet'!$B$13,Paramètres!$A$1:$I$89,3,0)*0.475*44/12</f>
        <v>6.4821311953819633E-19</v>
      </c>
      <c r="DI192" s="24">
        <f t="shared" si="175"/>
        <v>4.1523476125165546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423.0896575168394</v>
      </c>
      <c r="DU192" s="62">
        <f t="shared" si="152"/>
        <v>305.98537395014284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17.601279775664636</v>
      </c>
      <c r="EB192" s="23">
        <f>EXP(-LN(2)/25)*EB191+(1-EXP(-LN(2)/25))/(LN(2)/25)*Calculateur!DW192*Calculateur!DY192*VLOOKUP('Données projet'!$B$14,Paramètres!$A$1:$I$89,3,0)*0.475*44/12</f>
        <v>8.711043189472182</v>
      </c>
      <c r="EC192" s="23">
        <f>EXP(-LN(2)/2)*EC191+(1-EXP(-LN(2)/2))/(LN(2)/2)*DW192*DZ192*VLOOKUP('Données projet'!$B$14,Paramètres!$A$1:$I$89,3,0)*0.475*44/12</f>
        <v>1.2708415767422186E-19</v>
      </c>
      <c r="ED192" s="24">
        <f t="shared" si="178"/>
        <v>26.312322965136818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2.2737367544323206E-13</v>
      </c>
      <c r="EK192" s="18">
        <f>EJ192*VLOOKUP('Données projet'!$B$15,Paramètres!$A$1:$I$89,3,0)*VLOOKUP('Données projet'!$B$15,Paramètres!$A$1:$I$89,5,0)</f>
        <v>1.3596945791505279E-13</v>
      </c>
      <c r="EL192" s="14">
        <f t="shared" si="179"/>
        <v>1.9708830566360721E-12</v>
      </c>
      <c r="EM192" s="22">
        <f t="shared" si="180"/>
        <v>3.669434796176543E-12</v>
      </c>
      <c r="EN192" s="62">
        <f t="shared" si="128"/>
        <v>289.97763864700755</v>
      </c>
      <c r="EO192" s="62">
        <f ca="1">AVERAGE(OFFSET($EN$3,0,0,'Données projet'!$E$15+1,1))-AVERAGE(OFFSET($H$3,0,0,'Données projet'!$E$15+1,1))</f>
        <v>281.21543175875604</v>
      </c>
      <c r="EP192" s="62">
        <f t="shared" si="154"/>
        <v>366.68536296857428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7.4206277353940848</v>
      </c>
      <c r="EW192" s="23">
        <f>EXP(-LN(2)/25)*EW191+(1-EXP(-LN(2)/25))/(LN(2)/25)*Calculateur!ER192*Calculateur!ET192*VLOOKUP('Données projet'!$B$15,Paramètres!$A$1:$I$89,3,0)*0.475*44/12</f>
        <v>0.90420931428895024</v>
      </c>
      <c r="EX192" s="23">
        <f>EXP(-LN(2)/2)*EX191+(1-EXP(-LN(2)/2))/(LN(2)/2)*ER192*EU192*VLOOKUP('Données projet'!$B$15,Paramètres!$A$1:$I$89,3,0)*0.475*44/12</f>
        <v>1.9998157935940232E-19</v>
      </c>
      <c r="EY192" s="24">
        <f t="shared" si="181"/>
        <v>8.3248370496830351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2.2737367544323206E-13</v>
      </c>
      <c r="FF192" s="18">
        <f>FE192*VLOOKUP('Données projet'!$B$16,Paramètres!$A$1:$I$89,3,0)*VLOOKUP('Données projet'!$B$16,Paramètres!$A$1:$I$89,5,0)</f>
        <v>1.2710188457276673E-13</v>
      </c>
      <c r="FG192" s="14">
        <f t="shared" si="182"/>
        <v>1.856866851063998E-12</v>
      </c>
      <c r="FH192" s="22">
        <f t="shared" si="183"/>
        <v>3.4554122145673649E-12</v>
      </c>
      <c r="FI192" s="62">
        <f t="shared" si="131"/>
        <v>289.97763864700732</v>
      </c>
      <c r="FJ192" s="62">
        <f ca="1">AVERAGE(OFFSET($FI$3,0,0,'Données projet'!$E$16+1,1))-AVERAGE(OFFSET($H$3,0,0,'Données projet'!$E$16+1,1))</f>
        <v>280.9225643428145</v>
      </c>
      <c r="FK192" s="62">
        <f t="shared" si="156"/>
        <v>236.89414218053955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23.21330377712534</v>
      </c>
      <c r="FR192" s="23">
        <f>EXP(-LN(2)/25)*FR191+(1-EXP(-LN(2)/25))/(LN(2)/25)*Calculateur!FM192*Calculateur!FO192*VLOOKUP('Données projet'!$B$16,Paramètres!$A$1:$I$89,3,0)*0.475*44/12</f>
        <v>2.8939635990947368</v>
      </c>
      <c r="FS192" s="23">
        <f>EXP(-LN(2)/2)*FS191+(1-EXP(-LN(2)/2))/(LN(2)/2)*FM192*FP192*VLOOKUP('Données projet'!$B$16,Paramètres!$A$1:$I$89,3,0)*0.475*44/12</f>
        <v>5.264234697242015E-21</v>
      </c>
      <c r="FT192" s="24">
        <f t="shared" si="184"/>
        <v>26.107267376220076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-5.6843418860808015E-13</v>
      </c>
      <c r="GA192" s="18">
        <f>FZ192*VLOOKUP('Données projet'!$B$17,Paramètres!$A$1:$I$89,3,0)*VLOOKUP('Données projet'!$B$17,Paramètres!$A$1:$I$89,5,0)</f>
        <v>-2.5124791136477147E-13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325.67421864225201</v>
      </c>
      <c r="GF192" s="62">
        <f t="shared" si="158"/>
        <v>542.01920418736745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15.023419495551703</v>
      </c>
      <c r="GM192" s="23">
        <f>EXP(-LN(2)/25)*GM191+(1-EXP(-LN(2)/25))/(LN(2)/25)*Calculateur!GH192*Calculateur!GJ192*VLOOKUP('Données projet'!$B$17,Paramètres!$A$1:$I$89,3,0)*0.475*44/12</f>
        <v>3.3916957700568933</v>
      </c>
      <c r="GN192" s="23">
        <f>EXP(-LN(2)/2)*GN191+(1-EXP(-LN(2)/2))/(LN(2)/2)*GH192*GK192*VLOOKUP('Données projet'!$B$17,Paramètres!$A$1:$I$89,3,0)*0.475*44/12</f>
        <v>5.3617811981846048E-21</v>
      </c>
      <c r="GO192" s="23">
        <f t="shared" si="187"/>
        <v>18.415115265608598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-2.5579538487363607E-13</v>
      </c>
      <c r="GV192" s="18">
        <f>GU192*VLOOKUP('Données projet'!$B$18,Paramètres!$A$1:$I$89,3,0)*VLOOKUP('Données projet'!$B$18,Paramètres!$A$1:$I$89,5,0)</f>
        <v>-2.5937652026186701E-13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220.89224520315713</v>
      </c>
      <c r="HA192" s="62">
        <f t="shared" si="160"/>
        <v>141.82763623159096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-2.8421709430404007E-14</v>
      </c>
      <c r="O193" s="14">
        <f>N193*VLOOKUP('Données projet'!$B$9,Paramètres!$A$1:$I$89,3,0)*VLOOKUP('Données projet'!$B$9,Paramètres!$A$1:$I$89,5,0)</f>
        <v>-2.7489477361086758E-14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84.959354125980269</v>
      </c>
      <c r="T193" s="62">
        <f t="shared" si="142"/>
        <v>89.658970210276806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0.5588444668801873</v>
      </c>
      <c r="AB193" s="23">
        <f>EXP(-LN(2)/2)*AB192+(1-EXP(-LN(2)/2))/(LN(2)/2)*V193*Y193*VLOOKUP('Données projet'!$B$9,Paramètres!$A$1:$I$89,3,0)*0.475*44/12</f>
        <v>2.8372883024860517E-18</v>
      </c>
      <c r="AC193" s="24">
        <f t="shared" si="163"/>
        <v>0.5588444668801873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-1.1368683772161603E-12</v>
      </c>
      <c r="AJ193" s="14">
        <f>AI193*VLOOKUP('Données projet'!$B$10,Paramètres!$A$1:$I$89,3,0)*VLOOKUP('Données projet'!$B$10,Paramètres!$A$1:$I$89,5,0)</f>
        <v>-1.0818439477588981E-12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592.76231355549089</v>
      </c>
      <c r="AO193" s="62">
        <f t="shared" si="144"/>
        <v>200.66895551079014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79.437956233513248</v>
      </c>
      <c r="AV193" s="23">
        <f>EXP(-LN(2)/25)*AV192+(1-EXP(-LN(2)/25))/(LN(2)/25)*Calculateur!AQ193*Calculateur!AS193*VLOOKUP('Données projet'!$B$10,Paramètres!$A$1:$I$89,3,0)*0.475*44/12</f>
        <v>14.702802311305096</v>
      </c>
      <c r="AW193" s="23">
        <f>EXP(-LN(2)/2)*AW192+(1-EXP(-LN(2)/2))/(LN(2)/2)*AQ193*AT193*VLOOKUP('Données projet'!$B$10,Paramètres!$A$1:$I$89,3,0)*0.475*44/12</f>
        <v>3.4855221003626222E-19</v>
      </c>
      <c r="AX193" s="23">
        <f t="shared" si="166"/>
        <v>94.14075854481834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-2.0572770154103635E-13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316.71836722354374</v>
      </c>
      <c r="BJ193" s="62">
        <f t="shared" si="146"/>
        <v>164.34067012996618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45.000663073832676</v>
      </c>
      <c r="BQ193" s="23">
        <f>EXP(-LN(2)/25)*BQ192+(1-EXP(-LN(2)/25))/(LN(2)/25)*Calculateur!BL193*Calculateur!BN193*VLOOKUP('Données projet'!$B$11,Paramètres!$A$1:$I$89,3,0)*0.475*44/12</f>
        <v>0.572188682053141</v>
      </c>
      <c r="BR193" s="23">
        <f>EXP(-LN(2)/2)*BR192+(1-EXP(-LN(2)/2))/(LN(2)/2)*BL193*BO193*VLOOKUP('Données projet'!$B$11,Paramètres!$A$1:$I$89,3,0)*0.475*44/12</f>
        <v>2.2518335607135248E-20</v>
      </c>
      <c r="BS193" s="24">
        <f t="shared" si="169"/>
        <v>45.572851755885814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2.8421709430404007E-14</v>
      </c>
      <c r="BZ193" s="14">
        <f>BY193*VLOOKUP('Données projet'!$B$12,Paramètres!$A$1:$I$89,3,0)*VLOOKUP('Données projet'!$B$12,Paramètres!$A$1:$I$89,5,0)</f>
        <v>3.2366642699344085E-14</v>
      </c>
      <c r="CA193" s="14">
        <f t="shared" si="170"/>
        <v>5.5446527398450045E-13</v>
      </c>
      <c r="CB193" s="22">
        <f t="shared" si="171"/>
        <v>1.0220655882243624E-12</v>
      </c>
      <c r="CC193" s="62">
        <f t="shared" si="119"/>
        <v>290.0358524476033</v>
      </c>
      <c r="CD193" s="62">
        <f ca="1">AVERAGE(OFFSET($CC$3,0,0,'Données projet'!$E$12+1,1))-AVERAGE(OFFSET($H$3,0,0,'Données projet'!$E$12+1,1))</f>
        <v>454.9779384236806</v>
      </c>
      <c r="CE193" s="62">
        <f t="shared" si="148"/>
        <v>379.32753348721906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19.251655820611145</v>
      </c>
      <c r="CL193" s="23">
        <f>EXP(-LN(2)/25)*CL192+(1-EXP(-LN(2)/25))/(LN(2)/25)*Calculateur!CG193*Calculateur!CI193*VLOOKUP('Données projet'!$B$12,Paramètres!$A$1:$I$89,3,0)*0.475*44/12</f>
        <v>4.4804381408489613</v>
      </c>
      <c r="CM193" s="23">
        <f>EXP(-LN(2)/2)*CM192+(1-EXP(-LN(2)/2))/(LN(2)/2)*CG193*CJ193*VLOOKUP('Données projet'!$B$12,Paramètres!$A$1:$I$89,3,0)*0.475*44/12</f>
        <v>3.5289097536483397E-15</v>
      </c>
      <c r="CN193" s="24">
        <f t="shared" si="172"/>
        <v>23.732093961460109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252.10592533338991</v>
      </c>
      <c r="CZ193" s="62">
        <f t="shared" si="150"/>
        <v>272.71831345325313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4.0388014486898189</v>
      </c>
      <c r="DH193" s="23">
        <f>EXP(-LN(2)/2)*DH192+(1-EXP(-LN(2)/2))/(LN(2)/2)*DB193*DE193*VLOOKUP('Données projet'!$B$13,Paramètres!$A$1:$I$89,3,0)*0.475*44/12</f>
        <v>4.5835589247954476E-19</v>
      </c>
      <c r="DI193" s="24">
        <f t="shared" si="175"/>
        <v>4.0388014486898189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423.0896575168394</v>
      </c>
      <c r="DU193" s="62">
        <f t="shared" si="152"/>
        <v>305.98537395014284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17.25612941498445</v>
      </c>
      <c r="EB193" s="23">
        <f>EXP(-LN(2)/25)*EB192+(1-EXP(-LN(2)/25))/(LN(2)/25)*Calculateur!DW193*Calculateur!DY193*VLOOKUP('Données projet'!$B$14,Paramètres!$A$1:$I$89,3,0)*0.475*44/12</f>
        <v>8.4728392553622136</v>
      </c>
      <c r="EC193" s="23">
        <f>EXP(-LN(2)/2)*EC192+(1-EXP(-LN(2)/2))/(LN(2)/2)*DW193*DZ193*VLOOKUP('Données projet'!$B$14,Paramètres!$A$1:$I$89,3,0)*0.475*44/12</f>
        <v>8.9862069672822703E-20</v>
      </c>
      <c r="ED193" s="24">
        <f t="shared" si="178"/>
        <v>25.728968670346664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2.2737367544323206E-13</v>
      </c>
      <c r="EK193" s="18">
        <f>EJ193*VLOOKUP('Données projet'!$B$15,Paramètres!$A$1:$I$89,3,0)*VLOOKUP('Données projet'!$B$15,Paramètres!$A$1:$I$89,5,0)</f>
        <v>1.3596945791505279E-13</v>
      </c>
      <c r="EL193" s="14">
        <f t="shared" si="179"/>
        <v>1.9708830566360721E-12</v>
      </c>
      <c r="EM193" s="22">
        <f t="shared" si="180"/>
        <v>3.669434796176543E-12</v>
      </c>
      <c r="EN193" s="62">
        <f t="shared" si="128"/>
        <v>290.03585244760598</v>
      </c>
      <c r="EO193" s="62">
        <f ca="1">AVERAGE(OFFSET($EN$3,0,0,'Données projet'!$E$15+1,1))-AVERAGE(OFFSET($H$3,0,0,'Données projet'!$E$15+1,1))</f>
        <v>281.21543175875604</v>
      </c>
      <c r="EP193" s="62">
        <f t="shared" si="154"/>
        <v>366.68536296857428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7.2751137516390063</v>
      </c>
      <c r="EW193" s="23">
        <f>EXP(-LN(2)/25)*EW192+(1-EXP(-LN(2)/25))/(LN(2)/25)*Calculateur!ER193*Calculateur!ET193*VLOOKUP('Données projet'!$B$15,Paramètres!$A$1:$I$89,3,0)*0.475*44/12</f>
        <v>0.87948366303941761</v>
      </c>
      <c r="EX193" s="23">
        <f>EXP(-LN(2)/2)*EX192+(1-EXP(-LN(2)/2))/(LN(2)/2)*ER193*EU193*VLOOKUP('Données projet'!$B$15,Paramètres!$A$1:$I$89,3,0)*0.475*44/12</f>
        <v>1.4140833087742908E-19</v>
      </c>
      <c r="EY193" s="24">
        <f t="shared" si="181"/>
        <v>8.1545974146784239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2.2737367544323206E-13</v>
      </c>
      <c r="FF193" s="18">
        <f>FE193*VLOOKUP('Données projet'!$B$16,Paramètres!$A$1:$I$89,3,0)*VLOOKUP('Données projet'!$B$16,Paramètres!$A$1:$I$89,5,0)</f>
        <v>1.2710188457276673E-13</v>
      </c>
      <c r="FG193" s="14">
        <f t="shared" si="182"/>
        <v>1.856866851063998E-12</v>
      </c>
      <c r="FH193" s="22">
        <f t="shared" si="183"/>
        <v>3.4554122145673649E-12</v>
      </c>
      <c r="FI193" s="62">
        <f t="shared" si="131"/>
        <v>290.03585244760575</v>
      </c>
      <c r="FJ193" s="62">
        <f ca="1">AVERAGE(OFFSET($FI$3,0,0,'Données projet'!$E$16+1,1))-AVERAGE(OFFSET($H$3,0,0,'Données projet'!$E$16+1,1))</f>
        <v>280.9225643428145</v>
      </c>
      <c r="FK193" s="62">
        <f t="shared" si="156"/>
        <v>236.89414218053955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22.75810504877316</v>
      </c>
      <c r="FR193" s="23">
        <f>EXP(-LN(2)/25)*FR192+(1-EXP(-LN(2)/25))/(LN(2)/25)*Calculateur!FM193*Calculateur!FO193*VLOOKUP('Données projet'!$B$16,Paramètres!$A$1:$I$89,3,0)*0.475*44/12</f>
        <v>2.8148280122905596</v>
      </c>
      <c r="FS193" s="23">
        <f>EXP(-LN(2)/2)*FS192+(1-EXP(-LN(2)/2))/(LN(2)/2)*FM193*FP193*VLOOKUP('Données projet'!$B$16,Paramètres!$A$1:$I$89,3,0)*0.475*44/12</f>
        <v>3.7223760521773407E-21</v>
      </c>
      <c r="FT193" s="24">
        <f t="shared" si="184"/>
        <v>25.572933061063718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-5.6843418860808015E-13</v>
      </c>
      <c r="GA193" s="18">
        <f>FZ193*VLOOKUP('Données projet'!$B$17,Paramètres!$A$1:$I$89,3,0)*VLOOKUP('Données projet'!$B$17,Paramètres!$A$1:$I$89,5,0)</f>
        <v>-2.5124791136477147E-13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325.67421864225201</v>
      </c>
      <c r="GF193" s="62">
        <f t="shared" si="158"/>
        <v>542.01920418736745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14.728819402625017</v>
      </c>
      <c r="GM193" s="23">
        <f>EXP(-LN(2)/25)*GM192+(1-EXP(-LN(2)/25))/(LN(2)/25)*Calculateur!GH193*Calculateur!GJ193*VLOOKUP('Données projet'!$B$17,Paramètres!$A$1:$I$89,3,0)*0.475*44/12</f>
        <v>3.2989496708631587</v>
      </c>
      <c r="GN193" s="23">
        <f>EXP(-LN(2)/2)*GN192+(1-EXP(-LN(2)/2))/(LN(2)/2)*GH193*GK193*VLOOKUP('Données projet'!$B$17,Paramètres!$A$1:$I$89,3,0)*0.475*44/12</f>
        <v>3.7913518444748658E-21</v>
      </c>
      <c r="GO193" s="23">
        <f t="shared" si="187"/>
        <v>18.027769073488177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-2.5579538487363607E-13</v>
      </c>
      <c r="GV193" s="18">
        <f>GU193*VLOOKUP('Données projet'!$B$18,Paramètres!$A$1:$I$89,3,0)*VLOOKUP('Données projet'!$B$18,Paramètres!$A$1:$I$89,5,0)</f>
        <v>-2.5937652026186701E-13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220.89224520315713</v>
      </c>
      <c r="HA193" s="62">
        <f t="shared" si="160"/>
        <v>141.82763623159096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-2.8421709430404007E-14</v>
      </c>
      <c r="O194" s="14">
        <f>N194*VLOOKUP('Données projet'!$B$9,Paramètres!$A$1:$I$89,3,0)*VLOOKUP('Données projet'!$B$9,Paramètres!$A$1:$I$89,5,0)</f>
        <v>-2.7489477361086758E-14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84.959354125980269</v>
      </c>
      <c r="T194" s="62">
        <f t="shared" si="142"/>
        <v>89.658970210276806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0.54356283554499529</v>
      </c>
      <c r="AB194" s="23">
        <f>EXP(-LN(2)/2)*AB193+(1-EXP(-LN(2)/2))/(LN(2)/2)*V194*Y194*VLOOKUP('Données projet'!$B$9,Paramètres!$A$1:$I$89,3,0)*0.475*44/12</f>
        <v>2.0062657988691554E-18</v>
      </c>
      <c r="AC194" s="24">
        <f t="shared" si="163"/>
        <v>0.54356283554499529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-1.1368683772161603E-12</v>
      </c>
      <c r="AJ194" s="14">
        <f>AI194*VLOOKUP('Données projet'!$B$10,Paramètres!$A$1:$I$89,3,0)*VLOOKUP('Données projet'!$B$10,Paramètres!$A$1:$I$89,5,0)</f>
        <v>-1.0818439477588981E-12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592.76231355549089</v>
      </c>
      <c r="AO194" s="62">
        <f t="shared" si="144"/>
        <v>200.66895551079014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77.880226364143084</v>
      </c>
      <c r="AV194" s="23">
        <f>EXP(-LN(2)/25)*AV193+(1-EXP(-LN(2)/25))/(LN(2)/25)*Calculateur!AQ194*Calculateur!AS194*VLOOKUP('Données projet'!$B$10,Paramètres!$A$1:$I$89,3,0)*0.475*44/12</f>
        <v>14.300753408915687</v>
      </c>
      <c r="AW194" s="23">
        <f>EXP(-LN(2)/2)*AW193+(1-EXP(-LN(2)/2))/(LN(2)/2)*AQ194*AT194*VLOOKUP('Données projet'!$B$10,Paramètres!$A$1:$I$89,3,0)*0.475*44/12</f>
        <v>2.4646363131419882E-19</v>
      </c>
      <c r="AX194" s="23">
        <f t="shared" si="166"/>
        <v>92.180979773058766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-2.0572770154103635E-13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316.71836722354374</v>
      </c>
      <c r="BJ194" s="62">
        <f t="shared" si="146"/>
        <v>164.34067012996618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44.118227518649057</v>
      </c>
      <c r="BQ194" s="23">
        <f>EXP(-LN(2)/25)*BQ193+(1-EXP(-LN(2)/25))/(LN(2)/25)*Calculateur!BL194*Calculateur!BN194*VLOOKUP('Données projet'!$B$11,Paramètres!$A$1:$I$89,3,0)*0.475*44/12</f>
        <v>0.55654215245230287</v>
      </c>
      <c r="BR194" s="23">
        <f>EXP(-LN(2)/2)*BR193+(1-EXP(-LN(2)/2))/(LN(2)/2)*BL194*BO194*VLOOKUP('Données projet'!$B$11,Paramètres!$A$1:$I$89,3,0)*0.475*44/12</f>
        <v>1.5922867808839825E-20</v>
      </c>
      <c r="BS194" s="24">
        <f t="shared" si="169"/>
        <v>44.674769671101359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2.8421709430404007E-14</v>
      </c>
      <c r="BZ194" s="14">
        <f>BY194*VLOOKUP('Données projet'!$B$12,Paramètres!$A$1:$I$89,3,0)*VLOOKUP('Données projet'!$B$12,Paramètres!$A$1:$I$89,5,0)</f>
        <v>3.2366642699344085E-14</v>
      </c>
      <c r="CA194" s="14">
        <f t="shared" si="170"/>
        <v>5.5446527398450045E-13</v>
      </c>
      <c r="CB194" s="22">
        <f t="shared" si="171"/>
        <v>1.0220655882243624E-12</v>
      </c>
      <c r="CC194" s="62">
        <f t="shared" si="119"/>
        <v>290.09305636890787</v>
      </c>
      <c r="CD194" s="62">
        <f ca="1">AVERAGE(OFFSET($CC$3,0,0,'Données projet'!$E$12+1,1))-AVERAGE(OFFSET($H$3,0,0,'Données projet'!$E$12+1,1))</f>
        <v>454.9779384236806</v>
      </c>
      <c r="CE194" s="62">
        <f t="shared" si="148"/>
        <v>379.32753348721906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18.874142592319551</v>
      </c>
      <c r="CL194" s="23">
        <f>EXP(-LN(2)/25)*CL193+(1-EXP(-LN(2)/25))/(LN(2)/25)*Calculateur!CG194*Calculateur!CI194*VLOOKUP('Données projet'!$B$12,Paramètres!$A$1:$I$89,3,0)*0.475*44/12</f>
        <v>4.3579203242714444</v>
      </c>
      <c r="CM194" s="23">
        <f>EXP(-LN(2)/2)*CM193+(1-EXP(-LN(2)/2))/(LN(2)/2)*CG194*CJ194*VLOOKUP('Données projet'!$B$12,Paramètres!$A$1:$I$89,3,0)*0.475*44/12</f>
        <v>2.4953160170000902E-15</v>
      </c>
      <c r="CN194" s="24">
        <f t="shared" si="172"/>
        <v>23.232062916590998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252.10592533338991</v>
      </c>
      <c r="CZ194" s="62">
        <f t="shared" si="150"/>
        <v>272.71831345325313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3.9283602106840583</v>
      </c>
      <c r="DH194" s="23">
        <f>EXP(-LN(2)/2)*DH193+(1-EXP(-LN(2)/2))/(LN(2)/2)*DB194*DE194*VLOOKUP('Données projet'!$B$13,Paramètres!$A$1:$I$89,3,0)*0.475*44/12</f>
        <v>3.2410655976909816E-19</v>
      </c>
      <c r="DI194" s="24">
        <f t="shared" si="175"/>
        <v>3.9283602106840583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423.0896575168394</v>
      </c>
      <c r="DU194" s="62">
        <f t="shared" si="152"/>
        <v>305.98537395014284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16.91774724235627</v>
      </c>
      <c r="EB194" s="23">
        <f>EXP(-LN(2)/25)*EB193+(1-EXP(-LN(2)/25))/(LN(2)/25)*Calculateur!DW194*Calculateur!DY194*VLOOKUP('Données projet'!$B$14,Paramètres!$A$1:$I$89,3,0)*0.475*44/12</f>
        <v>8.2411490203570832</v>
      </c>
      <c r="EC194" s="23">
        <f>EXP(-LN(2)/2)*EC193+(1-EXP(-LN(2)/2))/(LN(2)/2)*DW194*DZ194*VLOOKUP('Données projet'!$B$14,Paramètres!$A$1:$I$89,3,0)*0.475*44/12</f>
        <v>6.354207883711093E-20</v>
      </c>
      <c r="ED194" s="24">
        <f t="shared" si="178"/>
        <v>25.158896262713355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2.2737367544323206E-13</v>
      </c>
      <c r="EK194" s="18">
        <f>EJ194*VLOOKUP('Données projet'!$B$15,Paramètres!$A$1:$I$89,3,0)*VLOOKUP('Données projet'!$B$15,Paramètres!$A$1:$I$89,5,0)</f>
        <v>1.3596945791505279E-13</v>
      </c>
      <c r="EL194" s="14">
        <f t="shared" si="179"/>
        <v>1.9708830566360721E-12</v>
      </c>
      <c r="EM194" s="22">
        <f t="shared" si="180"/>
        <v>3.669434796176543E-12</v>
      </c>
      <c r="EN194" s="62">
        <f t="shared" si="128"/>
        <v>290.09305636891054</v>
      </c>
      <c r="EO194" s="62">
        <f ca="1">AVERAGE(OFFSET($EN$3,0,0,'Données projet'!$E$15+1,1))-AVERAGE(OFFSET($H$3,0,0,'Données projet'!$E$15+1,1))</f>
        <v>281.21543175875604</v>
      </c>
      <c r="EP194" s="62">
        <f t="shared" si="154"/>
        <v>366.68536296857428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7.1324532083505989</v>
      </c>
      <c r="EW194" s="23">
        <f>EXP(-LN(2)/25)*EW193+(1-EXP(-LN(2)/25))/(LN(2)/25)*Calculateur!ER194*Calculateur!ET194*VLOOKUP('Données projet'!$B$15,Paramètres!$A$1:$I$89,3,0)*0.475*44/12</f>
        <v>0.85543413602356899</v>
      </c>
      <c r="EX194" s="23">
        <f>EXP(-LN(2)/2)*EX193+(1-EXP(-LN(2)/2))/(LN(2)/2)*ER194*EU194*VLOOKUP('Données projet'!$B$15,Paramètres!$A$1:$I$89,3,0)*0.475*44/12</f>
        <v>9.9990789679701161E-20</v>
      </c>
      <c r="EY194" s="24">
        <f t="shared" si="181"/>
        <v>7.987887344374168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2.2737367544323206E-13</v>
      </c>
      <c r="FF194" s="18">
        <f>FE194*VLOOKUP('Données projet'!$B$16,Paramètres!$A$1:$I$89,3,0)*VLOOKUP('Données projet'!$B$16,Paramètres!$A$1:$I$89,5,0)</f>
        <v>1.2710188457276673E-13</v>
      </c>
      <c r="FG194" s="14">
        <f t="shared" si="182"/>
        <v>1.856866851063998E-12</v>
      </c>
      <c r="FH194" s="22">
        <f t="shared" si="183"/>
        <v>3.4554122145673649E-12</v>
      </c>
      <c r="FI194" s="62">
        <f t="shared" si="131"/>
        <v>290.09305636891031</v>
      </c>
      <c r="FJ194" s="62">
        <f ca="1">AVERAGE(OFFSET($FI$3,0,0,'Données projet'!$E$16+1,1))-AVERAGE(OFFSET($H$3,0,0,'Données projet'!$E$16+1,1))</f>
        <v>280.9225643428145</v>
      </c>
      <c r="FK194" s="62">
        <f t="shared" si="156"/>
        <v>236.89414218053955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22.311832489840157</v>
      </c>
      <c r="FR194" s="23">
        <f>EXP(-LN(2)/25)*FR193+(1-EXP(-LN(2)/25))/(LN(2)/25)*Calculateur!FM194*Calculateur!FO194*VLOOKUP('Données projet'!$B$16,Paramètres!$A$1:$I$89,3,0)*0.475*44/12</f>
        <v>2.7378563922691024</v>
      </c>
      <c r="FS194" s="23">
        <f>EXP(-LN(2)/2)*FS193+(1-EXP(-LN(2)/2))/(LN(2)/2)*FM194*FP194*VLOOKUP('Données projet'!$B$16,Paramètres!$A$1:$I$89,3,0)*0.475*44/12</f>
        <v>2.6321173486210075E-21</v>
      </c>
      <c r="FT194" s="24">
        <f t="shared" si="184"/>
        <v>25.049688882109258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-5.6843418860808015E-13</v>
      </c>
      <c r="GA194" s="18">
        <f>FZ194*VLOOKUP('Données projet'!$B$17,Paramètres!$A$1:$I$89,3,0)*VLOOKUP('Données projet'!$B$17,Paramètres!$A$1:$I$89,5,0)</f>
        <v>-2.5124791136477147E-13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325.67421864225201</v>
      </c>
      <c r="GF194" s="62">
        <f t="shared" si="158"/>
        <v>542.01920418736745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14.439996237832311</v>
      </c>
      <c r="GM194" s="23">
        <f>EXP(-LN(2)/25)*GM193+(1-EXP(-LN(2)/25))/(LN(2)/25)*Calculateur!GH194*Calculateur!GJ194*VLOOKUP('Données projet'!$B$17,Paramètres!$A$1:$I$89,3,0)*0.475*44/12</f>
        <v>3.2087397186291824</v>
      </c>
      <c r="GN194" s="23">
        <f>EXP(-LN(2)/2)*GN193+(1-EXP(-LN(2)/2))/(LN(2)/2)*GH194*GK194*VLOOKUP('Données projet'!$B$17,Paramètres!$A$1:$I$89,3,0)*0.475*44/12</f>
        <v>2.6808905990923024E-21</v>
      </c>
      <c r="GO194" s="23">
        <f t="shared" si="187"/>
        <v>17.648735956461493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-2.5579538487363607E-13</v>
      </c>
      <c r="GV194" s="18">
        <f>GU194*VLOOKUP('Données projet'!$B$18,Paramètres!$A$1:$I$89,3,0)*VLOOKUP('Données projet'!$B$18,Paramètres!$A$1:$I$89,5,0)</f>
        <v>-2.5937652026186701E-13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220.89224520315713</v>
      </c>
      <c r="HA194" s="62">
        <f t="shared" si="160"/>
        <v>141.82763623159096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-2.8421709430404007E-14</v>
      </c>
      <c r="O195" s="14">
        <f>N195*VLOOKUP('Données projet'!$B$9,Paramètres!$A$1:$I$89,3,0)*VLOOKUP('Données projet'!$B$9,Paramètres!$A$1:$I$89,5,0)</f>
        <v>-2.7489477361086758E-14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84.959354125980269</v>
      </c>
      <c r="T195" s="62">
        <f t="shared" si="142"/>
        <v>89.658970210276806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0.52869908122229026</v>
      </c>
      <c r="AB195" s="23">
        <f>EXP(-LN(2)/2)*AB194+(1-EXP(-LN(2)/2))/(LN(2)/2)*V195*Y195*VLOOKUP('Données projet'!$B$9,Paramètres!$A$1:$I$89,3,0)*0.475*44/12</f>
        <v>1.4186441512430258E-18</v>
      </c>
      <c r="AC195" s="24">
        <f t="shared" si="163"/>
        <v>0.52869908122229026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-1.1368683772161603E-12</v>
      </c>
      <c r="AJ195" s="14">
        <f>AI195*VLOOKUP('Données projet'!$B$10,Paramètres!$A$1:$I$89,3,0)*VLOOKUP('Données projet'!$B$10,Paramètres!$A$1:$I$89,5,0)</f>
        <v>-1.0818439477588981E-12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592.76231355549089</v>
      </c>
      <c r="AO195" s="62">
        <f t="shared" si="144"/>
        <v>200.66895551079014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76.353042627389868</v>
      </c>
      <c r="AV195" s="23">
        <f>EXP(-LN(2)/25)*AV194+(1-EXP(-LN(2)/25))/(LN(2)/25)*Calculateur!AQ195*Calculateur!AS195*VLOOKUP('Données projet'!$B$10,Paramètres!$A$1:$I$89,3,0)*0.475*44/12</f>
        <v>13.909698554904951</v>
      </c>
      <c r="AW195" s="23">
        <f>EXP(-LN(2)/2)*AW194+(1-EXP(-LN(2)/2))/(LN(2)/2)*AQ195*AT195*VLOOKUP('Données projet'!$B$10,Paramètres!$A$1:$I$89,3,0)*0.475*44/12</f>
        <v>1.7427610501813111E-19</v>
      </c>
      <c r="AX195" s="23">
        <f t="shared" si="166"/>
        <v>90.262741182294818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-2.0572770154103635E-13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316.71836722354374</v>
      </c>
      <c r="BJ195" s="62">
        <f t="shared" si="146"/>
        <v>164.34067012996618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43.253095986470043</v>
      </c>
      <c r="BQ195" s="23">
        <f>EXP(-LN(2)/25)*BQ194+(1-EXP(-LN(2)/25))/(LN(2)/25)*Calculateur!BL195*Calculateur!BN195*VLOOKUP('Données projet'!$B$11,Paramètres!$A$1:$I$89,3,0)*0.475*44/12</f>
        <v>0.54132347802621483</v>
      </c>
      <c r="BR195" s="23">
        <f>EXP(-LN(2)/2)*BR194+(1-EXP(-LN(2)/2))/(LN(2)/2)*BL195*BO195*VLOOKUP('Données projet'!$B$11,Paramètres!$A$1:$I$89,3,0)*0.475*44/12</f>
        <v>1.1259167803567624E-20</v>
      </c>
      <c r="BS195" s="24">
        <f t="shared" si="169"/>
        <v>43.794419464496258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2.8421709430404007E-14</v>
      </c>
      <c r="BZ195" s="14">
        <f>BY195*VLOOKUP('Données projet'!$B$12,Paramètres!$A$1:$I$89,3,0)*VLOOKUP('Données projet'!$B$12,Paramètres!$A$1:$I$89,5,0)</f>
        <v>3.2366642699344085E-14</v>
      </c>
      <c r="CA195" s="14">
        <f t="shared" si="170"/>
        <v>5.5446527398450045E-13</v>
      </c>
      <c r="CB195" s="22">
        <f t="shared" si="171"/>
        <v>1.0220655882243624E-12</v>
      </c>
      <c r="CC195" s="62">
        <f t="shared" si="119"/>
        <v>290.14926793006669</v>
      </c>
      <c r="CD195" s="62">
        <f ca="1">AVERAGE(OFFSET($CC$3,0,0,'Données projet'!$E$12+1,1))-AVERAGE(OFFSET($H$3,0,0,'Données projet'!$E$12+1,1))</f>
        <v>454.9779384236806</v>
      </c>
      <c r="CE195" s="62">
        <f t="shared" si="148"/>
        <v>379.32753348721906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18.504032168174422</v>
      </c>
      <c r="CL195" s="23">
        <f>EXP(-LN(2)/25)*CL194+(1-EXP(-LN(2)/25))/(LN(2)/25)*Calculateur!CG195*Calculateur!CI195*VLOOKUP('Données projet'!$B$12,Paramètres!$A$1:$I$89,3,0)*0.475*44/12</f>
        <v>4.2387527638311724</v>
      </c>
      <c r="CM195" s="23">
        <f>EXP(-LN(2)/2)*CM194+(1-EXP(-LN(2)/2))/(LN(2)/2)*CG195*CJ195*VLOOKUP('Données projet'!$B$12,Paramètres!$A$1:$I$89,3,0)*0.475*44/12</f>
        <v>1.7644548768241703E-15</v>
      </c>
      <c r="CN195" s="24">
        <f t="shared" si="172"/>
        <v>22.742784932005595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252.10592533338991</v>
      </c>
      <c r="CZ195" s="62">
        <f t="shared" si="150"/>
        <v>272.71831345325313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3.8209389941394174</v>
      </c>
      <c r="DH195" s="23">
        <f>EXP(-LN(2)/2)*DH194+(1-EXP(-LN(2)/2))/(LN(2)/2)*DB195*DE195*VLOOKUP('Données projet'!$B$13,Paramètres!$A$1:$I$89,3,0)*0.475*44/12</f>
        <v>2.2917794623977238E-19</v>
      </c>
      <c r="DI195" s="24">
        <f t="shared" si="175"/>
        <v>3.8209389941394174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423.0896575168394</v>
      </c>
      <c r="DU195" s="62">
        <f t="shared" si="152"/>
        <v>305.98537395014284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16.586000537740585</v>
      </c>
      <c r="EB195" s="23">
        <f>EXP(-LN(2)/25)*EB194+(1-EXP(-LN(2)/25))/(LN(2)/25)*Calculateur!DW195*Calculateur!DY195*VLOOKUP('Données projet'!$B$14,Paramètres!$A$1:$I$89,3,0)*0.475*44/12</f>
        <v>8.0157943670122265</v>
      </c>
      <c r="EC195" s="23">
        <f>EXP(-LN(2)/2)*EC194+(1-EXP(-LN(2)/2))/(LN(2)/2)*DW195*DZ195*VLOOKUP('Données projet'!$B$14,Paramètres!$A$1:$I$89,3,0)*0.475*44/12</f>
        <v>4.4931034836411351E-20</v>
      </c>
      <c r="ED195" s="24">
        <f t="shared" si="178"/>
        <v>24.601794904752811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2.2737367544323206E-13</v>
      </c>
      <c r="EK195" s="18">
        <f>EJ195*VLOOKUP('Données projet'!$B$15,Paramètres!$A$1:$I$89,3,0)*VLOOKUP('Données projet'!$B$15,Paramètres!$A$1:$I$89,5,0)</f>
        <v>1.3596945791505279E-13</v>
      </c>
      <c r="EL195" s="14">
        <f t="shared" si="179"/>
        <v>1.9708830566360721E-12</v>
      </c>
      <c r="EM195" s="22">
        <f t="shared" si="180"/>
        <v>3.669434796176543E-12</v>
      </c>
      <c r="EN195" s="62">
        <f t="shared" si="128"/>
        <v>290.14926793006936</v>
      </c>
      <c r="EO195" s="62">
        <f ca="1">AVERAGE(OFFSET($EN$3,0,0,'Données projet'!$E$15+1,1))-AVERAGE(OFFSET($H$3,0,0,'Données projet'!$E$15+1,1))</f>
        <v>281.21543175875604</v>
      </c>
      <c r="EP195" s="62">
        <f t="shared" si="154"/>
        <v>366.68536296857428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6.9925901513017381</v>
      </c>
      <c r="EW195" s="23">
        <f>EXP(-LN(2)/25)*EW194+(1-EXP(-LN(2)/25))/(LN(2)/25)*Calculateur!ER195*Calculateur!ET195*VLOOKUP('Données projet'!$B$15,Paramètres!$A$1:$I$89,3,0)*0.475*44/12</f>
        <v>0.83204224458867837</v>
      </c>
      <c r="EX195" s="23">
        <f>EXP(-LN(2)/2)*EX194+(1-EXP(-LN(2)/2))/(LN(2)/2)*ER195*EU195*VLOOKUP('Données projet'!$B$15,Paramètres!$A$1:$I$89,3,0)*0.475*44/12</f>
        <v>7.0704165438714542E-20</v>
      </c>
      <c r="EY195" s="24">
        <f t="shared" si="181"/>
        <v>7.8246323958904167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2.2737367544323206E-13</v>
      </c>
      <c r="FF195" s="18">
        <f>FE195*VLOOKUP('Données projet'!$B$16,Paramètres!$A$1:$I$89,3,0)*VLOOKUP('Données projet'!$B$16,Paramètres!$A$1:$I$89,5,0)</f>
        <v>1.2710188457276673E-13</v>
      </c>
      <c r="FG195" s="14">
        <f t="shared" si="182"/>
        <v>1.856866851063998E-12</v>
      </c>
      <c r="FH195" s="22">
        <f t="shared" si="183"/>
        <v>3.4554122145673649E-12</v>
      </c>
      <c r="FI195" s="62">
        <f t="shared" si="131"/>
        <v>290.14926793006913</v>
      </c>
      <c r="FJ195" s="62">
        <f ca="1">AVERAGE(OFFSET($FI$3,0,0,'Données projet'!$E$16+1,1))-AVERAGE(OFFSET($H$3,0,0,'Données projet'!$E$16+1,1))</f>
        <v>280.9225643428145</v>
      </c>
      <c r="FK195" s="62">
        <f t="shared" si="156"/>
        <v>236.89414218053955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21.874311063588447</v>
      </c>
      <c r="FR195" s="23">
        <f>EXP(-LN(2)/25)*FR194+(1-EXP(-LN(2)/25))/(LN(2)/25)*Calculateur!FM195*Calculateur!FO195*VLOOKUP('Données projet'!$B$16,Paramètres!$A$1:$I$89,3,0)*0.475*44/12</f>
        <v>2.6629895652448936</v>
      </c>
      <c r="FS195" s="23">
        <f>EXP(-LN(2)/2)*FS194+(1-EXP(-LN(2)/2))/(LN(2)/2)*FM195*FP195*VLOOKUP('Données projet'!$B$16,Paramètres!$A$1:$I$89,3,0)*0.475*44/12</f>
        <v>1.8611880260886703E-21</v>
      </c>
      <c r="FT195" s="24">
        <f t="shared" si="184"/>
        <v>24.537300628833339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-5.6843418860808015E-13</v>
      </c>
      <c r="GA195" s="18">
        <f>FZ195*VLOOKUP('Données projet'!$B$17,Paramètres!$A$1:$I$89,3,0)*VLOOKUP('Données projet'!$B$17,Paramètres!$A$1:$I$89,5,0)</f>
        <v>-2.5124791136477147E-13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325.67421864225201</v>
      </c>
      <c r="GF195" s="62">
        <f t="shared" si="158"/>
        <v>542.01920418736745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14.156836719136454</v>
      </c>
      <c r="GM195" s="23">
        <f>EXP(-LN(2)/25)*GM194+(1-EXP(-LN(2)/25))/(LN(2)/25)*Calculateur!GH195*Calculateur!GJ195*VLOOKUP('Données projet'!$B$17,Paramètres!$A$1:$I$89,3,0)*0.475*44/12</f>
        <v>3.1209965622829792</v>
      </c>
      <c r="GN195" s="23">
        <f>EXP(-LN(2)/2)*GN194+(1-EXP(-LN(2)/2))/(LN(2)/2)*GH195*GK195*VLOOKUP('Données projet'!$B$17,Paramètres!$A$1:$I$89,3,0)*0.475*44/12</f>
        <v>1.8956759222374329E-21</v>
      </c>
      <c r="GO195" s="23">
        <f t="shared" si="187"/>
        <v>17.277833281419433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-2.5579538487363607E-13</v>
      </c>
      <c r="GV195" s="18">
        <f>GU195*VLOOKUP('Données projet'!$B$18,Paramètres!$A$1:$I$89,3,0)*VLOOKUP('Données projet'!$B$18,Paramètres!$A$1:$I$89,5,0)</f>
        <v>-2.5937652026186701E-13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220.89224520315713</v>
      </c>
      <c r="HA195" s="62">
        <f t="shared" si="160"/>
        <v>141.82763623159096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-2.8421709430404007E-14</v>
      </c>
      <c r="O196" s="14">
        <f>N196*VLOOKUP('Données projet'!$B$9,Paramètres!$A$1:$I$89,3,0)*VLOOKUP('Données projet'!$B$9,Paramètres!$A$1:$I$89,5,0)</f>
        <v>-2.7489477361086758E-14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84.959354125980269</v>
      </c>
      <c r="T196" s="62">
        <f t="shared" si="142"/>
        <v>89.658970210276806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0.51424177704319041</v>
      </c>
      <c r="AB196" s="23">
        <f>EXP(-LN(2)/2)*AB195+(1-EXP(-LN(2)/2))/(LN(2)/2)*V196*Y196*VLOOKUP('Données projet'!$B$9,Paramètres!$A$1:$I$89,3,0)*0.475*44/12</f>
        <v>1.0031328994345777E-18</v>
      </c>
      <c r="AC196" s="24">
        <f t="shared" si="163"/>
        <v>0.51424177704319041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-1.1368683772161603E-12</v>
      </c>
      <c r="AJ196" s="14">
        <f>AI196*VLOOKUP('Données projet'!$B$10,Paramètres!$A$1:$I$89,3,0)*VLOOKUP('Données projet'!$B$10,Paramètres!$A$1:$I$89,5,0)</f>
        <v>-1.0818439477588981E-12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592.76231355549089</v>
      </c>
      <c r="AO196" s="62">
        <f t="shared" si="144"/>
        <v>200.66895551079014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74.85580603222428</v>
      </c>
      <c r="AV196" s="23">
        <f>EXP(-LN(2)/25)*AV195+(1-EXP(-LN(2)/25))/(LN(2)/25)*Calculateur!AQ196*Calculateur!AS196*VLOOKUP('Données projet'!$B$10,Paramètres!$A$1:$I$89,3,0)*0.475*44/12</f>
        <v>13.52933711644182</v>
      </c>
      <c r="AW196" s="23">
        <f>EXP(-LN(2)/2)*AW195+(1-EXP(-LN(2)/2))/(LN(2)/2)*AQ196*AT196*VLOOKUP('Données projet'!$B$10,Paramètres!$A$1:$I$89,3,0)*0.475*44/12</f>
        <v>1.2323181565709941E-19</v>
      </c>
      <c r="AX196" s="23">
        <f t="shared" si="166"/>
        <v>88.385143148666103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-2.0572770154103635E-13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316.71836722354374</v>
      </c>
      <c r="BJ196" s="62">
        <f t="shared" si="146"/>
        <v>164.34067012996618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42.404929155958932</v>
      </c>
      <c r="BQ196" s="23">
        <f>EXP(-LN(2)/25)*BQ195+(1-EXP(-LN(2)/25))/(LN(2)/25)*Calculateur!BL196*Calculateur!BN196*VLOOKUP('Données projet'!$B$11,Paramètres!$A$1:$I$89,3,0)*0.475*44/12</f>
        <v>0.52652095905262353</v>
      </c>
      <c r="BR196" s="23">
        <f>EXP(-LN(2)/2)*BR195+(1-EXP(-LN(2)/2))/(LN(2)/2)*BL196*BO196*VLOOKUP('Données projet'!$B$11,Paramètres!$A$1:$I$89,3,0)*0.475*44/12</f>
        <v>7.9614339044199127E-21</v>
      </c>
      <c r="BS196" s="24">
        <f t="shared" si="169"/>
        <v>42.931450115011558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2.8421709430404007E-14</v>
      </c>
      <c r="BZ196" s="14">
        <f>BY196*VLOOKUP('Données projet'!$B$12,Paramètres!$A$1:$I$89,3,0)*VLOOKUP('Données projet'!$B$12,Paramètres!$A$1:$I$89,5,0)</f>
        <v>3.2366642699344085E-14</v>
      </c>
      <c r="CA196" s="14">
        <f t="shared" si="170"/>
        <v>5.5446527398450045E-13</v>
      </c>
      <c r="CB196" s="22">
        <f t="shared" si="171"/>
        <v>1.0220655882243624E-12</v>
      </c>
      <c r="CC196" s="62">
        <f t="shared" ref="CC196:CC203" si="195">CB196+(BT196+BU196)*44/12</f>
        <v>290.20450434630953</v>
      </c>
      <c r="CD196" s="62">
        <f ca="1">AVERAGE(OFFSET($CC$3,0,0,'Données projet'!$E$12+1,1))-AVERAGE(OFFSET($H$3,0,0,'Données projet'!$E$12+1,1))</f>
        <v>454.9779384236806</v>
      </c>
      <c r="CE196" s="62">
        <f t="shared" si="148"/>
        <v>379.32753348721906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18.141179383701711</v>
      </c>
      <c r="CL196" s="23">
        <f>EXP(-LN(2)/25)*CL195+(1-EXP(-LN(2)/25))/(LN(2)/25)*Calculateur!CG196*Calculateur!CI196*VLOOKUP('Données projet'!$B$12,Paramètres!$A$1:$I$89,3,0)*0.475*44/12</f>
        <v>4.1228438465978892</v>
      </c>
      <c r="CM196" s="23">
        <f>EXP(-LN(2)/2)*CM195+(1-EXP(-LN(2)/2))/(LN(2)/2)*CG196*CJ196*VLOOKUP('Données projet'!$B$12,Paramètres!$A$1:$I$89,3,0)*0.475*44/12</f>
        <v>1.2476580085000453E-15</v>
      </c>
      <c r="CN196" s="24">
        <f t="shared" si="172"/>
        <v>22.2640232302996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252.10592533338991</v>
      </c>
      <c r="CZ196" s="62">
        <f t="shared" si="150"/>
        <v>272.71831345325313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3.716455216410226</v>
      </c>
      <c r="DH196" s="23">
        <f>EXP(-LN(2)/2)*DH195+(1-EXP(-LN(2)/2))/(LN(2)/2)*DB196*DE196*VLOOKUP('Données projet'!$B$13,Paramètres!$A$1:$I$89,3,0)*0.475*44/12</f>
        <v>1.6205327988454908E-19</v>
      </c>
      <c r="DI196" s="24">
        <f t="shared" si="175"/>
        <v>3.716455216410226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423.0896575168394</v>
      </c>
      <c r="DU196" s="62">
        <f t="shared" si="152"/>
        <v>305.98537395014284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16.260759183656901</v>
      </c>
      <c r="EB196" s="23">
        <f>EXP(-LN(2)/25)*EB195+(1-EXP(-LN(2)/25))/(LN(2)/25)*Calculateur!DW196*Calculateur!DY196*VLOOKUP('Données projet'!$B$14,Paramètres!$A$1:$I$89,3,0)*0.475*44/12</f>
        <v>7.7966020485139715</v>
      </c>
      <c r="EC196" s="23">
        <f>EXP(-LN(2)/2)*EC195+(1-EXP(-LN(2)/2))/(LN(2)/2)*DW196*DZ196*VLOOKUP('Données projet'!$B$14,Paramètres!$A$1:$I$89,3,0)*0.475*44/12</f>
        <v>3.1771039418555465E-20</v>
      </c>
      <c r="ED196" s="24">
        <f t="shared" si="178"/>
        <v>24.057361232170873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2.2737367544323206E-13</v>
      </c>
      <c r="EK196" s="18">
        <f>EJ196*VLOOKUP('Données projet'!$B$15,Paramètres!$A$1:$I$89,3,0)*VLOOKUP('Données projet'!$B$15,Paramètres!$A$1:$I$89,5,0)</f>
        <v>1.3596945791505279E-13</v>
      </c>
      <c r="EL196" s="14">
        <f t="shared" si="179"/>
        <v>1.9708830566360721E-12</v>
      </c>
      <c r="EM196" s="22">
        <f t="shared" si="180"/>
        <v>3.669434796176543E-12</v>
      </c>
      <c r="EN196" s="62">
        <f t="shared" ref="EN196:EN203" si="198">EM196+(EE196+EF196)*44/12</f>
        <v>290.20450434631221</v>
      </c>
      <c r="EO196" s="62">
        <f ca="1">AVERAGE(OFFSET($EN$3,0,0,'Données projet'!$E$15+1,1))-AVERAGE(OFFSET($H$3,0,0,'Données projet'!$E$15+1,1))</f>
        <v>281.21543175875604</v>
      </c>
      <c r="EP196" s="62">
        <f t="shared" si="154"/>
        <v>366.68536296857428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6.855469723493564</v>
      </c>
      <c r="EW196" s="23">
        <f>EXP(-LN(2)/25)*EW195+(1-EXP(-LN(2)/25))/(LN(2)/25)*Calculateur!ER196*Calculateur!ET196*VLOOKUP('Données projet'!$B$15,Paramètres!$A$1:$I$89,3,0)*0.475*44/12</f>
        <v>0.80929000565520093</v>
      </c>
      <c r="EX196" s="23">
        <f>EXP(-LN(2)/2)*EX195+(1-EXP(-LN(2)/2))/(LN(2)/2)*ER196*EU196*VLOOKUP('Données projet'!$B$15,Paramètres!$A$1:$I$89,3,0)*0.475*44/12</f>
        <v>4.999539483985058E-20</v>
      </c>
      <c r="EY196" s="24">
        <f t="shared" si="181"/>
        <v>7.6647597291487646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2.2737367544323206E-13</v>
      </c>
      <c r="FF196" s="18">
        <f>FE196*VLOOKUP('Données projet'!$B$16,Paramètres!$A$1:$I$89,3,0)*VLOOKUP('Données projet'!$B$16,Paramètres!$A$1:$I$89,5,0)</f>
        <v>1.2710188457276673E-13</v>
      </c>
      <c r="FG196" s="14">
        <f t="shared" si="182"/>
        <v>1.856866851063998E-12</v>
      </c>
      <c r="FH196" s="22">
        <f t="shared" si="183"/>
        <v>3.4554122145673649E-12</v>
      </c>
      <c r="FI196" s="62">
        <f t="shared" ref="FI196:FI203" si="199">FH196+(EZ196+FA196)*44/12</f>
        <v>290.20450434631198</v>
      </c>
      <c r="FJ196" s="62">
        <f ca="1">AVERAGE(OFFSET($FI$3,0,0,'Données projet'!$E$16+1,1))-AVERAGE(OFFSET($H$3,0,0,'Données projet'!$E$16+1,1))</f>
        <v>280.9225643428145</v>
      </c>
      <c r="FK196" s="62">
        <f t="shared" si="156"/>
        <v>236.89414218053955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21.445369165643811</v>
      </c>
      <c r="FR196" s="23">
        <f>EXP(-LN(2)/25)*FR195+(1-EXP(-LN(2)/25))/(LN(2)/25)*Calculateur!FM196*Calculateur!FO196*VLOOKUP('Données projet'!$B$16,Paramètres!$A$1:$I$89,3,0)*0.475*44/12</f>
        <v>2.5901699755427372</v>
      </c>
      <c r="FS196" s="23">
        <f>EXP(-LN(2)/2)*FS195+(1-EXP(-LN(2)/2))/(LN(2)/2)*FM196*FP196*VLOOKUP('Données projet'!$B$16,Paramètres!$A$1:$I$89,3,0)*0.475*44/12</f>
        <v>1.3160586743105037E-21</v>
      </c>
      <c r="FT196" s="24">
        <f t="shared" si="184"/>
        <v>24.035539141186547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-5.6843418860808015E-13</v>
      </c>
      <c r="GA196" s="18">
        <f>FZ196*VLOOKUP('Données projet'!$B$17,Paramètres!$A$1:$I$89,3,0)*VLOOKUP('Données projet'!$B$17,Paramètres!$A$1:$I$89,5,0)</f>
        <v>-2.5124791136477147E-13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325.67421864225201</v>
      </c>
      <c r="GF196" s="62">
        <f t="shared" si="158"/>
        <v>542.01920418736745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13.879229785891969</v>
      </c>
      <c r="GM196" s="23">
        <f>EXP(-LN(2)/25)*GM195+(1-EXP(-LN(2)/25))/(LN(2)/25)*Calculateur!GH196*Calculateur!GJ196*VLOOKUP('Données projet'!$B$17,Paramètres!$A$1:$I$89,3,0)*0.475*44/12</f>
        <v>3.0356527471612749</v>
      </c>
      <c r="GN196" s="23">
        <f>EXP(-LN(2)/2)*GN195+(1-EXP(-LN(2)/2))/(LN(2)/2)*GH196*GK196*VLOOKUP('Données projet'!$B$17,Paramètres!$A$1:$I$89,3,0)*0.475*44/12</f>
        <v>1.3404452995461512E-21</v>
      </c>
      <c r="GO196" s="23">
        <f t="shared" si="187"/>
        <v>16.914882533053245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-2.5579538487363607E-13</v>
      </c>
      <c r="GV196" s="18">
        <f>GU196*VLOOKUP('Données projet'!$B$18,Paramètres!$A$1:$I$89,3,0)*VLOOKUP('Données projet'!$B$18,Paramètres!$A$1:$I$89,5,0)</f>
        <v>-2.5937652026186701E-13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220.89224520315713</v>
      </c>
      <c r="HA196" s="62">
        <f t="shared" si="160"/>
        <v>141.82763623159096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-2.8421709430404007E-14</v>
      </c>
      <c r="O197" s="14">
        <f>N197*VLOOKUP('Données projet'!$B$9,Paramètres!$A$1:$I$89,3,0)*VLOOKUP('Données projet'!$B$9,Paramètres!$A$1:$I$89,5,0)</f>
        <v>-2.7489477361086758E-14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84.959354125980269</v>
      </c>
      <c r="T197" s="62">
        <f t="shared" ref="T197:T203" si="204">$T$3</f>
        <v>89.658970210276806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0.50017980860714462</v>
      </c>
      <c r="AB197" s="23">
        <f>EXP(-LN(2)/2)*AB196+(1-EXP(-LN(2)/2))/(LN(2)/2)*V197*Y197*VLOOKUP('Données projet'!$B$9,Paramètres!$A$1:$I$89,3,0)*0.475*44/12</f>
        <v>7.0932207562151292E-19</v>
      </c>
      <c r="AC197" s="24">
        <f t="shared" si="163"/>
        <v>0.50017980860714462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-1.1368683772161603E-12</v>
      </c>
      <c r="AJ197" s="14">
        <f>AI197*VLOOKUP('Données projet'!$B$10,Paramètres!$A$1:$I$89,3,0)*VLOOKUP('Données projet'!$B$10,Paramètres!$A$1:$I$89,5,0)</f>
        <v>-1.0818439477588981E-12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592.76231355549089</v>
      </c>
      <c r="AO197" s="62">
        <f t="shared" ref="AO197:AO203" si="205">$AO$3</f>
        <v>200.66895551079014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73.387929333465735</v>
      </c>
      <c r="AV197" s="23">
        <f>EXP(-LN(2)/25)*AV196+(1-EXP(-LN(2)/25))/(LN(2)/25)*Calculateur!AQ197*Calculateur!AS197*VLOOKUP('Données projet'!$B$10,Paramètres!$A$1:$I$89,3,0)*0.475*44/12</f>
        <v>13.1593766815158</v>
      </c>
      <c r="AW197" s="23">
        <f>EXP(-LN(2)/2)*AW196+(1-EXP(-LN(2)/2))/(LN(2)/2)*AQ197*AT197*VLOOKUP('Données projet'!$B$10,Paramètres!$A$1:$I$89,3,0)*0.475*44/12</f>
        <v>8.7138052509065555E-20</v>
      </c>
      <c r="AX197" s="23">
        <f t="shared" si="166"/>
        <v>86.54730601498153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-2.0572770154103635E-13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316.71836722354374</v>
      </c>
      <c r="BJ197" s="62">
        <f t="shared" ref="BJ197:BJ203" si="206">$BJ$3</f>
        <v>164.34067012996618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41.57339435966346</v>
      </c>
      <c r="BQ197" s="23">
        <f>EXP(-LN(2)/25)*BQ196+(1-EXP(-LN(2)/25))/(LN(2)/25)*Calculateur!BL197*Calculateur!BN197*VLOOKUP('Données projet'!$B$11,Paramètres!$A$1:$I$89,3,0)*0.475*44/12</f>
        <v>0.51212321573879571</v>
      </c>
      <c r="BR197" s="23">
        <f>EXP(-LN(2)/2)*BR196+(1-EXP(-LN(2)/2))/(LN(2)/2)*BL197*BO197*VLOOKUP('Données projet'!$B$11,Paramètres!$A$1:$I$89,3,0)*0.475*44/12</f>
        <v>5.6295839017838119E-21</v>
      </c>
      <c r="BS197" s="24">
        <f t="shared" si="169"/>
        <v>42.085517575402257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2.8421709430404007E-14</v>
      </c>
      <c r="BZ197" s="14">
        <f>BY197*VLOOKUP('Données projet'!$B$12,Paramètres!$A$1:$I$89,3,0)*VLOOKUP('Données projet'!$B$12,Paramètres!$A$1:$I$89,5,0)</f>
        <v>3.2366642699344085E-14</v>
      </c>
      <c r="CA197" s="14">
        <f t="shared" si="170"/>
        <v>5.5446527398450045E-13</v>
      </c>
      <c r="CB197" s="22">
        <f t="shared" si="171"/>
        <v>1.0220655882243624E-12</v>
      </c>
      <c r="CC197" s="62">
        <f t="shared" si="195"/>
        <v>290.25878253422076</v>
      </c>
      <c r="CD197" s="62">
        <f ca="1">AVERAGE(OFFSET($CC$3,0,0,'Données projet'!$E$12+1,1))-AVERAGE(OFFSET($H$3,0,0,'Données projet'!$E$12+1,1))</f>
        <v>454.9779384236806</v>
      </c>
      <c r="CE197" s="62">
        <f t="shared" ref="CE197:CE203" si="207">$CE$3</f>
        <v>379.32753348721906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17.785441921014165</v>
      </c>
      <c r="CL197" s="23">
        <f>EXP(-LN(2)/25)*CL196+(1-EXP(-LN(2)/25))/(LN(2)/25)*Calculateur!CG197*Calculateur!CI197*VLOOKUP('Données projet'!$B$12,Paramètres!$A$1:$I$89,3,0)*0.475*44/12</f>
        <v>4.010104464801735</v>
      </c>
      <c r="CM197" s="23">
        <f>EXP(-LN(2)/2)*CM196+(1-EXP(-LN(2)/2))/(LN(2)/2)*CG197*CJ197*VLOOKUP('Données projet'!$B$12,Paramètres!$A$1:$I$89,3,0)*0.475*44/12</f>
        <v>8.8222743841208523E-16</v>
      </c>
      <c r="CN197" s="24">
        <f t="shared" si="172"/>
        <v>21.7955463858159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252.10592533338991</v>
      </c>
      <c r="CZ197" s="62">
        <f t="shared" ref="CZ197:CZ203" si="208">$CZ$3</f>
        <v>272.71831345325313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3.6148285530776025</v>
      </c>
      <c r="DH197" s="23">
        <f>EXP(-LN(2)/2)*DH196+(1-EXP(-LN(2)/2))/(LN(2)/2)*DB197*DE197*VLOOKUP('Données projet'!$B$13,Paramètres!$A$1:$I$89,3,0)*0.475*44/12</f>
        <v>1.1458897311988619E-19</v>
      </c>
      <c r="DI197" s="24">
        <f t="shared" si="175"/>
        <v>3.6148285530776025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423.0896575168394</v>
      </c>
      <c r="DU197" s="62">
        <f t="shared" ref="DU197:DU203" si="209">$DU$3</f>
        <v>305.98537395014284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15.941895614149162</v>
      </c>
      <c r="EB197" s="23">
        <f>EXP(-LN(2)/25)*EB196+(1-EXP(-LN(2)/25))/(LN(2)/25)*Calculateur!DW197*Calculateur!DY197*VLOOKUP('Données projet'!$B$14,Paramètres!$A$1:$I$89,3,0)*0.475*44/12</f>
        <v>7.5834035554918744</v>
      </c>
      <c r="EC197" s="23">
        <f>EXP(-LN(2)/2)*EC196+(1-EXP(-LN(2)/2))/(LN(2)/2)*DW197*DZ197*VLOOKUP('Données projet'!$B$14,Paramètres!$A$1:$I$89,3,0)*0.475*44/12</f>
        <v>2.2465517418205676E-20</v>
      </c>
      <c r="ED197" s="24">
        <f t="shared" si="178"/>
        <v>23.525299169641038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2.2737367544323206E-13</v>
      </c>
      <c r="EK197" s="18">
        <f>EJ197*VLOOKUP('Données projet'!$B$15,Paramètres!$A$1:$I$89,3,0)*VLOOKUP('Données projet'!$B$15,Paramètres!$A$1:$I$89,5,0)</f>
        <v>1.3596945791505279E-13</v>
      </c>
      <c r="EL197" s="14">
        <f t="shared" si="179"/>
        <v>1.9708830566360721E-12</v>
      </c>
      <c r="EM197" s="22">
        <f t="shared" si="180"/>
        <v>3.669434796176543E-12</v>
      </c>
      <c r="EN197" s="62">
        <f t="shared" si="198"/>
        <v>290.25878253422343</v>
      </c>
      <c r="EO197" s="62">
        <f ca="1">AVERAGE(OFFSET($EN$3,0,0,'Données projet'!$E$15+1,1))-AVERAGE(OFFSET($H$3,0,0,'Données projet'!$E$15+1,1))</f>
        <v>281.21543175875604</v>
      </c>
      <c r="EP197" s="62">
        <f t="shared" ref="EP197:EP203" si="210">$EP$3</f>
        <v>366.68536296857428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6.7210381436395048</v>
      </c>
      <c r="EW197" s="23">
        <f>EXP(-LN(2)/25)*EW196+(1-EXP(-LN(2)/25))/(LN(2)/25)*Calculateur!ER197*Calculateur!ET197*VLOOKUP('Données projet'!$B$15,Paramètres!$A$1:$I$89,3,0)*0.475*44/12</f>
        <v>0.78715992789184774</v>
      </c>
      <c r="EX197" s="23">
        <f>EXP(-LN(2)/2)*EX196+(1-EXP(-LN(2)/2))/(LN(2)/2)*ER197*EU197*VLOOKUP('Données projet'!$B$15,Paramètres!$A$1:$I$89,3,0)*0.475*44/12</f>
        <v>3.5352082719357271E-20</v>
      </c>
      <c r="EY197" s="24">
        <f t="shared" si="181"/>
        <v>7.5081980715313525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2.2737367544323206E-13</v>
      </c>
      <c r="FF197" s="18">
        <f>FE197*VLOOKUP('Données projet'!$B$16,Paramètres!$A$1:$I$89,3,0)*VLOOKUP('Données projet'!$B$16,Paramètres!$A$1:$I$89,5,0)</f>
        <v>1.2710188457276673E-13</v>
      </c>
      <c r="FG197" s="14">
        <f t="shared" si="182"/>
        <v>1.856866851063998E-12</v>
      </c>
      <c r="FH197" s="22">
        <f t="shared" si="183"/>
        <v>3.4554122145673649E-12</v>
      </c>
      <c r="FI197" s="62">
        <f t="shared" si="199"/>
        <v>290.2587825342232</v>
      </c>
      <c r="FJ197" s="62">
        <f ca="1">AVERAGE(OFFSET($FI$3,0,0,'Données projet'!$E$16+1,1))-AVERAGE(OFFSET($H$3,0,0,'Données projet'!$E$16+1,1))</f>
        <v>280.9225643428145</v>
      </c>
      <c r="FK197" s="62">
        <f t="shared" ref="FK197:FK203" si="211">$FK$3</f>
        <v>236.89414218053955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21.024838556689147</v>
      </c>
      <c r="FR197" s="23">
        <f>EXP(-LN(2)/25)*FR196+(1-EXP(-LN(2)/25))/(LN(2)/25)*Calculateur!FM197*Calculateur!FO197*VLOOKUP('Données projet'!$B$16,Paramètres!$A$1:$I$89,3,0)*0.475*44/12</f>
        <v>2.519341641350402</v>
      </c>
      <c r="FS197" s="23">
        <f>EXP(-LN(2)/2)*FS196+(1-EXP(-LN(2)/2))/(LN(2)/2)*FM197*FP197*VLOOKUP('Données projet'!$B$16,Paramètres!$A$1:$I$89,3,0)*0.475*44/12</f>
        <v>9.3059401304433517E-22</v>
      </c>
      <c r="FT197" s="24">
        <f t="shared" si="184"/>
        <v>23.544180198039548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-5.6843418860808015E-13</v>
      </c>
      <c r="GA197" s="18">
        <f>FZ197*VLOOKUP('Données projet'!$B$17,Paramètres!$A$1:$I$89,3,0)*VLOOKUP('Données projet'!$B$17,Paramètres!$A$1:$I$89,5,0)</f>
        <v>-2.5124791136477147E-13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325.67421864225201</v>
      </c>
      <c r="GF197" s="62">
        <f t="shared" ref="GF197:GF203" si="212">$GF$3</f>
        <v>542.01920418736745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13.607066555284899</v>
      </c>
      <c r="GM197" s="23">
        <f>EXP(-LN(2)/25)*GM196+(1-EXP(-LN(2)/25))/(LN(2)/25)*Calculateur!GH197*Calculateur!GJ197*VLOOKUP('Données projet'!$B$17,Paramètres!$A$1:$I$89,3,0)*0.475*44/12</f>
        <v>2.9526426631521101</v>
      </c>
      <c r="GN197" s="23">
        <f>EXP(-LN(2)/2)*GN196+(1-EXP(-LN(2)/2))/(LN(2)/2)*GH197*GK197*VLOOKUP('Données projet'!$B$17,Paramètres!$A$1:$I$89,3,0)*0.475*44/12</f>
        <v>9.4783796111871646E-22</v>
      </c>
      <c r="GO197" s="23">
        <f t="shared" si="187"/>
        <v>16.559709218437007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-2.5579538487363607E-13</v>
      </c>
      <c r="GV197" s="18">
        <f>GU197*VLOOKUP('Données projet'!$B$18,Paramètres!$A$1:$I$89,3,0)*VLOOKUP('Données projet'!$B$18,Paramètres!$A$1:$I$89,5,0)</f>
        <v>-2.5937652026186701E-13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220.89224520315713</v>
      </c>
      <c r="HA197" s="62">
        <f t="shared" ref="HA197:HA203" si="213">$HA$3</f>
        <v>141.82763623159096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-2.8421709430404007E-14</v>
      </c>
      <c r="O198" s="14">
        <f>N198*VLOOKUP('Données projet'!$B$9,Paramètres!$A$1:$I$89,3,0)*VLOOKUP('Données projet'!$B$9,Paramètres!$A$1:$I$89,5,0)</f>
        <v>-2.7489477361086758E-14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84.959354125980269</v>
      </c>
      <c r="T198" s="62">
        <f t="shared" si="204"/>
        <v>89.658970210276806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0.48650236543746928</v>
      </c>
      <c r="AB198" s="23">
        <f>EXP(-LN(2)/2)*AB197+(1-EXP(-LN(2)/2))/(LN(2)/2)*V198*Y198*VLOOKUP('Données projet'!$B$9,Paramètres!$A$1:$I$89,3,0)*0.475*44/12</f>
        <v>5.0156644971728885E-19</v>
      </c>
      <c r="AC198" s="24">
        <f t="shared" si="163"/>
        <v>0.48650236543746928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-1.1368683772161603E-12</v>
      </c>
      <c r="AJ198" s="14">
        <f>AI198*VLOOKUP('Données projet'!$B$10,Paramètres!$A$1:$I$89,3,0)*VLOOKUP('Données projet'!$B$10,Paramètres!$A$1:$I$89,5,0)</f>
        <v>-1.0818439477588981E-12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592.76231355549089</v>
      </c>
      <c r="AO198" s="62">
        <f t="shared" si="205"/>
        <v>200.66895551079014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71.948836801453467</v>
      </c>
      <c r="AV198" s="23">
        <f>EXP(-LN(2)/25)*AV197+(1-EXP(-LN(2)/25))/(LN(2)/25)*Calculateur!AQ198*Calculateur!AS198*VLOOKUP('Données projet'!$B$10,Paramètres!$A$1:$I$89,3,0)*0.475*44/12</f>
        <v>12.799532834138207</v>
      </c>
      <c r="AW198" s="23">
        <f>EXP(-LN(2)/2)*AW197+(1-EXP(-LN(2)/2))/(LN(2)/2)*AQ198*AT198*VLOOKUP('Données projet'!$B$10,Paramètres!$A$1:$I$89,3,0)*0.475*44/12</f>
        <v>6.1615907828549705E-20</v>
      </c>
      <c r="AX198" s="23">
        <f t="shared" si="166"/>
        <v>84.748369635591672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-2.0572770154103635E-13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316.71836722354374</v>
      </c>
      <c r="BJ198" s="62">
        <f t="shared" si="206"/>
        <v>164.34067012996618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40.758165453537195</v>
      </c>
      <c r="BQ198" s="23">
        <f>EXP(-LN(2)/25)*BQ197+(1-EXP(-LN(2)/25))/(LN(2)/25)*Calculateur!BL198*Calculateur!BN198*VLOOKUP('Données projet'!$B$11,Paramètres!$A$1:$I$89,3,0)*0.475*44/12</f>
        <v>0.49811917947302892</v>
      </c>
      <c r="BR198" s="23">
        <f>EXP(-LN(2)/2)*BR197+(1-EXP(-LN(2)/2))/(LN(2)/2)*BL198*BO198*VLOOKUP('Données projet'!$B$11,Paramètres!$A$1:$I$89,3,0)*0.475*44/12</f>
        <v>3.9807169522099563E-21</v>
      </c>
      <c r="BS198" s="24">
        <f t="shared" si="169"/>
        <v>41.256284633010225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2.8421709430404007E-14</v>
      </c>
      <c r="BZ198" s="14">
        <f>BY198*VLOOKUP('Données projet'!$B$12,Paramètres!$A$1:$I$89,3,0)*VLOOKUP('Données projet'!$B$12,Paramètres!$A$1:$I$89,5,0)</f>
        <v>3.2366642699344085E-14</v>
      </c>
      <c r="CA198" s="14">
        <f t="shared" si="170"/>
        <v>5.5446527398450045E-13</v>
      </c>
      <c r="CB198" s="22">
        <f t="shared" si="171"/>
        <v>1.0220655882243624E-12</v>
      </c>
      <c r="CC198" s="62">
        <f t="shared" si="195"/>
        <v>290.31211911691952</v>
      </c>
      <c r="CD198" s="62">
        <f ca="1">AVERAGE(OFFSET($CC$3,0,0,'Données projet'!$E$12+1,1))-AVERAGE(OFFSET($H$3,0,0,'Données projet'!$E$12+1,1))</f>
        <v>454.9779384236806</v>
      </c>
      <c r="CE198" s="62">
        <f t="shared" si="207"/>
        <v>379.32753348721906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17.436680252991493</v>
      </c>
      <c r="CL198" s="23">
        <f>EXP(-LN(2)/25)*CL197+(1-EXP(-LN(2)/25))/(LN(2)/25)*Calculateur!CG198*Calculateur!CI198*VLOOKUP('Données projet'!$B$12,Paramètres!$A$1:$I$89,3,0)*0.475*44/12</f>
        <v>3.9004479473295031</v>
      </c>
      <c r="CM198" s="23">
        <f>EXP(-LN(2)/2)*CM197+(1-EXP(-LN(2)/2))/(LN(2)/2)*CG198*CJ198*VLOOKUP('Données projet'!$B$12,Paramètres!$A$1:$I$89,3,0)*0.475*44/12</f>
        <v>6.2382900425002274E-16</v>
      </c>
      <c r="CN198" s="24">
        <f t="shared" si="172"/>
        <v>21.337128200320997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252.10592533338991</v>
      </c>
      <c r="CZ198" s="62">
        <f t="shared" si="208"/>
        <v>272.71831345325313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3.5159808761981237</v>
      </c>
      <c r="DH198" s="23">
        <f>EXP(-LN(2)/2)*DH197+(1-EXP(-LN(2)/2))/(LN(2)/2)*DB198*DE198*VLOOKUP('Données projet'!$B$13,Paramètres!$A$1:$I$89,3,0)*0.475*44/12</f>
        <v>8.1026639942274541E-20</v>
      </c>
      <c r="DI198" s="24">
        <f t="shared" si="175"/>
        <v>3.5159808761981237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423.0896575168394</v>
      </c>
      <c r="DU198" s="62">
        <f t="shared" si="209"/>
        <v>305.98537395014284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15.629284764751896</v>
      </c>
      <c r="EB198" s="23">
        <f>EXP(-LN(2)/25)*EB197+(1-EXP(-LN(2)/25))/(LN(2)/25)*Calculateur!DW198*Calculateur!DY198*VLOOKUP('Données projet'!$B$14,Paramètres!$A$1:$I$89,3,0)*0.475*44/12</f>
        <v>7.3760349864730879</v>
      </c>
      <c r="EC198" s="23">
        <f>EXP(-LN(2)/2)*EC197+(1-EXP(-LN(2)/2))/(LN(2)/2)*DW198*DZ198*VLOOKUP('Données projet'!$B$14,Paramètres!$A$1:$I$89,3,0)*0.475*44/12</f>
        <v>1.5885519709277733E-20</v>
      </c>
      <c r="ED198" s="24">
        <f t="shared" si="178"/>
        <v>23.005319751224985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2.2737367544323206E-13</v>
      </c>
      <c r="EK198" s="18">
        <f>EJ198*VLOOKUP('Données projet'!$B$15,Paramètres!$A$1:$I$89,3,0)*VLOOKUP('Données projet'!$B$15,Paramètres!$A$1:$I$89,5,0)</f>
        <v>1.3596945791505279E-13</v>
      </c>
      <c r="EL198" s="14">
        <f t="shared" si="179"/>
        <v>1.9708830566360721E-12</v>
      </c>
      <c r="EM198" s="22">
        <f t="shared" si="180"/>
        <v>3.669434796176543E-12</v>
      </c>
      <c r="EN198" s="62">
        <f t="shared" si="198"/>
        <v>290.31211911692219</v>
      </c>
      <c r="EO198" s="62">
        <f ca="1">AVERAGE(OFFSET($EN$3,0,0,'Données projet'!$E$15+1,1))-AVERAGE(OFFSET($H$3,0,0,'Données projet'!$E$15+1,1))</f>
        <v>281.21543175875604</v>
      </c>
      <c r="EP198" s="62">
        <f t="shared" si="210"/>
        <v>366.68536296857428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6.5892426850712171</v>
      </c>
      <c r="EW198" s="23">
        <f>EXP(-LN(2)/25)*EW197+(1-EXP(-LN(2)/25))/(LN(2)/25)*Calculateur!ER198*Calculateur!ET198*VLOOKUP('Données projet'!$B$15,Paramètres!$A$1:$I$89,3,0)*0.475*44/12</f>
        <v>0.76563499826870363</v>
      </c>
      <c r="EX198" s="23">
        <f>EXP(-LN(2)/2)*EX197+(1-EXP(-LN(2)/2))/(LN(2)/2)*ER198*EU198*VLOOKUP('Données projet'!$B$15,Paramètres!$A$1:$I$89,3,0)*0.475*44/12</f>
        <v>2.499769741992529E-20</v>
      </c>
      <c r="EY198" s="24">
        <f t="shared" si="181"/>
        <v>7.3548776833399208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2.2737367544323206E-13</v>
      </c>
      <c r="FF198" s="18">
        <f>FE198*VLOOKUP('Données projet'!$B$16,Paramètres!$A$1:$I$89,3,0)*VLOOKUP('Données projet'!$B$16,Paramètres!$A$1:$I$89,5,0)</f>
        <v>1.2710188457276673E-13</v>
      </c>
      <c r="FG198" s="14">
        <f t="shared" si="182"/>
        <v>1.856866851063998E-12</v>
      </c>
      <c r="FH198" s="22">
        <f t="shared" si="183"/>
        <v>3.4554122145673649E-12</v>
      </c>
      <c r="FI198" s="62">
        <f t="shared" si="199"/>
        <v>290.31211911692196</v>
      </c>
      <c r="FJ198" s="62">
        <f ca="1">AVERAGE(OFFSET($FI$3,0,0,'Données projet'!$E$16+1,1))-AVERAGE(OFFSET($H$3,0,0,'Données projet'!$E$16+1,1))</f>
        <v>280.9225643428145</v>
      </c>
      <c r="FK198" s="62">
        <f t="shared" si="211"/>
        <v>236.89414218053955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20.61255429647774</v>
      </c>
      <c r="FR198" s="23">
        <f>EXP(-LN(2)/25)*FR197+(1-EXP(-LN(2)/25))/(LN(2)/25)*Calculateur!FM198*Calculateur!FO198*VLOOKUP('Données projet'!$B$16,Paramètres!$A$1:$I$89,3,0)*0.475*44/12</f>
        <v>2.4504501116812563</v>
      </c>
      <c r="FS198" s="23">
        <f>EXP(-LN(2)/2)*FS197+(1-EXP(-LN(2)/2))/(LN(2)/2)*FM198*FP198*VLOOKUP('Données projet'!$B$16,Paramètres!$A$1:$I$89,3,0)*0.475*44/12</f>
        <v>6.5802933715525187E-22</v>
      </c>
      <c r="FT198" s="24">
        <f t="shared" si="184"/>
        <v>23.063004408158996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-5.6843418860808015E-13</v>
      </c>
      <c r="GA198" s="18">
        <f>FZ198*VLOOKUP('Données projet'!$B$17,Paramètres!$A$1:$I$89,3,0)*VLOOKUP('Données projet'!$B$17,Paramètres!$A$1:$I$89,5,0)</f>
        <v>-2.5124791136477147E-13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325.67421864225201</v>
      </c>
      <c r="GF198" s="62">
        <f t="shared" si="212"/>
        <v>542.01920418736745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13.340240279626855</v>
      </c>
      <c r="GM198" s="23">
        <f>EXP(-LN(2)/25)*GM197+(1-EXP(-LN(2)/25))/(LN(2)/25)*Calculateur!GH198*Calculateur!GJ198*VLOOKUP('Données projet'!$B$17,Paramètres!$A$1:$I$89,3,0)*0.475*44/12</f>
        <v>2.8719024942554863</v>
      </c>
      <c r="GN198" s="23">
        <f>EXP(-LN(2)/2)*GN197+(1-EXP(-LN(2)/2))/(LN(2)/2)*GH198*GK198*VLOOKUP('Données projet'!$B$17,Paramètres!$A$1:$I$89,3,0)*0.475*44/12</f>
        <v>6.702226497730756E-22</v>
      </c>
      <c r="GO198" s="23">
        <f t="shared" si="187"/>
        <v>16.212142773882341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-2.5579538487363607E-13</v>
      </c>
      <c r="GV198" s="18">
        <f>GU198*VLOOKUP('Données projet'!$B$18,Paramètres!$A$1:$I$89,3,0)*VLOOKUP('Données projet'!$B$18,Paramètres!$A$1:$I$89,5,0)</f>
        <v>-2.5937652026186701E-13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220.89224520315713</v>
      </c>
      <c r="HA198" s="62">
        <f t="shared" si="213"/>
        <v>141.82763623159096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-2.8421709430404007E-14</v>
      </c>
      <c r="O199" s="14">
        <f>N199*VLOOKUP('Données projet'!$B$9,Paramètres!$A$1:$I$89,3,0)*VLOOKUP('Données projet'!$B$9,Paramètres!$A$1:$I$89,5,0)</f>
        <v>-2.7489477361086758E-14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84.959354125980269</v>
      </c>
      <c r="T199" s="62">
        <f t="shared" si="204"/>
        <v>89.658970210276806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0.4731989326705342</v>
      </c>
      <c r="AB199" s="23">
        <f>EXP(-LN(2)/2)*AB198+(1-EXP(-LN(2)/2))/(LN(2)/2)*V199*Y199*VLOOKUP('Données projet'!$B$9,Paramètres!$A$1:$I$89,3,0)*0.475*44/12</f>
        <v>3.5466103781075646E-19</v>
      </c>
      <c r="AC199" s="24">
        <f t="shared" si="163"/>
        <v>0.4731989326705342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-1.1368683772161603E-12</v>
      </c>
      <c r="AJ199" s="14">
        <f>AI199*VLOOKUP('Données projet'!$B$10,Paramètres!$A$1:$I$89,3,0)*VLOOKUP('Données projet'!$B$10,Paramètres!$A$1:$I$89,5,0)</f>
        <v>-1.0818439477588981E-12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592.76231355549089</v>
      </c>
      <c r="AO199" s="62">
        <f t="shared" si="205"/>
        <v>200.66895551079014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70.537963996234183</v>
      </c>
      <c r="AV199" s="23">
        <f>EXP(-LN(2)/25)*AV198+(1-EXP(-LN(2)/25))/(LN(2)/25)*Calculateur!AQ199*Calculateur!AS199*VLOOKUP('Données projet'!$B$10,Paramètres!$A$1:$I$89,3,0)*0.475*44/12</f>
        <v>12.44952893569052</v>
      </c>
      <c r="AW199" s="23">
        <f>EXP(-LN(2)/2)*AW198+(1-EXP(-LN(2)/2))/(LN(2)/2)*AQ199*AT199*VLOOKUP('Données projet'!$B$10,Paramètres!$A$1:$I$89,3,0)*0.475*44/12</f>
        <v>4.3569026254532778E-20</v>
      </c>
      <c r="AX199" s="23">
        <f t="shared" si="166"/>
        <v>82.987492931924706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-2.0572770154103635E-13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316.71836722354374</v>
      </c>
      <c r="BJ199" s="62">
        <f t="shared" si="206"/>
        <v>164.34067012996618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39.958922689019531</v>
      </c>
      <c r="BQ199" s="23">
        <f>EXP(-LN(2)/25)*BQ198+(1-EXP(-LN(2)/25))/(LN(2)/25)*Calculateur!BL199*Calculateur!BN199*VLOOKUP('Données projet'!$B$11,Paramètres!$A$1:$I$89,3,0)*0.475*44/12</f>
        <v>0.48449808431538977</v>
      </c>
      <c r="BR199" s="23">
        <f>EXP(-LN(2)/2)*BR198+(1-EXP(-LN(2)/2))/(LN(2)/2)*BL199*BO199*VLOOKUP('Données projet'!$B$11,Paramètres!$A$1:$I$89,3,0)*0.475*44/12</f>
        <v>2.814791950891906E-21</v>
      </c>
      <c r="BS199" s="24">
        <f t="shared" si="169"/>
        <v>40.443420773334921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2.8421709430404007E-14</v>
      </c>
      <c r="BZ199" s="14">
        <f>BY199*VLOOKUP('Données projet'!$B$12,Paramètres!$A$1:$I$89,3,0)*VLOOKUP('Données projet'!$B$12,Paramètres!$A$1:$I$89,5,0)</f>
        <v>3.2366642699344085E-14</v>
      </c>
      <c r="CA199" s="14">
        <f t="shared" si="170"/>
        <v>5.5446527398450045E-13</v>
      </c>
      <c r="CB199" s="22">
        <f t="shared" si="171"/>
        <v>1.0220655882243624E-12</v>
      </c>
      <c r="CC199" s="62">
        <f t="shared" si="195"/>
        <v>290.36453042915122</v>
      </c>
      <c r="CD199" s="62">
        <f ca="1">AVERAGE(OFFSET($CC$3,0,0,'Données projet'!$E$12+1,1))-AVERAGE(OFFSET($H$3,0,0,'Données projet'!$E$12+1,1))</f>
        <v>454.9779384236806</v>
      </c>
      <c r="CE199" s="62">
        <f t="shared" si="207"/>
        <v>379.32753348721906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17.094757588555133</v>
      </c>
      <c r="CL199" s="23">
        <f>EXP(-LN(2)/25)*CL198+(1-EXP(-LN(2)/25))/(LN(2)/25)*Calculateur!CG199*Calculateur!CI199*VLOOKUP('Données projet'!$B$12,Paramètres!$A$1:$I$89,3,0)*0.475*44/12</f>
        <v>3.7937899930941348</v>
      </c>
      <c r="CM199" s="23">
        <f>EXP(-LN(2)/2)*CM198+(1-EXP(-LN(2)/2))/(LN(2)/2)*CG199*CJ199*VLOOKUP('Données projet'!$B$12,Paramètres!$A$1:$I$89,3,0)*0.475*44/12</f>
        <v>4.4111371920604271E-16</v>
      </c>
      <c r="CN199" s="24">
        <f t="shared" si="172"/>
        <v>20.888547581649267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252.10592533338991</v>
      </c>
      <c r="CZ199" s="62">
        <f t="shared" si="208"/>
        <v>272.71831345325313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3.4198361942410878</v>
      </c>
      <c r="DH199" s="23">
        <f>EXP(-LN(2)/2)*DH198+(1-EXP(-LN(2)/2))/(LN(2)/2)*DB199*DE199*VLOOKUP('Données projet'!$B$13,Paramètres!$A$1:$I$89,3,0)*0.475*44/12</f>
        <v>5.7294486559943095E-20</v>
      </c>
      <c r="DI199" s="24">
        <f t="shared" si="175"/>
        <v>3.4198361942410878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423.0896575168394</v>
      </c>
      <c r="DU199" s="62">
        <f t="shared" si="209"/>
        <v>305.98537395014284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15.32280402343752</v>
      </c>
      <c r="EB199" s="23">
        <f>EXP(-LN(2)/25)*EB198+(1-EXP(-LN(2)/25))/(LN(2)/25)*Calculateur!DW199*Calculateur!DY199*VLOOKUP('Données projet'!$B$14,Paramètres!$A$1:$I$89,3,0)*0.475*44/12</f>
        <v>7.1743369218791591</v>
      </c>
      <c r="EC199" s="23">
        <f>EXP(-LN(2)/2)*EC198+(1-EXP(-LN(2)/2))/(LN(2)/2)*DW199*DZ199*VLOOKUP('Données projet'!$B$14,Paramètres!$A$1:$I$89,3,0)*0.475*44/12</f>
        <v>1.1232758709102838E-20</v>
      </c>
      <c r="ED199" s="24">
        <f t="shared" si="178"/>
        <v>22.49714094531668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2.2737367544323206E-13</v>
      </c>
      <c r="EK199" s="18">
        <f>EJ199*VLOOKUP('Données projet'!$B$15,Paramètres!$A$1:$I$89,3,0)*VLOOKUP('Données projet'!$B$15,Paramètres!$A$1:$I$89,5,0)</f>
        <v>1.3596945791505279E-13</v>
      </c>
      <c r="EL199" s="14">
        <f t="shared" si="179"/>
        <v>1.9708830566360721E-12</v>
      </c>
      <c r="EM199" s="22">
        <f t="shared" si="180"/>
        <v>3.669434796176543E-12</v>
      </c>
      <c r="EN199" s="62">
        <f t="shared" si="198"/>
        <v>290.36453042915389</v>
      </c>
      <c r="EO199" s="62">
        <f ca="1">AVERAGE(OFFSET($EN$3,0,0,'Données projet'!$E$15+1,1))-AVERAGE(OFFSET($H$3,0,0,'Données projet'!$E$15+1,1))</f>
        <v>281.21543175875604</v>
      </c>
      <c r="EP199" s="62">
        <f t="shared" si="210"/>
        <v>366.68536296857428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6.4600316550581613</v>
      </c>
      <c r="EW199" s="23">
        <f>EXP(-LN(2)/25)*EW198+(1-EXP(-LN(2)/25))/(LN(2)/25)*Calculateur!ER199*Calculateur!ET199*VLOOKUP('Données projet'!$B$15,Paramètres!$A$1:$I$89,3,0)*0.475*44/12</f>
        <v>0.74469866897805126</v>
      </c>
      <c r="EX199" s="23">
        <f>EXP(-LN(2)/2)*EX198+(1-EXP(-LN(2)/2))/(LN(2)/2)*ER199*EU199*VLOOKUP('Données projet'!$B$15,Paramètres!$A$1:$I$89,3,0)*0.475*44/12</f>
        <v>1.7676041359678636E-20</v>
      </c>
      <c r="EY199" s="24">
        <f t="shared" si="181"/>
        <v>7.2047303240362126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2.2737367544323206E-13</v>
      </c>
      <c r="FF199" s="18">
        <f>FE199*VLOOKUP('Données projet'!$B$16,Paramètres!$A$1:$I$89,3,0)*VLOOKUP('Données projet'!$B$16,Paramètres!$A$1:$I$89,5,0)</f>
        <v>1.2710188457276673E-13</v>
      </c>
      <c r="FG199" s="14">
        <f t="shared" si="182"/>
        <v>1.856866851063998E-12</v>
      </c>
      <c r="FH199" s="22">
        <f t="shared" si="183"/>
        <v>3.4554122145673649E-12</v>
      </c>
      <c r="FI199" s="62">
        <f t="shared" si="199"/>
        <v>290.36453042915366</v>
      </c>
      <c r="FJ199" s="62">
        <f ca="1">AVERAGE(OFFSET($FI$3,0,0,'Données projet'!$E$16+1,1))-AVERAGE(OFFSET($H$3,0,0,'Données projet'!$E$16+1,1))</f>
        <v>280.9225643428145</v>
      </c>
      <c r="FK199" s="62">
        <f t="shared" si="211"/>
        <v>236.89414218053955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20.208354679140509</v>
      </c>
      <c r="FR199" s="23">
        <f>EXP(-LN(2)/25)*FR198+(1-EXP(-LN(2)/25))/(LN(2)/25)*Calculateur!FM199*Calculateur!FO199*VLOOKUP('Données projet'!$B$16,Paramètres!$A$1:$I$89,3,0)*0.475*44/12</f>
        <v>2.3834424245137615</v>
      </c>
      <c r="FS199" s="23">
        <f>EXP(-LN(2)/2)*FS198+(1-EXP(-LN(2)/2))/(LN(2)/2)*FM199*FP199*VLOOKUP('Données projet'!$B$16,Paramètres!$A$1:$I$89,3,0)*0.475*44/12</f>
        <v>4.6529700652216759E-22</v>
      </c>
      <c r="FT199" s="24">
        <f t="shared" si="184"/>
        <v>22.591797103654272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-5.6843418860808015E-13</v>
      </c>
      <c r="GA199" s="18">
        <f>FZ199*VLOOKUP('Données projet'!$B$17,Paramètres!$A$1:$I$89,3,0)*VLOOKUP('Données projet'!$B$17,Paramètres!$A$1:$I$89,5,0)</f>
        <v>-2.5124791136477147E-13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325.67421864225201</v>
      </c>
      <c r="GF199" s="62">
        <f t="shared" si="212"/>
        <v>542.01920418736745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13.078646304486506</v>
      </c>
      <c r="GM199" s="23">
        <f>EXP(-LN(2)/25)*GM198+(1-EXP(-LN(2)/25))/(LN(2)/25)*Calculateur!GH199*Calculateur!GJ199*VLOOKUP('Données projet'!$B$17,Paramètres!$A$1:$I$89,3,0)*0.475*44/12</f>
        <v>2.7933701695232815</v>
      </c>
      <c r="GN199" s="23">
        <f>EXP(-LN(2)/2)*GN198+(1-EXP(-LN(2)/2))/(LN(2)/2)*GH199*GK199*VLOOKUP('Données projet'!$B$17,Paramètres!$A$1:$I$89,3,0)*0.475*44/12</f>
        <v>4.7391898055935823E-22</v>
      </c>
      <c r="GO199" s="23">
        <f t="shared" si="187"/>
        <v>15.872016474009788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-2.5579538487363607E-13</v>
      </c>
      <c r="GV199" s="18">
        <f>GU199*VLOOKUP('Données projet'!$B$18,Paramètres!$A$1:$I$89,3,0)*VLOOKUP('Données projet'!$B$18,Paramètres!$A$1:$I$89,5,0)</f>
        <v>-2.5937652026186701E-13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220.89224520315713</v>
      </c>
      <c r="HA199" s="62">
        <f t="shared" si="213"/>
        <v>141.82763623159096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-2.8421709430404007E-14</v>
      </c>
      <c r="O200" s="14">
        <f>N200*VLOOKUP('Données projet'!$B$9,Paramètres!$A$1:$I$89,3,0)*VLOOKUP('Données projet'!$B$9,Paramètres!$A$1:$I$89,5,0)</f>
        <v>-2.7489477361086758E-14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84.959354125980269</v>
      </c>
      <c r="T200" s="62">
        <f t="shared" si="204"/>
        <v>89.658970210276806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0.46025928297220808</v>
      </c>
      <c r="AB200" s="23">
        <f>EXP(-LN(2)/2)*AB199+(1-EXP(-LN(2)/2))/(LN(2)/2)*V200*Y200*VLOOKUP('Données projet'!$B$9,Paramètres!$A$1:$I$89,3,0)*0.475*44/12</f>
        <v>2.5078322485864443E-19</v>
      </c>
      <c r="AC200" s="24">
        <f t="shared" si="163"/>
        <v>0.46025928297220808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-1.1368683772161603E-12</v>
      </c>
      <c r="AJ200" s="14">
        <f>AI200*VLOOKUP('Données projet'!$B$10,Paramètres!$A$1:$I$89,3,0)*VLOOKUP('Données projet'!$B$10,Paramètres!$A$1:$I$89,5,0)</f>
        <v>-1.0818439477588981E-12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592.76231355549089</v>
      </c>
      <c r="AO200" s="62">
        <f t="shared" si="205"/>
        <v>200.66895551079014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69.154757546177805</v>
      </c>
      <c r="AV200" s="23">
        <f>EXP(-LN(2)/25)*AV199+(1-EXP(-LN(2)/25))/(LN(2)/25)*Calculateur!AQ200*Calculateur!AS200*VLOOKUP('Données projet'!$B$10,Paramètres!$A$1:$I$89,3,0)*0.475*44/12</f>
        <v>12.109095912251789</v>
      </c>
      <c r="AW200" s="23">
        <f>EXP(-LN(2)/2)*AW199+(1-EXP(-LN(2)/2))/(LN(2)/2)*AQ200*AT200*VLOOKUP('Données projet'!$B$10,Paramètres!$A$1:$I$89,3,0)*0.475*44/12</f>
        <v>3.0807953914274852E-20</v>
      </c>
      <c r="AX200" s="23">
        <f t="shared" si="166"/>
        <v>81.263853458429594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-2.0572770154103635E-13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316.71836722354374</v>
      </c>
      <c r="BJ200" s="62">
        <f t="shared" si="206"/>
        <v>164.34067012996618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39.175352587624111</v>
      </c>
      <c r="BQ200" s="23">
        <f>EXP(-LN(2)/25)*BQ199+(1-EXP(-LN(2)/25))/(LN(2)/25)*Calculateur!BL200*Calculateur!BN200*VLOOKUP('Données projet'!$B$11,Paramètres!$A$1:$I$89,3,0)*0.475*44/12</f>
        <v>0.47124945872113849</v>
      </c>
      <c r="BR200" s="23">
        <f>EXP(-LN(2)/2)*BR199+(1-EXP(-LN(2)/2))/(LN(2)/2)*BL200*BO200*VLOOKUP('Données projet'!$B$11,Paramètres!$A$1:$I$89,3,0)*0.475*44/12</f>
        <v>1.9903584761049782E-21</v>
      </c>
      <c r="BS200" s="24">
        <f t="shared" si="169"/>
        <v>39.646602046345251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2.8421709430404007E-14</v>
      </c>
      <c r="BZ200" s="14">
        <f>BY200*VLOOKUP('Données projet'!$B$12,Paramètres!$A$1:$I$89,3,0)*VLOOKUP('Données projet'!$B$12,Paramètres!$A$1:$I$89,5,0)</f>
        <v>3.2366642699344085E-14</v>
      </c>
      <c r="CA200" s="14">
        <f t="shared" si="170"/>
        <v>5.5446527398450045E-13</v>
      </c>
      <c r="CB200" s="22">
        <f t="shared" si="171"/>
        <v>1.0220655882243624E-12</v>
      </c>
      <c r="CC200" s="62">
        <f t="shared" si="195"/>
        <v>290.41603252228981</v>
      </c>
      <c r="CD200" s="62">
        <f ca="1">AVERAGE(OFFSET($CC$3,0,0,'Données projet'!$E$12+1,1))-AVERAGE(OFFSET($H$3,0,0,'Données projet'!$E$12+1,1))</f>
        <v>454.9779384236806</v>
      </c>
      <c r="CE200" s="62">
        <f t="shared" si="207"/>
        <v>379.32753348721906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16.759539819016137</v>
      </c>
      <c r="CL200" s="23">
        <f>EXP(-LN(2)/25)*CL199+(1-EXP(-LN(2)/25))/(LN(2)/25)*Calculateur!CG200*Calculateur!CI200*VLOOKUP('Données projet'!$B$12,Paramètres!$A$1:$I$89,3,0)*0.475*44/12</f>
        <v>3.6900486062262305</v>
      </c>
      <c r="CM200" s="23">
        <f>EXP(-LN(2)/2)*CM199+(1-EXP(-LN(2)/2))/(LN(2)/2)*CG200*CJ200*VLOOKUP('Données projet'!$B$12,Paramètres!$A$1:$I$89,3,0)*0.475*44/12</f>
        <v>3.1191450212501142E-16</v>
      </c>
      <c r="CN200" s="24">
        <f t="shared" si="172"/>
        <v>20.449588425242368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252.10592533338991</v>
      </c>
      <c r="CZ200" s="62">
        <f t="shared" si="208"/>
        <v>272.71831345325313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3.3263205936681959</v>
      </c>
      <c r="DH200" s="23">
        <f>EXP(-LN(2)/2)*DH199+(1-EXP(-LN(2)/2))/(LN(2)/2)*DB200*DE200*VLOOKUP('Données projet'!$B$13,Paramètres!$A$1:$I$89,3,0)*0.475*44/12</f>
        <v>4.0513319971137271E-20</v>
      </c>
      <c r="DI200" s="24">
        <f t="shared" si="175"/>
        <v>3.3263205936681959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423.0896575168394</v>
      </c>
      <c r="DU200" s="62">
        <f t="shared" si="209"/>
        <v>305.98537395014284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15.022333182525525</v>
      </c>
      <c r="EB200" s="23">
        <f>EXP(-LN(2)/25)*EB199+(1-EXP(-LN(2)/25))/(LN(2)/25)*Calculateur!DW200*Calculateur!DY200*VLOOKUP('Données projet'!$B$14,Paramètres!$A$1:$I$89,3,0)*0.475*44/12</f>
        <v>6.9781543014683916</v>
      </c>
      <c r="EC200" s="23">
        <f>EXP(-LN(2)/2)*EC199+(1-EXP(-LN(2)/2))/(LN(2)/2)*DW200*DZ200*VLOOKUP('Données projet'!$B$14,Paramètres!$A$1:$I$89,3,0)*0.475*44/12</f>
        <v>7.9427598546388663E-21</v>
      </c>
      <c r="ED200" s="24">
        <f t="shared" si="178"/>
        <v>22.000487483993915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2.2737367544323206E-13</v>
      </c>
      <c r="EK200" s="18">
        <f>EJ200*VLOOKUP('Données projet'!$B$15,Paramètres!$A$1:$I$89,3,0)*VLOOKUP('Données projet'!$B$15,Paramètres!$A$1:$I$89,5,0)</f>
        <v>1.3596945791505279E-13</v>
      </c>
      <c r="EL200" s="14">
        <f t="shared" si="179"/>
        <v>1.9708830566360721E-12</v>
      </c>
      <c r="EM200" s="22">
        <f t="shared" si="180"/>
        <v>3.669434796176543E-12</v>
      </c>
      <c r="EN200" s="62">
        <f t="shared" si="198"/>
        <v>290.41603252229248</v>
      </c>
      <c r="EO200" s="62">
        <f ca="1">AVERAGE(OFFSET($EN$3,0,0,'Données projet'!$E$15+1,1))-AVERAGE(OFFSET($H$3,0,0,'Données projet'!$E$15+1,1))</f>
        <v>281.21543175875604</v>
      </c>
      <c r="EP200" s="62">
        <f t="shared" si="210"/>
        <v>366.68536296857428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6.333354374532715</v>
      </c>
      <c r="EW200" s="23">
        <f>EXP(-LN(2)/25)*EW199+(1-EXP(-LN(2)/25))/(LN(2)/25)*Calculateur!ER200*Calculateur!ET200*VLOOKUP('Données projet'!$B$15,Paramètres!$A$1:$I$89,3,0)*0.475*44/12</f>
        <v>0.72433484471284548</v>
      </c>
      <c r="EX200" s="23">
        <f>EXP(-LN(2)/2)*EX199+(1-EXP(-LN(2)/2))/(LN(2)/2)*ER200*EU200*VLOOKUP('Données projet'!$B$15,Paramètres!$A$1:$I$89,3,0)*0.475*44/12</f>
        <v>1.2498848709962645E-20</v>
      </c>
      <c r="EY200" s="24">
        <f t="shared" si="181"/>
        <v>7.0576892192455603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2.2737367544323206E-13</v>
      </c>
      <c r="FF200" s="18">
        <f>FE200*VLOOKUP('Données projet'!$B$16,Paramètres!$A$1:$I$89,3,0)*VLOOKUP('Données projet'!$B$16,Paramètres!$A$1:$I$89,5,0)</f>
        <v>1.2710188457276673E-13</v>
      </c>
      <c r="FG200" s="14">
        <f t="shared" si="182"/>
        <v>1.856866851063998E-12</v>
      </c>
      <c r="FH200" s="22">
        <f t="shared" si="183"/>
        <v>3.4554122145673649E-12</v>
      </c>
      <c r="FI200" s="62">
        <f t="shared" si="199"/>
        <v>290.41603252229226</v>
      </c>
      <c r="FJ200" s="62">
        <f ca="1">AVERAGE(OFFSET($FI$3,0,0,'Données projet'!$E$16+1,1))-AVERAGE(OFFSET($H$3,0,0,'Données projet'!$E$16+1,1))</f>
        <v>280.9225643428145</v>
      </c>
      <c r="FK200" s="62">
        <f t="shared" si="211"/>
        <v>236.89414218053955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19.812081169761839</v>
      </c>
      <c r="FR200" s="23">
        <f>EXP(-LN(2)/25)*FR199+(1-EXP(-LN(2)/25))/(LN(2)/25)*Calculateur!FM200*Calculateur!FO200*VLOOKUP('Données projet'!$B$16,Paramètres!$A$1:$I$89,3,0)*0.475*44/12</f>
        <v>2.3182670660756433</v>
      </c>
      <c r="FS200" s="23">
        <f>EXP(-LN(2)/2)*FS199+(1-EXP(-LN(2)/2))/(LN(2)/2)*FM200*FP200*VLOOKUP('Données projet'!$B$16,Paramètres!$A$1:$I$89,3,0)*0.475*44/12</f>
        <v>3.2901466857762594E-22</v>
      </c>
      <c r="FT200" s="24">
        <f t="shared" si="184"/>
        <v>22.130348235837481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-5.6843418860808015E-13</v>
      </c>
      <c r="GA200" s="18">
        <f>FZ200*VLOOKUP('Données projet'!$B$17,Paramètres!$A$1:$I$89,3,0)*VLOOKUP('Données projet'!$B$17,Paramètres!$A$1:$I$89,5,0)</f>
        <v>-2.5124791136477147E-13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325.67421864225201</v>
      </c>
      <c r="GF200" s="62">
        <f t="shared" si="212"/>
        <v>542.01920418736745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12.822182027642089</v>
      </c>
      <c r="GM200" s="23">
        <f>EXP(-LN(2)/25)*GM199+(1-EXP(-LN(2)/25))/(LN(2)/25)*Calculateur!GH200*Calculateur!GJ200*VLOOKUP('Données projet'!$B$17,Paramètres!$A$1:$I$89,3,0)*0.475*44/12</f>
        <v>2.7169853153407146</v>
      </c>
      <c r="GN200" s="23">
        <f>EXP(-LN(2)/2)*GN199+(1-EXP(-LN(2)/2))/(LN(2)/2)*GH200*GK200*VLOOKUP('Données projet'!$B$17,Paramètres!$A$1:$I$89,3,0)*0.475*44/12</f>
        <v>3.351113248865378E-22</v>
      </c>
      <c r="GO200" s="23">
        <f t="shared" si="187"/>
        <v>15.539167342982804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-2.5579538487363607E-13</v>
      </c>
      <c r="GV200" s="18">
        <f>GU200*VLOOKUP('Données projet'!$B$18,Paramètres!$A$1:$I$89,3,0)*VLOOKUP('Données projet'!$B$18,Paramètres!$A$1:$I$89,5,0)</f>
        <v>-2.5937652026186701E-13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220.89224520315713</v>
      </c>
      <c r="HA200" s="62">
        <f t="shared" si="213"/>
        <v>141.82763623159096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-2.8421709430404007E-14</v>
      </c>
      <c r="O201" s="14">
        <f>N201*VLOOKUP('Données projet'!$B$9,Paramètres!$A$1:$I$89,3,0)*VLOOKUP('Données projet'!$B$9,Paramètres!$A$1:$I$89,5,0)</f>
        <v>-2.7489477361086758E-14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84.959354125980269</v>
      </c>
      <c r="T201" s="62">
        <f t="shared" si="204"/>
        <v>89.658970210276806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0.4476734686753493</v>
      </c>
      <c r="AB201" s="23">
        <f>EXP(-LN(2)/2)*AB200+(1-EXP(-LN(2)/2))/(LN(2)/2)*V201*Y201*VLOOKUP('Données projet'!$B$9,Paramètres!$A$1:$I$89,3,0)*0.475*44/12</f>
        <v>1.7733051890537823E-19</v>
      </c>
      <c r="AC201" s="24">
        <f t="shared" si="163"/>
        <v>0.4476734686753493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-1.1368683772161603E-12</v>
      </c>
      <c r="AJ201" s="14">
        <f>AI201*VLOOKUP('Données projet'!$B$10,Paramètres!$A$1:$I$89,3,0)*VLOOKUP('Données projet'!$B$10,Paramètres!$A$1:$I$89,5,0)</f>
        <v>-1.0818439477588981E-12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592.76231355549089</v>
      </c>
      <c r="AO201" s="62">
        <f t="shared" si="205"/>
        <v>200.66895551079014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67.798674930934411</v>
      </c>
      <c r="AV201" s="23">
        <f>EXP(-LN(2)/25)*AV200+(1-EXP(-LN(2)/25))/(LN(2)/25)*Calculateur!AQ201*Calculateur!AS201*VLOOKUP('Données projet'!$B$10,Paramètres!$A$1:$I$89,3,0)*0.475*44/12</f>
        <v>11.777972047741585</v>
      </c>
      <c r="AW201" s="23">
        <f>EXP(-LN(2)/2)*AW200+(1-EXP(-LN(2)/2))/(LN(2)/2)*AQ201*AT201*VLOOKUP('Données projet'!$B$10,Paramètres!$A$1:$I$89,3,0)*0.475*44/12</f>
        <v>2.1784513127266389E-20</v>
      </c>
      <c r="AX201" s="23">
        <f t="shared" si="166"/>
        <v>79.576646978675996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-2.0572770154103635E-13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316.71836722354374</v>
      </c>
      <c r="BJ201" s="62">
        <f t="shared" si="206"/>
        <v>164.34067012996618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38.407147817986484</v>
      </c>
      <c r="BQ201" s="23">
        <f>EXP(-LN(2)/25)*BQ200+(1-EXP(-LN(2)/25))/(LN(2)/25)*Calculateur!BL201*Calculateur!BN201*VLOOKUP('Données projet'!$B$11,Paramètres!$A$1:$I$89,3,0)*0.475*44/12</f>
        <v>0.45836311749047698</v>
      </c>
      <c r="BR201" s="23">
        <f>EXP(-LN(2)/2)*BR200+(1-EXP(-LN(2)/2))/(LN(2)/2)*BL201*BO201*VLOOKUP('Données projet'!$B$11,Paramètres!$A$1:$I$89,3,0)*0.475*44/12</f>
        <v>1.407395975445953E-21</v>
      </c>
      <c r="BS201" s="24">
        <f t="shared" si="169"/>
        <v>38.865510935476962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2.8421709430404007E-14</v>
      </c>
      <c r="BZ201" s="14">
        <f>BY201*VLOOKUP('Données projet'!$B$12,Paramètres!$A$1:$I$89,3,0)*VLOOKUP('Données projet'!$B$12,Paramètres!$A$1:$I$89,5,0)</f>
        <v>3.2366642699344085E-14</v>
      </c>
      <c r="CA201" s="14">
        <f t="shared" si="170"/>
        <v>5.5446527398450045E-13</v>
      </c>
      <c r="CB201" s="22">
        <f t="shared" si="171"/>
        <v>1.0220655882243624E-12</v>
      </c>
      <c r="CC201" s="62">
        <f t="shared" si="195"/>
        <v>290.46664116925393</v>
      </c>
      <c r="CD201" s="62">
        <f ca="1">AVERAGE(OFFSET($CC$3,0,0,'Données projet'!$E$12+1,1))-AVERAGE(OFFSET($H$3,0,0,'Données projet'!$E$12+1,1))</f>
        <v>454.9779384236806</v>
      </c>
      <c r="CE201" s="62">
        <f t="shared" si="207"/>
        <v>379.32753348721906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16.43089546547515</v>
      </c>
      <c r="CL201" s="23">
        <f>EXP(-LN(2)/25)*CL200+(1-EXP(-LN(2)/25))/(LN(2)/25)*Calculateur!CG201*Calculateur!CI201*VLOOKUP('Données projet'!$B$12,Paramètres!$A$1:$I$89,3,0)*0.475*44/12</f>
        <v>3.5891440330377518</v>
      </c>
      <c r="CM201" s="23">
        <f>EXP(-LN(2)/2)*CM200+(1-EXP(-LN(2)/2))/(LN(2)/2)*CG201*CJ201*VLOOKUP('Données projet'!$B$12,Paramètres!$A$1:$I$89,3,0)*0.475*44/12</f>
        <v>2.2055685960302138E-16</v>
      </c>
      <c r="CN201" s="24">
        <f t="shared" si="172"/>
        <v>20.020039498512901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252.10592533338991</v>
      </c>
      <c r="CZ201" s="62">
        <f t="shared" si="208"/>
        <v>272.71831345325313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3.2353621821107414</v>
      </c>
      <c r="DH201" s="23">
        <f>EXP(-LN(2)/2)*DH200+(1-EXP(-LN(2)/2))/(LN(2)/2)*DB201*DE201*VLOOKUP('Données projet'!$B$13,Paramètres!$A$1:$I$89,3,0)*0.475*44/12</f>
        <v>2.8647243279971548E-20</v>
      </c>
      <c r="DI201" s="24">
        <f t="shared" si="175"/>
        <v>3.2353621821107414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423.0896575168394</v>
      </c>
      <c r="DU201" s="62">
        <f t="shared" si="209"/>
        <v>305.98537395014284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14.727754391534697</v>
      </c>
      <c r="EB201" s="23">
        <f>EXP(-LN(2)/25)*EB200+(1-EXP(-LN(2)/25))/(LN(2)/25)*Calculateur!DW201*Calculateur!DY201*VLOOKUP('Données projet'!$B$14,Paramètres!$A$1:$I$89,3,0)*0.475*44/12</f>
        <v>6.7873363051295525</v>
      </c>
      <c r="EC201" s="23">
        <f>EXP(-LN(2)/2)*EC200+(1-EXP(-LN(2)/2))/(LN(2)/2)*DW201*DZ201*VLOOKUP('Données projet'!$B$14,Paramètres!$A$1:$I$89,3,0)*0.475*44/12</f>
        <v>5.6163793545514189E-21</v>
      </c>
      <c r="ED201" s="24">
        <f t="shared" si="178"/>
        <v>21.515090696664249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2.2737367544323206E-13</v>
      </c>
      <c r="EK201" s="18">
        <f>EJ201*VLOOKUP('Données projet'!$B$15,Paramètres!$A$1:$I$89,3,0)*VLOOKUP('Données projet'!$B$15,Paramètres!$A$1:$I$89,5,0)</f>
        <v>1.3596945791505279E-13</v>
      </c>
      <c r="EL201" s="14">
        <f t="shared" si="179"/>
        <v>1.9708830566360721E-12</v>
      </c>
      <c r="EM201" s="22">
        <f t="shared" si="180"/>
        <v>3.669434796176543E-12</v>
      </c>
      <c r="EN201" s="62">
        <f t="shared" si="198"/>
        <v>290.4666411692566</v>
      </c>
      <c r="EO201" s="62">
        <f ca="1">AVERAGE(OFFSET($EN$3,0,0,'Données projet'!$E$15+1,1))-AVERAGE(OFFSET($H$3,0,0,'Données projet'!$E$15+1,1))</f>
        <v>281.21543175875604</v>
      </c>
      <c r="EP201" s="62">
        <f t="shared" si="210"/>
        <v>366.68536296857428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6.2091611582128605</v>
      </c>
      <c r="EW201" s="23">
        <f>EXP(-LN(2)/25)*EW200+(1-EXP(-LN(2)/25))/(LN(2)/25)*Calculateur!ER201*Calculateur!ET201*VLOOKUP('Données projet'!$B$15,Paramètres!$A$1:$I$89,3,0)*0.475*44/12</f>
        <v>0.70452787029305874</v>
      </c>
      <c r="EX201" s="23">
        <f>EXP(-LN(2)/2)*EX200+(1-EXP(-LN(2)/2))/(LN(2)/2)*ER201*EU201*VLOOKUP('Données projet'!$B$15,Paramètres!$A$1:$I$89,3,0)*0.475*44/12</f>
        <v>8.8380206798393178E-21</v>
      </c>
      <c r="EY201" s="24">
        <f t="shared" si="181"/>
        <v>6.9136890285059192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2.2737367544323206E-13</v>
      </c>
      <c r="FF201" s="18">
        <f>FE201*VLOOKUP('Données projet'!$B$16,Paramètres!$A$1:$I$89,3,0)*VLOOKUP('Données projet'!$B$16,Paramètres!$A$1:$I$89,5,0)</f>
        <v>1.2710188457276673E-13</v>
      </c>
      <c r="FG201" s="14">
        <f t="shared" si="182"/>
        <v>1.856866851063998E-12</v>
      </c>
      <c r="FH201" s="22">
        <f t="shared" si="183"/>
        <v>3.4554122145673649E-12</v>
      </c>
      <c r="FI201" s="62">
        <f t="shared" si="199"/>
        <v>290.46664116925638</v>
      </c>
      <c r="FJ201" s="62">
        <f ca="1">AVERAGE(OFFSET($FI$3,0,0,'Données projet'!$E$16+1,1))-AVERAGE(OFFSET($H$3,0,0,'Données projet'!$E$16+1,1))</f>
        <v>280.9225643428145</v>
      </c>
      <c r="FK201" s="62">
        <f t="shared" si="211"/>
        <v>236.89414218053955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19.423578342199111</v>
      </c>
      <c r="FR201" s="23">
        <f>EXP(-LN(2)/25)*FR200+(1-EXP(-LN(2)/25))/(LN(2)/25)*Calculateur!FM201*Calculateur!FO201*VLOOKUP('Données projet'!$B$16,Paramètres!$A$1:$I$89,3,0)*0.475*44/12</f>
        <v>2.2548739312414381</v>
      </c>
      <c r="FS201" s="23">
        <f>EXP(-LN(2)/2)*FS200+(1-EXP(-LN(2)/2))/(LN(2)/2)*FM201*FP201*VLOOKUP('Données projet'!$B$16,Paramètres!$A$1:$I$89,3,0)*0.475*44/12</f>
        <v>2.3264850326108379E-22</v>
      </c>
      <c r="FT201" s="24">
        <f t="shared" si="184"/>
        <v>21.678452273440548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-5.6843418860808015E-13</v>
      </c>
      <c r="GA201" s="18">
        <f>FZ201*VLOOKUP('Données projet'!$B$17,Paramètres!$A$1:$I$89,3,0)*VLOOKUP('Données projet'!$B$17,Paramètres!$A$1:$I$89,5,0)</f>
        <v>-2.5124791136477147E-13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325.67421864225201</v>
      </c>
      <c r="GF201" s="62">
        <f t="shared" si="212"/>
        <v>542.01920418736745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12.570746858838829</v>
      </c>
      <c r="GM201" s="23">
        <f>EXP(-LN(2)/25)*GM200+(1-EXP(-LN(2)/25))/(LN(2)/25)*Calculateur!GH201*Calculateur!GJ201*VLOOKUP('Données projet'!$B$17,Paramètres!$A$1:$I$89,3,0)*0.475*44/12</f>
        <v>2.642689209012675</v>
      </c>
      <c r="GN201" s="23">
        <f>EXP(-LN(2)/2)*GN200+(1-EXP(-LN(2)/2))/(LN(2)/2)*GH201*GK201*VLOOKUP('Données projet'!$B$17,Paramètres!$A$1:$I$89,3,0)*0.475*44/12</f>
        <v>2.3695949027967912E-22</v>
      </c>
      <c r="GO201" s="23">
        <f t="shared" si="187"/>
        <v>15.213436067851504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-2.5579538487363607E-13</v>
      </c>
      <c r="GV201" s="18">
        <f>GU201*VLOOKUP('Données projet'!$B$18,Paramètres!$A$1:$I$89,3,0)*VLOOKUP('Données projet'!$B$18,Paramètres!$A$1:$I$89,5,0)</f>
        <v>-2.5937652026186701E-13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220.89224520315713</v>
      </c>
      <c r="HA201" s="62">
        <f t="shared" si="213"/>
        <v>141.82763623159096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-2.8421709430404007E-14</v>
      </c>
      <c r="O202" s="14">
        <f>N202*VLOOKUP('Données projet'!$B$9,Paramètres!$A$1:$I$89,3,0)*VLOOKUP('Données projet'!$B$9,Paramètres!$A$1:$I$89,5,0)</f>
        <v>-2.7489477361086758E-14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84.959354125980269</v>
      </c>
      <c r="T202" s="62">
        <f t="shared" si="204"/>
        <v>89.658970210276806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0.43543181413229731</v>
      </c>
      <c r="AB202" s="23">
        <f>EXP(-LN(2)/2)*AB201+(1-EXP(-LN(2)/2))/(LN(2)/2)*V202*Y202*VLOOKUP('Données projet'!$B$9,Paramètres!$A$1:$I$89,3,0)*0.475*44/12</f>
        <v>1.2539161242932221E-19</v>
      </c>
      <c r="AC202" s="24">
        <f t="shared" si="163"/>
        <v>0.43543181413229731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-1.1368683772161603E-12</v>
      </c>
      <c r="AJ202" s="14">
        <f>AI202*VLOOKUP('Données projet'!$B$10,Paramètres!$A$1:$I$89,3,0)*VLOOKUP('Données projet'!$B$10,Paramètres!$A$1:$I$89,5,0)</f>
        <v>-1.0818439477588981E-12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592.76231355549089</v>
      </c>
      <c r="AO202" s="62">
        <f t="shared" si="205"/>
        <v>200.66895551079014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66.469184268647211</v>
      </c>
      <c r="AV202" s="23">
        <f>EXP(-LN(2)/25)*AV201+(1-EXP(-LN(2)/25))/(LN(2)/25)*Calculateur!AQ202*Calculateur!AS202*VLOOKUP('Données projet'!$B$10,Paramètres!$A$1:$I$89,3,0)*0.475*44/12</f>
        <v>11.455902782719461</v>
      </c>
      <c r="AW202" s="23">
        <f>EXP(-LN(2)/2)*AW201+(1-EXP(-LN(2)/2))/(LN(2)/2)*AQ202*AT202*VLOOKUP('Données projet'!$B$10,Paramètres!$A$1:$I$89,3,0)*0.475*44/12</f>
        <v>1.5403976957137426E-20</v>
      </c>
      <c r="AX202" s="23">
        <f t="shared" si="166"/>
        <v>77.925087051366674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-2.0572770154103635E-13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316.71836722354374</v>
      </c>
      <c r="BJ202" s="62">
        <f t="shared" si="206"/>
        <v>164.34067012996618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37.654007075322809</v>
      </c>
      <c r="BQ202" s="23">
        <f>EXP(-LN(2)/25)*BQ201+(1-EXP(-LN(2)/25))/(LN(2)/25)*Calculateur!BL202*Calculateur!BN202*VLOOKUP('Données projet'!$B$11,Paramètres!$A$1:$I$89,3,0)*0.475*44/12</f>
        <v>0.44582915393843114</v>
      </c>
      <c r="BR202" s="23">
        <f>EXP(-LN(2)/2)*BR201+(1-EXP(-LN(2)/2))/(LN(2)/2)*BL202*BO202*VLOOKUP('Données projet'!$B$11,Paramètres!$A$1:$I$89,3,0)*0.475*44/12</f>
        <v>9.9517923805248908E-22</v>
      </c>
      <c r="BS202" s="24">
        <f t="shared" si="169"/>
        <v>38.099836229261243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2.8421709430404007E-14</v>
      </c>
      <c r="BZ202" s="14">
        <f>BY202*VLOOKUP('Données projet'!$B$12,Paramètres!$A$1:$I$89,3,0)*VLOOKUP('Données projet'!$B$12,Paramètres!$A$1:$I$89,5,0)</f>
        <v>3.2366642699344085E-14</v>
      </c>
      <c r="CA202" s="14">
        <f t="shared" si="170"/>
        <v>5.5446527398450045E-13</v>
      </c>
      <c r="CB202" s="22">
        <f t="shared" si="171"/>
        <v>1.0220655882243624E-12</v>
      </c>
      <c r="CC202" s="62">
        <f t="shared" si="195"/>
        <v>290.51637186933715</v>
      </c>
      <c r="CD202" s="62">
        <f ca="1">AVERAGE(OFFSET($CC$3,0,0,'Données projet'!$E$12+1,1))-AVERAGE(OFFSET($H$3,0,0,'Données projet'!$E$12+1,1))</f>
        <v>454.9779384236806</v>
      </c>
      <c r="CE202" s="62">
        <f t="shared" si="207"/>
        <v>379.32753348721906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16.108695627253841</v>
      </c>
      <c r="CL202" s="23">
        <f>EXP(-LN(2)/25)*CL201+(1-EXP(-LN(2)/25))/(LN(2)/25)*Calculateur!CG202*Calculateur!CI202*VLOOKUP('Données projet'!$B$12,Paramètres!$A$1:$I$89,3,0)*0.475*44/12</f>
        <v>3.490998700709453</v>
      </c>
      <c r="CM202" s="23">
        <f>EXP(-LN(2)/2)*CM201+(1-EXP(-LN(2)/2))/(LN(2)/2)*CG202*CJ202*VLOOKUP('Données projet'!$B$12,Paramètres!$A$1:$I$89,3,0)*0.475*44/12</f>
        <v>1.5595725106250573E-16</v>
      </c>
      <c r="CN202" s="24">
        <f t="shared" si="172"/>
        <v>19.599694327963295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252.10592533338991</v>
      </c>
      <c r="CZ202" s="62">
        <f t="shared" si="208"/>
        <v>272.71831345325313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3.1468910331006206</v>
      </c>
      <c r="DH202" s="23">
        <f>EXP(-LN(2)/2)*DH201+(1-EXP(-LN(2)/2))/(LN(2)/2)*DB202*DE202*VLOOKUP('Données projet'!$B$13,Paramètres!$A$1:$I$89,3,0)*0.475*44/12</f>
        <v>2.0256659985568635E-20</v>
      </c>
      <c r="DI202" s="24">
        <f t="shared" si="175"/>
        <v>3.1468910331006206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423.0896575168394</v>
      </c>
      <c r="DU202" s="62">
        <f t="shared" si="209"/>
        <v>305.98537395014284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14.438952110959878</v>
      </c>
      <c r="EB202" s="23">
        <f>EXP(-LN(2)/25)*EB201+(1-EXP(-LN(2)/25))/(LN(2)/25)*Calculateur!DW202*Calculateur!DY202*VLOOKUP('Données projet'!$B$14,Paramètres!$A$1:$I$89,3,0)*0.475*44/12</f>
        <v>6.601736236935281</v>
      </c>
      <c r="EC202" s="23">
        <f>EXP(-LN(2)/2)*EC201+(1-EXP(-LN(2)/2))/(LN(2)/2)*DW202*DZ202*VLOOKUP('Données projet'!$B$14,Paramètres!$A$1:$I$89,3,0)*0.475*44/12</f>
        <v>3.9713799273194332E-21</v>
      </c>
      <c r="ED202" s="24">
        <f t="shared" si="178"/>
        <v>21.040688347895159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2.2737367544323206E-13</v>
      </c>
      <c r="EK202" s="18">
        <f>EJ202*VLOOKUP('Données projet'!$B$15,Paramètres!$A$1:$I$89,3,0)*VLOOKUP('Données projet'!$B$15,Paramètres!$A$1:$I$89,5,0)</f>
        <v>1.3596945791505279E-13</v>
      </c>
      <c r="EL202" s="14">
        <f t="shared" si="179"/>
        <v>1.9708830566360721E-12</v>
      </c>
      <c r="EM202" s="22">
        <f t="shared" si="180"/>
        <v>3.669434796176543E-12</v>
      </c>
      <c r="EN202" s="62">
        <f t="shared" si="198"/>
        <v>290.51637186933982</v>
      </c>
      <c r="EO202" s="62">
        <f ca="1">AVERAGE(OFFSET($EN$3,0,0,'Données projet'!$E$15+1,1))-AVERAGE(OFFSET($H$3,0,0,'Données projet'!$E$15+1,1))</f>
        <v>281.21543175875604</v>
      </c>
      <c r="EP202" s="62">
        <f t="shared" si="210"/>
        <v>366.68536296857428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6.0874032951146564</v>
      </c>
      <c r="EW202" s="23">
        <f>EXP(-LN(2)/25)*EW201+(1-EXP(-LN(2)/25))/(LN(2)/25)*Calculateur!ER202*Calculateur!ET202*VLOOKUP('Données projet'!$B$15,Paramètres!$A$1:$I$89,3,0)*0.475*44/12</f>
        <v>0.68526251863038457</v>
      </c>
      <c r="EX202" s="23">
        <f>EXP(-LN(2)/2)*EX201+(1-EXP(-LN(2)/2))/(LN(2)/2)*ER202*EU202*VLOOKUP('Données projet'!$B$15,Paramètres!$A$1:$I$89,3,0)*0.475*44/12</f>
        <v>6.2494243549813225E-21</v>
      </c>
      <c r="EY202" s="24">
        <f t="shared" si="181"/>
        <v>6.7726658137450411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2.2737367544323206E-13</v>
      </c>
      <c r="FF202" s="18">
        <f>FE202*VLOOKUP('Données projet'!$B$16,Paramètres!$A$1:$I$89,3,0)*VLOOKUP('Données projet'!$B$16,Paramètres!$A$1:$I$89,5,0)</f>
        <v>1.2710188457276673E-13</v>
      </c>
      <c r="FG202" s="14">
        <f t="shared" si="182"/>
        <v>1.856866851063998E-12</v>
      </c>
      <c r="FH202" s="22">
        <f t="shared" si="183"/>
        <v>3.4554122145673649E-12</v>
      </c>
      <c r="FI202" s="62">
        <f t="shared" si="199"/>
        <v>290.51637186933959</v>
      </c>
      <c r="FJ202" s="62">
        <f ca="1">AVERAGE(OFFSET($FI$3,0,0,'Données projet'!$E$16+1,1))-AVERAGE(OFFSET($H$3,0,0,'Données projet'!$E$16+1,1))</f>
        <v>280.9225643428145</v>
      </c>
      <c r="FK202" s="62">
        <f t="shared" si="211"/>
        <v>236.89414218053955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19.04269381812156</v>
      </c>
      <c r="FR202" s="23">
        <f>EXP(-LN(2)/25)*FR201+(1-EXP(-LN(2)/25))/(LN(2)/25)*Calculateur!FM202*Calculateur!FO202*VLOOKUP('Données projet'!$B$16,Paramètres!$A$1:$I$89,3,0)*0.475*44/12</f>
        <v>2.1932142850129743</v>
      </c>
      <c r="FS202" s="23">
        <f>EXP(-LN(2)/2)*FS201+(1-EXP(-LN(2)/2))/(LN(2)/2)*FM202*FP202*VLOOKUP('Données projet'!$B$16,Paramètres!$A$1:$I$89,3,0)*0.475*44/12</f>
        <v>1.6450733428881297E-22</v>
      </c>
      <c r="FT202" s="24">
        <f t="shared" si="184"/>
        <v>21.235908103134534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-5.6843418860808015E-13</v>
      </c>
      <c r="GA202" s="18">
        <f>FZ202*VLOOKUP('Données projet'!$B$17,Paramètres!$A$1:$I$89,3,0)*VLOOKUP('Données projet'!$B$17,Paramètres!$A$1:$I$89,5,0)</f>
        <v>-2.5124791136477147E-13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325.67421864225201</v>
      </c>
      <c r="GF202" s="62">
        <f t="shared" si="212"/>
        <v>542.01920418736745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12.32424218033549</v>
      </c>
      <c r="GM202" s="23">
        <f>EXP(-LN(2)/25)*GM201+(1-EXP(-LN(2)/25))/(LN(2)/25)*Calculateur!GH202*Calculateur!GJ202*VLOOKUP('Données projet'!$B$17,Paramètres!$A$1:$I$89,3,0)*0.475*44/12</f>
        <v>2.5704247336192378</v>
      </c>
      <c r="GN202" s="23">
        <f>EXP(-LN(2)/2)*GN201+(1-EXP(-LN(2)/2))/(LN(2)/2)*GH202*GK202*VLOOKUP('Données projet'!$B$17,Paramètres!$A$1:$I$89,3,0)*0.475*44/12</f>
        <v>1.675556624432689E-22</v>
      </c>
      <c r="GO202" s="23">
        <f t="shared" si="187"/>
        <v>14.894666913954728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-2.5579538487363607E-13</v>
      </c>
      <c r="GV202" s="18">
        <f>GU202*VLOOKUP('Données projet'!$B$18,Paramètres!$A$1:$I$89,3,0)*VLOOKUP('Données projet'!$B$18,Paramètres!$A$1:$I$89,5,0)</f>
        <v>-2.5937652026186701E-13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220.89224520315713</v>
      </c>
      <c r="HA202" s="62">
        <f t="shared" si="213"/>
        <v>141.82763623159096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-2.8421709430404007E-14</v>
      </c>
      <c r="O203" s="14">
        <f>N203*VLOOKUP('Données projet'!$B$9,Paramètres!$A$1:$I$89,3,0)*VLOOKUP('Données projet'!$B$9,Paramètres!$A$1:$I$89,5,0)</f>
        <v>-2.7489477361086758E-14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84.959354125980269</v>
      </c>
      <c r="T203" s="62">
        <f t="shared" si="204"/>
        <v>89.658970210276806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0.42352490827648576</v>
      </c>
      <c r="AB203" s="23">
        <f>EXP(-LN(2)/2)*AB202+(1-EXP(-LN(2)/2))/(LN(2)/2)*V203*Y203*VLOOKUP('Données projet'!$B$9,Paramètres!$A$1:$I$89,3,0)*0.475*44/12</f>
        <v>8.8665259452689116E-20</v>
      </c>
      <c r="AC203" s="24">
        <f t="shared" si="163"/>
        <v>0.42352490827648576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-1.1368683772161603E-12</v>
      </c>
      <c r="AJ203" s="14">
        <f>AI203*VLOOKUP('Données projet'!$B$10,Paramètres!$A$1:$I$89,3,0)*VLOOKUP('Données projet'!$B$10,Paramètres!$A$1:$I$89,5,0)</f>
        <v>-1.0818439477588981E-12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592.76231355549089</v>
      </c>
      <c r="AO203" s="62">
        <f t="shared" si="205"/>
        <v>200.66895551079014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65.165764107338234</v>
      </c>
      <c r="AV203" s="23">
        <f>EXP(-LN(2)/25)*AV202+(1-EXP(-LN(2)/25))/(LN(2)/25)*Calculateur!AQ203*Calculateur!AS203*VLOOKUP('Données projet'!$B$10,Paramètres!$A$1:$I$89,3,0)*0.475*44/12</f>
        <v>11.142640518686253</v>
      </c>
      <c r="AW203" s="23">
        <f>EXP(-LN(2)/2)*AW202+(1-EXP(-LN(2)/2))/(LN(2)/2)*AQ203*AT203*VLOOKUP('Données projet'!$B$10,Paramètres!$A$1:$I$89,3,0)*0.475*44/12</f>
        <v>1.0892256563633194E-20</v>
      </c>
      <c r="AX203" s="23">
        <f t="shared" si="166"/>
        <v>76.308404626024483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-2.0572770154103635E-13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316.71836722354374</v>
      </c>
      <c r="BJ203" s="62">
        <f t="shared" si="206"/>
        <v>164.34067012996618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36.915634963252273</v>
      </c>
      <c r="BQ203" s="23">
        <f>EXP(-LN(2)/25)*BQ202+(1-EXP(-LN(2)/25))/(LN(2)/25)*Calculateur!BL203*Calculateur!BN203*VLOOKUP('Données projet'!$B$11,Paramètres!$A$1:$I$89,3,0)*0.475*44/12</f>
        <v>0.4336379322788485</v>
      </c>
      <c r="BR203" s="23">
        <f>EXP(-LN(2)/2)*BR202+(1-EXP(-LN(2)/2))/(LN(2)/2)*BL203*BO203*VLOOKUP('Données projet'!$B$11,Paramètres!$A$1:$I$89,3,0)*0.475*44/12</f>
        <v>7.0369798772297649E-22</v>
      </c>
      <c r="BS203" s="24">
        <f t="shared" si="169"/>
        <v>37.349272895531122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2.8421709430404007E-14</v>
      </c>
      <c r="BZ203" s="14">
        <f>BY203*VLOOKUP('Données projet'!$B$12,Paramètres!$A$1:$I$89,3,0)*VLOOKUP('Données projet'!$B$12,Paramètres!$A$1:$I$89,5,0)</f>
        <v>3.2366642699344085E-14</v>
      </c>
      <c r="CA203" s="14">
        <f t="shared" si="170"/>
        <v>5.5446527398450045E-13</v>
      </c>
      <c r="CB203" s="22">
        <f t="shared" si="171"/>
        <v>1.0220655882243624E-12</v>
      </c>
      <c r="CC203" s="62">
        <f t="shared" si="195"/>
        <v>290.56523985295513</v>
      </c>
      <c r="CD203" s="62">
        <f ca="1">AVERAGE(OFFSET($CC$3,0,0,'Données projet'!$E$12+1,1))-AVERAGE(OFFSET($H$3,0,0,'Données projet'!$E$12+1,1))</f>
        <v>454.9779384236806</v>
      </c>
      <c r="CE203" s="62">
        <f t="shared" si="207"/>
        <v>379.32753348721906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15.792813931337555</v>
      </c>
      <c r="CL203" s="23">
        <f>EXP(-LN(2)/25)*CL202+(1-EXP(-LN(2)/25))/(LN(2)/25)*Calculateur!CG203*Calculateur!CI203*VLOOKUP('Données projet'!$B$12,Paramètres!$A$1:$I$89,3,0)*0.475*44/12</f>
        <v>3.39553715765491</v>
      </c>
      <c r="CM203" s="23">
        <f>EXP(-LN(2)/2)*CM202+(1-EXP(-LN(2)/2))/(LN(2)/2)*CG203*CJ203*VLOOKUP('Données projet'!$B$12,Paramètres!$A$1:$I$89,3,0)*0.475*44/12</f>
        <v>1.102784298015107E-16</v>
      </c>
      <c r="CN203" s="24">
        <f t="shared" si="172"/>
        <v>19.188351088992466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252.10592533338991</v>
      </c>
      <c r="CZ203" s="62">
        <f t="shared" si="208"/>
        <v>272.71831345325313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3.0608391323126769</v>
      </c>
      <c r="DH203" s="23">
        <f>EXP(-LN(2)/2)*DH202+(1-EXP(-LN(2)/2))/(LN(2)/2)*DB203*DE203*VLOOKUP('Données projet'!$B$13,Paramètres!$A$1:$I$89,3,0)*0.475*44/12</f>
        <v>1.4323621639985774E-20</v>
      </c>
      <c r="DI203" s="24">
        <f t="shared" si="175"/>
        <v>3.0608391323126769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423.0896575168394</v>
      </c>
      <c r="DU203" s="62">
        <f t="shared" si="209"/>
        <v>305.98537395014284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14.155813066955135</v>
      </c>
      <c r="EB203" s="23">
        <f>EXP(-LN(2)/25)*EB202+(1-EXP(-LN(2)/25))/(LN(2)/25)*Calculateur!DW203*Calculateur!DY203*VLOOKUP('Données projet'!$B$14,Paramètres!$A$1:$I$89,3,0)*0.475*44/12</f>
        <v>6.4212114123660653</v>
      </c>
      <c r="EC203" s="23">
        <f>EXP(-LN(2)/2)*EC202+(1-EXP(-LN(2)/2))/(LN(2)/2)*DW203*DZ203*VLOOKUP('Données projet'!$B$14,Paramètres!$A$1:$I$89,3,0)*0.475*44/12</f>
        <v>2.8081896772757095E-21</v>
      </c>
      <c r="ED203" s="24">
        <f t="shared" si="178"/>
        <v>20.577024479321199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2.2737367544323206E-13</v>
      </c>
      <c r="EK203" s="18">
        <f>EJ203*VLOOKUP('Données projet'!$B$15,Paramètres!$A$1:$I$89,3,0)*VLOOKUP('Données projet'!$B$15,Paramètres!$A$1:$I$89,5,0)</f>
        <v>1.3596945791505279E-13</v>
      </c>
      <c r="EL203" s="14">
        <f t="shared" si="179"/>
        <v>1.9708830566360721E-12</v>
      </c>
      <c r="EM203" s="22">
        <f t="shared" si="180"/>
        <v>3.669434796176543E-12</v>
      </c>
      <c r="EN203" s="62">
        <f t="shared" si="198"/>
        <v>290.5652398529578</v>
      </c>
      <c r="EO203" s="62">
        <f ca="1">AVERAGE(OFFSET($EN$3,0,0,'Données projet'!$E$15+1,1))-AVERAGE(OFFSET($H$3,0,0,'Données projet'!$E$15+1,1))</f>
        <v>281.21543175875604</v>
      </c>
      <c r="EP203" s="62">
        <f t="shared" si="210"/>
        <v>366.68536296857428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5.9680330294468451</v>
      </c>
      <c r="EW203" s="23">
        <f>EXP(-LN(2)/25)*EW202+(1-EXP(-LN(2)/25))/(LN(2)/25)*Calculateur!ER203*Calculateur!ET203*VLOOKUP('Données projet'!$B$15,Paramètres!$A$1:$I$89,3,0)*0.475*44/12</f>
        <v>0.66652397902204708</v>
      </c>
      <c r="EX203" s="23">
        <f>EXP(-LN(2)/2)*EX202+(1-EXP(-LN(2)/2))/(LN(2)/2)*ER203*EU203*VLOOKUP('Données projet'!$B$15,Paramètres!$A$1:$I$89,3,0)*0.475*44/12</f>
        <v>4.4190103399196589E-21</v>
      </c>
      <c r="EY203" s="24">
        <f t="shared" si="181"/>
        <v>6.6345570084688923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2.2737367544323206E-13</v>
      </c>
      <c r="FF203" s="18">
        <f>FE203*VLOOKUP('Données projet'!$B$16,Paramètres!$A$1:$I$89,3,0)*VLOOKUP('Données projet'!$B$16,Paramètres!$A$1:$I$89,5,0)</f>
        <v>1.2710188457276673E-13</v>
      </c>
      <c r="FG203" s="14">
        <f t="shared" si="182"/>
        <v>1.856866851063998E-12</v>
      </c>
      <c r="FH203" s="22">
        <f t="shared" si="183"/>
        <v>3.4554122145673649E-12</v>
      </c>
      <c r="FI203" s="62">
        <f t="shared" si="199"/>
        <v>290.56523985295757</v>
      </c>
      <c r="FJ203" s="62">
        <f ca="1">AVERAGE(OFFSET($FI$3,0,0,'Données projet'!$E$16+1,1))-AVERAGE(OFFSET($H$3,0,0,'Données projet'!$E$16+1,1))</f>
        <v>280.9225643428145</v>
      </c>
      <c r="FK203" s="62">
        <f t="shared" si="211"/>
        <v>236.89414218053955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18.669278207244549</v>
      </c>
      <c r="FR203" s="23">
        <f>EXP(-LN(2)/25)*FR202+(1-EXP(-LN(2)/25))/(LN(2)/25)*Calculateur!FM203*Calculateur!FO203*VLOOKUP('Données projet'!$B$16,Paramètres!$A$1:$I$89,3,0)*0.475*44/12</f>
        <v>2.133240725053168</v>
      </c>
      <c r="FS203" s="23">
        <f>EXP(-LN(2)/2)*FS202+(1-EXP(-LN(2)/2))/(LN(2)/2)*FM203*FP203*VLOOKUP('Données projet'!$B$16,Paramètres!$A$1:$I$89,3,0)*0.475*44/12</f>
        <v>1.163242516305419E-22</v>
      </c>
      <c r="FT203" s="24">
        <f t="shared" si="184"/>
        <v>20.802518932297716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-5.6843418860808015E-13</v>
      </c>
      <c r="GA203" s="18">
        <f>FZ203*VLOOKUP('Données projet'!$B$17,Paramètres!$A$1:$I$89,3,0)*VLOOKUP('Données projet'!$B$17,Paramètres!$A$1:$I$89,5,0)</f>
        <v>-2.5124791136477147E-13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325.67421864225201</v>
      </c>
      <c r="GF203" s="62">
        <f t="shared" si="212"/>
        <v>542.01920418736745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12.082571308224594</v>
      </c>
      <c r="GM203" s="23">
        <f>EXP(-LN(2)/25)*GM202+(1-EXP(-LN(2)/25))/(LN(2)/25)*Calculateur!GH203*Calculateur!GJ203*VLOOKUP('Données projet'!$B$17,Paramètres!$A$1:$I$89,3,0)*0.475*44/12</f>
        <v>2.5001363341056577</v>
      </c>
      <c r="GN203" s="23">
        <f>EXP(-LN(2)/2)*GN202+(1-EXP(-LN(2)/2))/(LN(2)/2)*GH203*GK203*VLOOKUP('Données projet'!$B$17,Paramètres!$A$1:$I$89,3,0)*0.475*44/12</f>
        <v>1.1847974513983956E-22</v>
      </c>
      <c r="GO203" s="23">
        <f t="shared" si="187"/>
        <v>14.582707642330252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-2.5579538487363607E-13</v>
      </c>
      <c r="GV203" s="18">
        <f>GU203*VLOOKUP('Données projet'!$B$18,Paramètres!$A$1:$I$89,3,0)*VLOOKUP('Données projet'!$B$18,Paramètres!$A$1:$I$89,5,0)</f>
        <v>-2.5937652026186701E-13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220.89224520315713</v>
      </c>
      <c r="HA203" s="62">
        <f t="shared" si="213"/>
        <v>141.82763623159096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1.1475797584961047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1.2300091806760545</v>
      </c>
      <c r="BA205" s="88">
        <f>EXP(LN('Données projet'!B88)/'Données projet'!A88)</f>
        <v>1.1416860785521039</v>
      </c>
      <c r="BV205" s="88">
        <f>EXP(LN('Données projet'!B114)/'Données projet'!A114)</f>
        <v>1.2827256470858759</v>
      </c>
      <c r="CQ205" s="88">
        <f>EXP(LN('Données projet'!B140)/'Données projet'!A140)</f>
        <v>1.2492928045655316</v>
      </c>
      <c r="DL205" s="88">
        <f>EXP(LN('Données projet'!B166)/'Données projet'!A166)</f>
        <v>1.251456496214016</v>
      </c>
      <c r="EG205" s="88">
        <f>EXP(LN('Données projet'!B192)/'Données projet'!A192)</f>
        <v>1.3741660541180074</v>
      </c>
      <c r="FB205" s="88">
        <f>EXP(LN('Données projet'!B218)/'Données projet'!A218)</f>
        <v>1.2535308787550352</v>
      </c>
      <c r="FW205" s="88">
        <f>EXP(LN('Données projet'!B244)/'Données projet'!A244)</f>
        <v>1.4505557501500841</v>
      </c>
      <c r="GR205" s="88">
        <f>EXP(LN('Données projet'!B270)/'Données projet'!A270)</f>
        <v>1.1283417579163944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workbookViewId="0">
      <selection activeCell="L16" sqref="L1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Alisier torminal</v>
      </c>
      <c r="B6" s="155">
        <f>'Données projet'!D9</f>
        <v>0.33460803059273425</v>
      </c>
      <c r="C6" s="156">
        <f ca="1">IF(OR('Données projet'!B9="",'Données projet'!C9="",'Données projet'!C9=0%),0,Calculateur!S3)</f>
        <v>84.959354125980269</v>
      </c>
      <c r="D6" s="156">
        <f>IF(OR('Données projet'!B9="",'Données projet'!C9="",'Données projet'!C9=0%),0,Calculateur!T3)</f>
        <v>89.658970210276806</v>
      </c>
      <c r="E6" s="156">
        <f ca="1">MIN(C6,D6)</f>
        <v>84.959354125980269</v>
      </c>
      <c r="F6" s="156">
        <f ca="1">E6*B6</f>
        <v>28.428082164524948</v>
      </c>
      <c r="G6" s="156">
        <f ca="1">F6*(100%-'Données projet'!$C$24)*(100%-'Données projet'!$C$25)*(100%-'Données projet'!$C$26)*(100%-'Données projet'!$C$27)</f>
        <v>25.585273948072455</v>
      </c>
      <c r="H6" s="157">
        <f>IF(OR('Données projet'!B9="",'Données projet'!C9="",'Données projet'!C9=0%),0,AVERAGE(Calculateur!$AC$3:$AC$33)*B6)</f>
        <v>0.24506692399948019</v>
      </c>
      <c r="I6" s="158">
        <f>H6*(100%-'Données projet'!$C$24)*(100%-'Données projet'!$C$25)*(100%-'Données projet'!$C$26)*(100%-'Données projet'!$C$27)</f>
        <v>0.22056023159953217</v>
      </c>
      <c r="J6" s="159">
        <f>IF(OR('Données projet'!B9="",'Données projet'!C9="",'Données projet'!C9=0%),0,SUM(Calculateur!$V$3:$V$33)*VLOOKUP('Données projet'!$B$9,Paramètres!$A$1:$I$89,9,0)*B6)</f>
        <v>1.7416347992351817</v>
      </c>
      <c r="K6" s="160">
        <f>J6*(100%-'Données projet'!$C$24)*(100%-'Données projet'!$C$25)*(100%-'Données projet'!$C$26)*(100%-'Données projet'!$C$27)</f>
        <v>1.5674713193116636</v>
      </c>
      <c r="L6" s="161">
        <f ca="1">G6+I6+K6</f>
        <v>27.373305498983651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Charme</v>
      </c>
      <c r="B7" s="163">
        <f>'Données projet'!D10</f>
        <v>5.6763862332695991</v>
      </c>
      <c r="C7" s="156">
        <f ca="1">IF(OR('Données projet'!B10="",'Données projet'!C10="",'Données projet'!C10=0%),0,Calculateur!AN3)</f>
        <v>592.76231355549089</v>
      </c>
      <c r="D7" s="156">
        <f>IF(OR('Données projet'!B10="",'Données projet'!C10="",'Données projet'!C10=0%),0,Calculateur!AO3)</f>
        <v>200.66895551079014</v>
      </c>
      <c r="E7" s="156">
        <f t="shared" ref="E7:E15" ca="1" si="0">MIN(C7,D7)</f>
        <v>200.66895551079014</v>
      </c>
      <c r="F7" s="156">
        <f t="shared" ref="F7:F15" ca="1" si="1">E7*B7</f>
        <v>1139.0744965060387</v>
      </c>
      <c r="G7" s="156">
        <f ca="1">F7*(100%-'Données projet'!$C$24)*(100%-'Données projet'!$C$25)*(100%-'Données projet'!$C$26)*(100%-'Données projet'!$C$27)</f>
        <v>1025.1670468554348</v>
      </c>
      <c r="H7" s="164">
        <f>IF(OR('Données projet'!B10="",'Données projet'!C10="",'Données projet'!C10=0%),0,AVERAGE(Calculateur!$AX$3:$AX$33)*B7)</f>
        <v>9.9602773072190072</v>
      </c>
      <c r="I7" s="158">
        <f>H7*(100%-'Données projet'!$C$24)*(100%-'Données projet'!$C$25)*(100%-'Données projet'!$C$26)*(100%-'Données projet'!$C$27)</f>
        <v>8.9642495764971066</v>
      </c>
      <c r="J7" s="159">
        <f>IF(OR('Données projet'!B10="",'Données projet'!C10="",'Données projet'!C10=0%),0,SUM(Calculateur!$AQ$3:$AQ$33)*VLOOKUP('Données projet'!$B$10,Paramètres!$A$1:$I$89,9,0)*B7)</f>
        <v>89.74366634799236</v>
      </c>
      <c r="K7" s="160">
        <f>J7*(100%-'Données projet'!$C$24)*(100%-'Données projet'!$C$25)*(100%-'Données projet'!$C$26)*(100%-'Données projet'!$C$27)</f>
        <v>80.769299713193121</v>
      </c>
      <c r="L7" s="161">
        <f t="shared" ref="L7:L15" ca="1" si="2">G7+I7+K7</f>
        <v>1114.9005961451251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Chêne sessile</v>
      </c>
      <c r="B8" s="163">
        <f>'Données projet'!D11</f>
        <v>7.1701720841300194</v>
      </c>
      <c r="C8" s="156">
        <f ca="1">IF(OR('Données projet'!B11="",'Données projet'!C11="",'Données projet'!C11=0%),0,Calculateur!BI3)</f>
        <v>316.71836722354374</v>
      </c>
      <c r="D8" s="156">
        <f>IF(OR('Données projet'!B11="",'Données projet'!C11="",'Données projet'!C11=0%),0,Calculateur!BJ3)</f>
        <v>164.34067012996618</v>
      </c>
      <c r="E8" s="156">
        <f t="shared" ca="1" si="0"/>
        <v>164.34067012996618</v>
      </c>
      <c r="F8" s="156">
        <f t="shared" ca="1" si="1"/>
        <v>1178.3508852531036</v>
      </c>
      <c r="G8" s="156">
        <f ca="1">F8*(100%-'Données projet'!$C$24)*(100%-'Données projet'!$C$25)*(100%-'Données projet'!$C$26)*(100%-'Données projet'!$C$27)</f>
        <v>1060.5157967277933</v>
      </c>
      <c r="H8" s="164">
        <f>IF(OR('Données projet'!B11="",'Données projet'!C11="",'Données projet'!C11=0%),0,AVERAGE(Calculateur!$BS$3:$BS$33)*B8)</f>
        <v>0.51655017112230373</v>
      </c>
      <c r="I8" s="158">
        <f>H8*(100%-'Données projet'!$C$24)*(100%-'Données projet'!$C$25)*(100%-'Données projet'!$C$26)*(100%-'Données projet'!$C$27)</f>
        <v>0.46489515401007336</v>
      </c>
      <c r="J8" s="159">
        <f>IF(OR('Données projet'!B11="",'Données projet'!C11="",'Données projet'!C11=0%),0,SUM(Calculateur!$BL$3:$BL$33)*VLOOKUP('Données projet'!$B$11,Paramètres!$A$1:$I$89,9,0)*B8)</f>
        <v>15.630975143403443</v>
      </c>
      <c r="K8" s="160">
        <f>J8*(100%-'Données projet'!$C$24)*(100%-'Données projet'!$C$25)*(100%-'Données projet'!$C$26)*(100%-'Données projet'!$C$27)</f>
        <v>14.0678776290631</v>
      </c>
      <c r="L8" s="161">
        <f t="shared" ca="1" si="2"/>
        <v>1075.0485695108664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Chêne vert</v>
      </c>
      <c r="B9" s="163">
        <f>'Données projet'!D12</f>
        <v>0.89627151051625242</v>
      </c>
      <c r="C9" s="156">
        <f ca="1">IF(OR('Données projet'!B12="",'Données projet'!C12="",'Données projet'!C12=0%),0,Calculateur!CD3)</f>
        <v>454.9779384236806</v>
      </c>
      <c r="D9" s="156">
        <f>IF(OR('Données projet'!B12="",'Données projet'!C12="",'Données projet'!C12=0%),0,Calculateur!CE3)</f>
        <v>379.32753348721906</v>
      </c>
      <c r="E9" s="156">
        <f t="shared" ca="1" si="0"/>
        <v>379.32753348721906</v>
      </c>
      <c r="F9" s="156">
        <f t="shared" ca="1" si="1"/>
        <v>339.98046141899414</v>
      </c>
      <c r="G9" s="156">
        <f ca="1">F9*(100%-'Données projet'!$C$24)*(100%-'Données projet'!$C$25)*(100%-'Données projet'!$C$26)*(100%-'Données projet'!$C$27)</f>
        <v>305.98241527709473</v>
      </c>
      <c r="H9" s="164">
        <f>IF(OR('Données projet'!B12="",'Données projet'!C12="",'Données projet'!C12=0%),0,AVERAGE(Calculateur!$CN$3:$CN$33)*B9)</f>
        <v>1.0012836837833217</v>
      </c>
      <c r="I9" s="158">
        <f>H9*(100%-'Données projet'!$C$24)*(100%-'Données projet'!$C$25)*(100%-'Données projet'!$C$26)*(100%-'Données projet'!$C$27)</f>
        <v>0.9011553154049895</v>
      </c>
      <c r="J9" s="159">
        <f>IF(OR('Données projet'!B12="",'Données projet'!C12="",'Données projet'!C12=0%),0,SUM(Calculateur!$CG$3:$CG$33)*VLOOKUP('Données projet'!$B$12,Paramètres!$A$1:$I$89,9,0)*B9)</f>
        <v>13.441831978967496</v>
      </c>
      <c r="K9" s="160">
        <f>J9*(100%-'Données projet'!$C$24)*(100%-'Données projet'!$C$25)*(100%-'Données projet'!$C$26)*(100%-'Données projet'!$C$27)</f>
        <v>12.097648781070747</v>
      </c>
      <c r="L9" s="161">
        <f t="shared" ca="1" si="2"/>
        <v>318.98121937357047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Merisier</v>
      </c>
      <c r="B10" s="163">
        <f>'Données projet'!D13</f>
        <v>0.33460803059273425</v>
      </c>
      <c r="C10" s="156">
        <f ca="1">IF(OR('Données projet'!B13="",'Données projet'!C13="",'Données projet'!C13=0%),0,Calculateur!CY3)</f>
        <v>252.10592533338991</v>
      </c>
      <c r="D10" s="156">
        <f>IF(OR('Données projet'!B13="",'Données projet'!C13="",'Données projet'!C13=0%),0,Calculateur!CZ3)</f>
        <v>272.71831345325313</v>
      </c>
      <c r="E10" s="156">
        <f t="shared" ca="1" si="0"/>
        <v>252.10592533338991</v>
      </c>
      <c r="F10" s="156">
        <f t="shared" ca="1" si="1"/>
        <v>84.3566671765645</v>
      </c>
      <c r="G10" s="156">
        <f ca="1">F10*(100%-'Données projet'!$C$24)*(100%-'Données projet'!$C$25)*(100%-'Données projet'!$C$26)*(100%-'Données projet'!$C$27)</f>
        <v>75.921000458908054</v>
      </c>
      <c r="H10" s="164">
        <f>IF(OR('Données projet'!B13="",'Données projet'!C13="",'Données projet'!C13=0%),0,AVERAGE(Calculateur!$DI$3:$DI$33)*B10)</f>
        <v>0.66848629876536025</v>
      </c>
      <c r="I10" s="158">
        <f>H10*(100%-'Données projet'!$C$24)*(100%-'Données projet'!$C$25)*(100%-'Données projet'!$C$26)*(100%-'Données projet'!$C$27)</f>
        <v>0.6016376688888242</v>
      </c>
      <c r="J10" s="159">
        <f>IF(OR('Données projet'!B13="",'Données projet'!C13="",'Données projet'!C13=0%),0,SUM(Calculateur!$DB$3:$DB$33)*VLOOKUP('Données projet'!$B$13,Paramètres!$A$1:$I$89,9,0)*B10)</f>
        <v>6.1910850860420661</v>
      </c>
      <c r="K10" s="160">
        <f>J10*(100%-'Données projet'!$C$24)*(100%-'Données projet'!$C$25)*(100%-'Données projet'!$C$26)*(100%-'Données projet'!$C$27)</f>
        <v>5.5719765774378596</v>
      </c>
      <c r="L10" s="161">
        <f t="shared" ca="1" si="2"/>
        <v>82.094614705234747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>Pin laricio</v>
      </c>
      <c r="B11" s="163">
        <f>'Données projet'!D14</f>
        <v>2.1809273422562141</v>
      </c>
      <c r="C11" s="156">
        <f ca="1">IF(OR('Données projet'!B14="",'Données projet'!C14="",'Données projet'!C14=0%),0,Calculateur!DT3)</f>
        <v>423.0896575168394</v>
      </c>
      <c r="D11" s="156">
        <f>IF(OR('Données projet'!B14="",'Données projet'!C14="",'Données projet'!C14=0%),0,Calculateur!DU3)</f>
        <v>305.98537395014284</v>
      </c>
      <c r="E11" s="156">
        <f t="shared" ca="1" si="0"/>
        <v>305.98537395014284</v>
      </c>
      <c r="F11" s="156">
        <f t="shared" ca="1" si="1"/>
        <v>667.33186837835888</v>
      </c>
      <c r="G11" s="156">
        <f ca="1">F11*(100%-'Données projet'!$C$24)*(100%-'Données projet'!$C$25)*(100%-'Données projet'!$C$26)*(100%-'Données projet'!$C$27)</f>
        <v>600.59868154052299</v>
      </c>
      <c r="H11" s="164">
        <f>IF(OR('Données projet'!B14="",'Données projet'!C14="",'Données projet'!C14=0%),0,AVERAGE(Calculateur!$ED$3:$ED$33)*B11)</f>
        <v>5.7845687742674956</v>
      </c>
      <c r="I11" s="158">
        <f>H11*(100%-'Données projet'!$C$24)*(100%-'Données projet'!$C$25)*(100%-'Données projet'!$C$26)*(100%-'Données projet'!$C$27)</f>
        <v>5.2061118968407465</v>
      </c>
      <c r="J11" s="159">
        <f>IF(OR('Données projet'!B14="",'Données projet'!C14="",'Données projet'!C14=0%),0,SUM(Calculateur!$DW$3:$DW$33)*VLOOKUP('Données projet'!$B$14,Paramètres!$A$1:$I$89,9,0)*B11)</f>
        <v>30.806689173040155</v>
      </c>
      <c r="K11" s="160">
        <f>J11*(100%-'Données projet'!$C$24)*(100%-'Données projet'!$C$25)*(100%-'Données projet'!$C$26)*(100%-'Données projet'!$C$27)</f>
        <v>27.726020255736142</v>
      </c>
      <c r="L11" s="161">
        <f t="shared" ca="1" si="2"/>
        <v>633.53081369309984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>Pin maritime</v>
      </c>
      <c r="B12" s="163">
        <f>'Données projet'!D15</f>
        <v>2.1809273422562141</v>
      </c>
      <c r="C12" s="156">
        <f ca="1">IF(OR('Données projet'!B15="",'Données projet'!C15="",'Données projet'!C15=0%),0,Calculateur!EO3)</f>
        <v>281.21543175875604</v>
      </c>
      <c r="D12" s="156">
        <f>IF(OR('Données projet'!B15="",'Données projet'!C15="",'Données projet'!C15=0%),0,Calculateur!EP3)</f>
        <v>366.68536296857428</v>
      </c>
      <c r="E12" s="156">
        <f t="shared" ca="1" si="0"/>
        <v>281.21543175875604</v>
      </c>
      <c r="F12" s="156">
        <f t="shared" ca="1" si="1"/>
        <v>613.31042418705761</v>
      </c>
      <c r="G12" s="156">
        <f ca="1">F12*(100%-'Données projet'!$C$24)*(100%-'Données projet'!$C$25)*(100%-'Données projet'!$C$26)*(100%-'Données projet'!$C$27)</f>
        <v>551.97938176835191</v>
      </c>
      <c r="H12" s="164">
        <f>IF(OR('Données projet'!B15="",'Données projet'!C15="",'Données projet'!C15=0%),0,AVERAGE(Calculateur!$EY$3:$EY$33)*B12)</f>
        <v>9.3243293910382281</v>
      </c>
      <c r="I12" s="158">
        <f>H12*(100%-'Données projet'!$C$24)*(100%-'Données projet'!$C$25)*(100%-'Données projet'!$C$26)*(100%-'Données projet'!$C$27)</f>
        <v>8.3918964519344055</v>
      </c>
      <c r="J12" s="159">
        <f>IF(OR('Données projet'!B15="",'Données projet'!C15="",'Données projet'!C15=0%),0,SUM(Calculateur!$ER$3:$ER$33)*VLOOKUP('Données projet'!$B$15,Paramètres!$A$1:$I$89,9,0)*B12)</f>
        <v>210.02286687380496</v>
      </c>
      <c r="K12" s="160">
        <f>J12*(100%-'Données projet'!$C$24)*(100%-'Données projet'!$C$25)*(100%-'Données projet'!$C$26)*(100%-'Données projet'!$C$27)</f>
        <v>189.02058018642447</v>
      </c>
      <c r="L12" s="161">
        <f t="shared" ca="1" si="2"/>
        <v>749.39185840671075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>Douglas</v>
      </c>
      <c r="B13" s="163">
        <f>'Données projet'!D16</f>
        <v>3.0771988527724665</v>
      </c>
      <c r="C13" s="156">
        <f ca="1">IF(OR('Données projet'!B16="",'Données projet'!C16="",'Données projet'!C16=0%),0,Calculateur!FJ3)</f>
        <v>280.9225643428145</v>
      </c>
      <c r="D13" s="156">
        <f>IF(OR('Données projet'!B16="",'Données projet'!C16="",'Données projet'!C16=0%),0,Calculateur!FK3)</f>
        <v>236.89414218053955</v>
      </c>
      <c r="E13" s="156">
        <f t="shared" ca="1" si="0"/>
        <v>236.89414218053955</v>
      </c>
      <c r="F13" s="156">
        <f t="shared" ca="1" si="1"/>
        <v>728.97038254647384</v>
      </c>
      <c r="G13" s="156">
        <f ca="1">F13*(100%-'Données projet'!$C$24)*(100%-'Données projet'!$C$25)*(100%-'Données projet'!$C$26)*(100%-'Données projet'!$C$27)</f>
        <v>656.07334429182652</v>
      </c>
      <c r="H13" s="164">
        <f>IF(OR('Données projet'!B16="",'Données projet'!C16="",'Données projet'!C16=0%),0,AVERAGE(Calculateur!$FT$3:$FT$33)*B13)</f>
        <v>19.103894707029013</v>
      </c>
      <c r="I13" s="158">
        <f>H13*(100%-'Données projet'!$C$24)*(100%-'Données projet'!$C$25)*(100%-'Données projet'!$C$26)*(100%-'Données projet'!$C$27)</f>
        <v>17.193505236326114</v>
      </c>
      <c r="J13" s="159">
        <f>IF(OR('Données projet'!C16="",'Données projet'!C16=0%),0,SUM(Calculateur!$FM$3:$FM$33)*VLOOKUP('Données projet'!$B$16,Paramètres!$A$1:$I$89,9,0)*B13)</f>
        <v>131.98875179254301</v>
      </c>
      <c r="K13" s="160">
        <f>J13*(100%-'Données projet'!$C$24)*(100%-'Données projet'!$C$25)*(100%-'Données projet'!$C$26)*(100%-'Données projet'!$C$27)</f>
        <v>118.78987661328871</v>
      </c>
      <c r="L13" s="161">
        <f t="shared" ca="1" si="2"/>
        <v>792.05672614144135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>Séquoia toujours vert</v>
      </c>
      <c r="B14" s="163">
        <f>'Données projet'!D17</f>
        <v>0.98589866156787753</v>
      </c>
      <c r="C14" s="156">
        <f ca="1">IF(OR('Données projet'!B17="",'Données projet'!C17="",'Données projet'!C17=0%),0,Calculateur!GE3)</f>
        <v>325.67421864225201</v>
      </c>
      <c r="D14" s="156">
        <f>IF(OR('Données projet'!B17="",'Données projet'!C17="",'Données projet'!C17=0%),0,Calculateur!GF3)</f>
        <v>542.01920418736745</v>
      </c>
      <c r="E14" s="156">
        <f t="shared" ca="1" si="0"/>
        <v>325.67421864225201</v>
      </c>
      <c r="F14" s="156">
        <f t="shared" ca="1" si="1"/>
        <v>321.08177626656055</v>
      </c>
      <c r="G14" s="156">
        <f ca="1">F14*(100%-'Données projet'!$C$24)*(100%-'Données projet'!$C$25)*(100%-'Données projet'!$C$26)*(100%-'Données projet'!$C$27)</f>
        <v>288.97359863990448</v>
      </c>
      <c r="H14" s="164">
        <f>IF(OR('Données projet'!B17="",'Données projet'!C17="",'Données projet'!C17=0%),0,AVERAGE(Calculateur!$GO$3:$GO$33)*B14)</f>
        <v>23.350678378437749</v>
      </c>
      <c r="I14" s="158">
        <f>H14*(100%-'Données projet'!$C$24)*(100%-'Données projet'!$C$25)*(100%-'Données projet'!$C$26)*(100%-'Données projet'!$C$27)</f>
        <v>21.015610540593975</v>
      </c>
      <c r="J14" s="159">
        <f>IF(OR('Données projet'!B17="",'Données projet'!C17="",'Données projet'!C17=0%),0,SUM(Calculateur!$GH$3:$GH$33)*VLOOKUP('Données projet'!$B$17,Paramètres!$A$1:$I$89,9,0)*B14)</f>
        <v>155.67793379541109</v>
      </c>
      <c r="K14" s="160">
        <f>J14*(100%-'Données projet'!$C$24)*(100%-'Données projet'!$C$25)*(100%-'Données projet'!$C$26)*(100%-'Données projet'!$C$27)</f>
        <v>140.11014041586998</v>
      </c>
      <c r="L14" s="161">
        <f t="shared" ca="1" si="2"/>
        <v>450.09934959636843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>Chêne pubescent</v>
      </c>
      <c r="B15" s="166">
        <f>'Données projet'!D18</f>
        <v>1.4937858508604205</v>
      </c>
      <c r="C15" s="167">
        <f ca="1">IF(OR('Données projet'!B18="",'Données projet'!C18="",'Données projet'!C18=0%),0,Calculateur!GZ3)</f>
        <v>220.89224520315713</v>
      </c>
      <c r="D15" s="167">
        <f>IF(OR('Données projet'!B18="",'Données projet'!C18="",'Données projet'!C18=0%),0,Calculateur!HA3)</f>
        <v>141.82763623159096</v>
      </c>
      <c r="E15" s="167">
        <f t="shared" ca="1" si="0"/>
        <v>141.82763623159096</v>
      </c>
      <c r="F15" s="168">
        <f t="shared" ca="1" si="1"/>
        <v>211.86011626372931</v>
      </c>
      <c r="G15" s="168">
        <f ca="1">F15*(100%-'Données projet'!$C$24)*(100%-'Données projet'!$C$25)*(100%-'Données projet'!$C$26)*(100%-'Données projet'!$C$27)</f>
        <v>190.67410463735638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2.2854923518164432</v>
      </c>
      <c r="K15" s="172">
        <f>J15*(100%-'Données projet'!$C$24)*(100%-'Données projet'!$C$25)*(100%-'Données projet'!$C$26)*(100%-'Données projet'!$C$27)</f>
        <v>2.0569431166347991</v>
      </c>
      <c r="L15" s="173">
        <f t="shared" ca="1" si="2"/>
        <v>192.73104775399119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6"/>
      <c r="B16" s="233"/>
      <c r="C16" s="234"/>
      <c r="D16" s="25"/>
      <c r="E16" s="25"/>
      <c r="F16" s="174">
        <f t="shared" ref="F16:L16" ca="1" si="3">SUM(F6:F15)</f>
        <v>5312.7451601614066</v>
      </c>
      <c r="G16" s="175">
        <f t="shared" ca="1" si="3"/>
        <v>4781.4706441452654</v>
      </c>
      <c r="H16" s="176">
        <f t="shared" si="3"/>
        <v>69.955135635661961</v>
      </c>
      <c r="I16" s="176">
        <f t="shared" si="3"/>
        <v>62.959622072095762</v>
      </c>
      <c r="J16" s="177">
        <f t="shared" si="3"/>
        <v>657.53092734225606</v>
      </c>
      <c r="K16" s="177">
        <f t="shared" si="3"/>
        <v>591.77783460803062</v>
      </c>
      <c r="L16" s="178">
        <f t="shared" ca="1" si="3"/>
        <v>5436.2081008253926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Alisier torminal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Chêne vert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Merisier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>Pin laricio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>Pin maritime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>Douglas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>Séquoia toujours vert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>Chêne pubescent</v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T25" sqref="T25:V25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Alisier torminal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-17.138122121295993</v>
      </c>
      <c r="U10" s="190">
        <f>'Données projet'!D9</f>
        <v>0.33460803059273425</v>
      </c>
      <c r="V10" s="189">
        <f>U10*T10</f>
        <v>-5.7345532910646249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Charme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146.90055156176348</v>
      </c>
      <c r="U11" s="190">
        <f>'Données projet'!D10</f>
        <v>5.6763862332695991</v>
      </c>
      <c r="V11" s="189">
        <f>U11*T11</f>
        <v>833.86426854490514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-99.990677209628231</v>
      </c>
      <c r="U12" s="190">
        <f>'Données projet'!D11</f>
        <v>7.1701720841300194</v>
      </c>
      <c r="V12" s="189">
        <f t="shared" ref="V12:V19" si="0">U12*T12</f>
        <v>-716.95036240173204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vert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646.7758781628977</v>
      </c>
      <c r="U13" s="190">
        <f>'Données projet'!D12</f>
        <v>0.89627151051625242</v>
      </c>
      <c r="V13" s="189">
        <f t="shared" si="0"/>
        <v>579.68679328653593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Alisier torminal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Merisier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1315.4257625210521</v>
      </c>
      <c r="U14" s="190">
        <f>'Données projet'!D13</f>
        <v>0.33460803059273425</v>
      </c>
      <c r="V14" s="189">
        <f t="shared" si="0"/>
        <v>440.152023788115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Pin laricio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1215.9301482782412</v>
      </c>
      <c r="U15" s="190">
        <f>'Données projet'!D14</f>
        <v>2.1809273422562141</v>
      </c>
      <c r="V15" s="189">
        <f t="shared" si="0"/>
        <v>2651.8553066536688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Pin maritime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1854.5473124856621</v>
      </c>
      <c r="U16" s="190">
        <f>'Données projet'!D15</f>
        <v>2.1809273422562141</v>
      </c>
      <c r="V16" s="189">
        <f t="shared" si="0"/>
        <v>4044.6329413077597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165.72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Douglas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3245.1485104211552</v>
      </c>
      <c r="U17" s="190">
        <f>'Données projet'!D16</f>
        <v>3.0771988527724665</v>
      </c>
      <c r="V17" s="189">
        <f t="shared" si="0"/>
        <v>9985.9672733442567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>Séquoia toujours vert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4052.0408304138928</v>
      </c>
      <c r="U18" s="190">
        <f>'Données projet'!D17</f>
        <v>0.98589866156787753</v>
      </c>
      <c r="V18" s="189">
        <f t="shared" si="0"/>
        <v>3994.9016313234479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>Chêne pubescent</v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275.37139635718768</v>
      </c>
      <c r="U19" s="190">
        <f>'Données projet'!D18</f>
        <v>1.4937858508604205</v>
      </c>
      <c r="V19" s="189">
        <f t="shared" si="0"/>
        <v>411.34589561004367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657.8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657.8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25</v>
      </c>
      <c r="B23" s="193">
        <f>'Données projet'!D36</f>
        <v>20.82</v>
      </c>
      <c r="C23" s="206">
        <v>10</v>
      </c>
      <c r="D23" s="194">
        <f>B23*C23</f>
        <v>208.2</v>
      </c>
      <c r="E23" s="206"/>
      <c r="F23" s="261"/>
      <c r="H23" s="203">
        <v>4</v>
      </c>
      <c r="I23" s="204">
        <v>657.8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-71996.367698237766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35</v>
      </c>
      <c r="B24" s="193">
        <f>'Données projet'!D37</f>
        <v>9.83</v>
      </c>
      <c r="C24" s="206">
        <v>10</v>
      </c>
      <c r="D24" s="194">
        <f t="shared" ref="D24:D42" si="1">B24*C24</f>
        <v>98.3</v>
      </c>
      <c r="E24" s="206"/>
      <c r="F24" s="264"/>
      <c r="H24" s="203">
        <v>5</v>
      </c>
      <c r="I24" s="204">
        <v>253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50</v>
      </c>
      <c r="B25" s="193">
        <f>'Données projet'!D38</f>
        <v>15.47</v>
      </c>
      <c r="C25" s="206">
        <v>10</v>
      </c>
      <c r="D25" s="194">
        <f t="shared" si="1"/>
        <v>154.70000000000002</v>
      </c>
      <c r="E25" s="206"/>
      <c r="F25" s="264"/>
      <c r="G25" s="1"/>
      <c r="H25" s="203">
        <v>6</v>
      </c>
      <c r="I25" s="204">
        <v>860.2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-71996.367698237766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70</v>
      </c>
      <c r="B26" s="193">
        <f>'Données projet'!D39</f>
        <v>35.83</v>
      </c>
      <c r="C26" s="206">
        <v>25</v>
      </c>
      <c r="D26" s="194">
        <f t="shared" si="1"/>
        <v>895.75</v>
      </c>
      <c r="E26" s="206"/>
      <c r="F26" s="264"/>
      <c r="G26" s="259"/>
      <c r="H26" s="203">
        <v>15</v>
      </c>
      <c r="I26" s="204">
        <v>809.6</v>
      </c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0</v>
      </c>
      <c r="B27" s="193">
        <f>'Données projet'!D40</f>
        <v>0</v>
      </c>
      <c r="C27" s="206"/>
      <c r="D27" s="194">
        <f t="shared" si="1"/>
        <v>0</v>
      </c>
      <c r="E27" s="206"/>
      <c r="F27" s="264"/>
      <c r="G27" s="259"/>
      <c r="H27" s="203">
        <v>20</v>
      </c>
      <c r="I27" s="204">
        <v>1012</v>
      </c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0</v>
      </c>
      <c r="B28" s="193">
        <f>'Données projet'!D41</f>
        <v>0</v>
      </c>
      <c r="C28" s="206"/>
      <c r="D28" s="194">
        <f t="shared" si="1"/>
        <v>0</v>
      </c>
      <c r="E28" s="206"/>
      <c r="F28" s="264"/>
      <c r="G28" s="222"/>
      <c r="H28" s="203">
        <v>25</v>
      </c>
      <c r="I28" s="204">
        <v>1012</v>
      </c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0</v>
      </c>
      <c r="B29" s="193">
        <f>'Données projet'!D42</f>
        <v>0</v>
      </c>
      <c r="C29" s="206"/>
      <c r="D29" s="194">
        <f t="shared" si="1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0</v>
      </c>
      <c r="B30" s="193">
        <f>'Données projet'!D43</f>
        <v>0</v>
      </c>
      <c r="C30" s="206"/>
      <c r="D30" s="194">
        <f t="shared" si="1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/>
      <c r="D31" s="194">
        <f t="shared" si="1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1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1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2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1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2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1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2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1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2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1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2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1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2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1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2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1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2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1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2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1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2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2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2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2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2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2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306.2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2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2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2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2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2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2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20</v>
      </c>
      <c r="B54" s="193">
        <f>'Données projet'!D62</f>
        <v>37.700000000000003</v>
      </c>
      <c r="C54" s="204">
        <v>10</v>
      </c>
      <c r="D54" s="191">
        <f>B54*C54</f>
        <v>377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2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30</v>
      </c>
      <c r="B55" s="193">
        <f>'Données projet'!D63</f>
        <v>25.54</v>
      </c>
      <c r="C55" s="204">
        <v>10</v>
      </c>
      <c r="D55" s="191">
        <f t="shared" ref="D55:D73" si="3">B55*C55</f>
        <v>255.39999999999998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2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60</v>
      </c>
      <c r="B56" s="193">
        <f>'Données projet'!D64</f>
        <v>71.61</v>
      </c>
      <c r="C56" s="204">
        <v>15</v>
      </c>
      <c r="D56" s="191">
        <f t="shared" si="3"/>
        <v>1074.1500000000001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2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80</v>
      </c>
      <c r="B57" s="193">
        <f>'Données projet'!D65</f>
        <v>205.24</v>
      </c>
      <c r="C57" s="204">
        <v>20</v>
      </c>
      <c r="D57" s="191">
        <f t="shared" si="3"/>
        <v>4104.8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2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130</v>
      </c>
      <c r="B58" s="193">
        <f>'Données projet'!D66</f>
        <v>755.3</v>
      </c>
      <c r="C58" s="204">
        <v>40</v>
      </c>
      <c r="D58" s="191">
        <f t="shared" si="3"/>
        <v>30212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2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/>
      <c r="D59" s="191">
        <f t="shared" si="3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2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/>
      <c r="D60" s="191">
        <f t="shared" si="3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2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/>
      <c r="D61" s="191">
        <f t="shared" si="3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2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/>
      <c r="D62" s="191">
        <f t="shared" si="3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2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/>
      <c r="D63" s="191">
        <f t="shared" si="3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2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/>
      <c r="D64" s="191">
        <f t="shared" si="3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2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/>
      <c r="D65" s="191">
        <f t="shared" si="3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4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/>
      <c r="D66" s="191">
        <f t="shared" si="3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4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/>
      <c r="D67" s="191">
        <f t="shared" si="3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4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/>
      <c r="D68" s="191">
        <f t="shared" si="3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4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3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4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3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4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3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4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3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4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3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4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4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4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4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4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4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546.44000000000005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4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4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4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4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4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4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30</v>
      </c>
      <c r="B85" s="193">
        <f>'Données projet'!D88</f>
        <v>8.7200000000000006</v>
      </c>
      <c r="C85" s="204">
        <v>10</v>
      </c>
      <c r="D85" s="191">
        <f>B85*C85</f>
        <v>87.2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4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35</v>
      </c>
      <c r="B86" s="193">
        <f>'Données projet'!D89</f>
        <v>11.69</v>
      </c>
      <c r="C86" s="204">
        <v>10</v>
      </c>
      <c r="D86" s="191">
        <f t="shared" ref="D86:D104" si="5">B86*C86</f>
        <v>116.89999999999999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4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40</v>
      </c>
      <c r="B87" s="193">
        <f>'Données projet'!D90</f>
        <v>16.7</v>
      </c>
      <c r="C87" s="204">
        <v>10</v>
      </c>
      <c r="D87" s="191">
        <f t="shared" si="5"/>
        <v>167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4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45</v>
      </c>
      <c r="B88" s="193">
        <f>'Données projet'!D91</f>
        <v>22.87</v>
      </c>
      <c r="C88" s="204">
        <v>10</v>
      </c>
      <c r="D88" s="191">
        <f t="shared" si="5"/>
        <v>228.70000000000002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4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55</v>
      </c>
      <c r="B89" s="193">
        <f>'Données projet'!D92</f>
        <v>17.53</v>
      </c>
      <c r="C89" s="204">
        <v>15</v>
      </c>
      <c r="D89" s="191">
        <f t="shared" si="5"/>
        <v>262.95000000000005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4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60</v>
      </c>
      <c r="B90" s="193">
        <f>'Données projet'!D93</f>
        <v>15.31</v>
      </c>
      <c r="C90" s="204">
        <v>30</v>
      </c>
      <c r="D90" s="191">
        <f t="shared" si="5"/>
        <v>459.3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4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65</v>
      </c>
      <c r="B91" s="193">
        <f>'Données projet'!D94</f>
        <v>15.86</v>
      </c>
      <c r="C91" s="204">
        <v>30</v>
      </c>
      <c r="D91" s="191">
        <f t="shared" si="5"/>
        <v>475.79999999999995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4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70</v>
      </c>
      <c r="B92" s="193">
        <f>'Données projet'!D95</f>
        <v>13.75</v>
      </c>
      <c r="C92" s="204">
        <v>30</v>
      </c>
      <c r="D92" s="191">
        <f t="shared" si="5"/>
        <v>412.5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4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75</v>
      </c>
      <c r="B93" s="193">
        <f>'Données projet'!D96</f>
        <v>13.15</v>
      </c>
      <c r="C93" s="204">
        <v>50</v>
      </c>
      <c r="D93" s="191">
        <f t="shared" si="5"/>
        <v>657.5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4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85</v>
      </c>
      <c r="B94" s="193">
        <f>'Données projet'!D97</f>
        <v>16.64</v>
      </c>
      <c r="C94" s="204">
        <v>50</v>
      </c>
      <c r="D94" s="191">
        <f t="shared" si="5"/>
        <v>832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4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90</v>
      </c>
      <c r="B95" s="193">
        <f>'Données projet'!D98</f>
        <v>19.260000000000002</v>
      </c>
      <c r="C95" s="204">
        <v>80</v>
      </c>
      <c r="D95" s="191">
        <f t="shared" si="5"/>
        <v>1540.8000000000002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4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100</v>
      </c>
      <c r="B96" s="193">
        <f>'Données projet'!D99</f>
        <v>24.03</v>
      </c>
      <c r="C96" s="204">
        <v>80</v>
      </c>
      <c r="D96" s="191">
        <f t="shared" si="5"/>
        <v>1922.4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4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105</v>
      </c>
      <c r="B97" s="193">
        <f>'Données projet'!D100</f>
        <v>27.19</v>
      </c>
      <c r="C97" s="204">
        <v>80</v>
      </c>
      <c r="D97" s="191">
        <f t="shared" si="5"/>
        <v>2175.2000000000003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6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115</v>
      </c>
      <c r="B98" s="193">
        <f>'Données projet'!D101</f>
        <v>22.81</v>
      </c>
      <c r="C98" s="204">
        <v>100</v>
      </c>
      <c r="D98" s="191">
        <f t="shared" si="5"/>
        <v>2281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6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120</v>
      </c>
      <c r="B99" s="193">
        <f>'Données projet'!D102</f>
        <v>21.77</v>
      </c>
      <c r="C99" s="204">
        <v>100</v>
      </c>
      <c r="D99" s="191">
        <f t="shared" si="5"/>
        <v>2177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6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130</v>
      </c>
      <c r="B100" s="193">
        <f>'Données projet'!D103</f>
        <v>28.9</v>
      </c>
      <c r="C100" s="204">
        <v>100</v>
      </c>
      <c r="D100" s="191">
        <f t="shared" si="5"/>
        <v>2890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6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140</v>
      </c>
      <c r="B101" s="193">
        <f>'Données projet'!D104</f>
        <v>260.66000000000003</v>
      </c>
      <c r="C101" s="204">
        <v>150</v>
      </c>
      <c r="D101" s="191">
        <f t="shared" si="5"/>
        <v>39099.000000000007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6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5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6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5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6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5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6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6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6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Chêne vert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6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6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6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242.4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6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6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6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6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6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6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15</v>
      </c>
      <c r="B116" s="193">
        <f>'Données projet'!D114</f>
        <v>16.75</v>
      </c>
      <c r="C116" s="204">
        <v>10</v>
      </c>
      <c r="D116" s="191">
        <f>B116*C116</f>
        <v>167.5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6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30</v>
      </c>
      <c r="B117" s="193">
        <f>'Données projet'!D115</f>
        <v>43.24</v>
      </c>
      <c r="C117" s="204">
        <v>10</v>
      </c>
      <c r="D117" s="191">
        <f t="shared" ref="D117:D135" si="7">B117*C117</f>
        <v>432.40000000000003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6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45</v>
      </c>
      <c r="B118" s="193">
        <f>'Données projet'!D116</f>
        <v>46.64</v>
      </c>
      <c r="C118" s="204">
        <v>10</v>
      </c>
      <c r="D118" s="191">
        <f t="shared" si="7"/>
        <v>466.4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6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65</v>
      </c>
      <c r="B119" s="193">
        <f>'Données projet'!D117</f>
        <v>90.49</v>
      </c>
      <c r="C119" s="204">
        <v>50</v>
      </c>
      <c r="D119" s="191">
        <f t="shared" si="7"/>
        <v>4524.5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6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85</v>
      </c>
      <c r="B120" s="193">
        <f>'Données projet'!D118</f>
        <v>104.5</v>
      </c>
      <c r="C120" s="204">
        <v>60</v>
      </c>
      <c r="D120" s="191">
        <f t="shared" si="7"/>
        <v>6270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6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105</v>
      </c>
      <c r="B121" s="193">
        <f>'Données projet'!D119</f>
        <v>99.97</v>
      </c>
      <c r="C121" s="204">
        <v>80</v>
      </c>
      <c r="D121" s="191">
        <f t="shared" si="7"/>
        <v>7997.6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6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115</v>
      </c>
      <c r="B122" s="193">
        <f>'Données projet'!D120</f>
        <v>179.76</v>
      </c>
      <c r="C122" s="204">
        <v>120</v>
      </c>
      <c r="D122" s="191">
        <f t="shared" si="7"/>
        <v>21571.199999999997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6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/>
      <c r="D123" s="191">
        <f t="shared" si="7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6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/>
      <c r="D124" s="191">
        <f t="shared" si="7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6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/>
      <c r="D125" s="191">
        <f t="shared" si="7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6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/>
      <c r="D126" s="191">
        <f t="shared" si="7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6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/>
      <c r="D127" s="191">
        <f t="shared" si="7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6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/>
      <c r="D128" s="191">
        <f t="shared" si="7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6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/>
      <c r="D129" s="191">
        <f t="shared" si="7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7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>$P$25/(1+$M$4)^O130</f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7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>$P$25/(1+$M$4)^O131</f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7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>$P$25/(1+$M$4)^O132</f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7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7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7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Merisier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152.6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20</v>
      </c>
      <c r="B147" s="187">
        <f>'Données projet'!D140</f>
        <v>28.59</v>
      </c>
      <c r="C147" s="206">
        <v>10</v>
      </c>
      <c r="D147" s="194">
        <f>B147*C147</f>
        <v>285.89999999999998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25</v>
      </c>
      <c r="B148" s="187">
        <f>'Données projet'!D141</f>
        <v>21.01</v>
      </c>
      <c r="C148" s="206">
        <v>10</v>
      </c>
      <c r="D148" s="194">
        <f t="shared" ref="D148:D166" si="8">B148*C148</f>
        <v>210.10000000000002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30</v>
      </c>
      <c r="B149" s="187">
        <f>'Données projet'!D142</f>
        <v>24.41</v>
      </c>
      <c r="C149" s="206">
        <v>10</v>
      </c>
      <c r="D149" s="194">
        <f t="shared" si="8"/>
        <v>244.1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35</v>
      </c>
      <c r="B150" s="187">
        <f>'Données projet'!D143</f>
        <v>28.59</v>
      </c>
      <c r="C150" s="206">
        <v>15</v>
      </c>
      <c r="D150" s="194">
        <f t="shared" si="8"/>
        <v>428.85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40</v>
      </c>
      <c r="B151" s="187">
        <f>'Données projet'!D144</f>
        <v>31.1</v>
      </c>
      <c r="C151" s="206">
        <v>15</v>
      </c>
      <c r="D151" s="194">
        <f t="shared" si="8"/>
        <v>466.5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45</v>
      </c>
      <c r="B152" s="187">
        <f>'Données projet'!D145</f>
        <v>33.28</v>
      </c>
      <c r="C152" s="206">
        <v>20</v>
      </c>
      <c r="D152" s="194">
        <f t="shared" si="8"/>
        <v>665.6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50</v>
      </c>
      <c r="B153" s="187">
        <f>'Données projet'!D146</f>
        <v>32.43</v>
      </c>
      <c r="C153" s="206">
        <v>30</v>
      </c>
      <c r="D153" s="194">
        <f t="shared" si="8"/>
        <v>972.9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55</v>
      </c>
      <c r="B154" s="187">
        <f>'Données projet'!D147</f>
        <v>32.79</v>
      </c>
      <c r="C154" s="206">
        <v>30</v>
      </c>
      <c r="D154" s="194">
        <f t="shared" si="8"/>
        <v>983.69999999999993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60</v>
      </c>
      <c r="B155" s="187">
        <f>'Données projet'!D148</f>
        <v>33.94</v>
      </c>
      <c r="C155" s="206">
        <v>40</v>
      </c>
      <c r="D155" s="194">
        <f t="shared" si="8"/>
        <v>1357.6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65</v>
      </c>
      <c r="B156" s="187">
        <f>'Données projet'!D149</f>
        <v>33.369999999999997</v>
      </c>
      <c r="C156" s="206">
        <v>50</v>
      </c>
      <c r="D156" s="194">
        <f t="shared" si="8"/>
        <v>1668.4999999999998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70</v>
      </c>
      <c r="B157" s="187">
        <f>'Données projet'!D150</f>
        <v>223.05</v>
      </c>
      <c r="C157" s="206">
        <v>55</v>
      </c>
      <c r="D157" s="194">
        <f t="shared" si="8"/>
        <v>12267.75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8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8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8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8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8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8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8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8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8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>Pin laricio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v>204.24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20</v>
      </c>
      <c r="B178" s="193">
        <f>'Données projet'!D166</f>
        <v>32.85</v>
      </c>
      <c r="C178" s="206">
        <v>10</v>
      </c>
      <c r="D178" s="191">
        <f>B178*C178</f>
        <v>328.5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35</v>
      </c>
      <c r="B179" s="193">
        <f>'Données projet'!D167</f>
        <v>82.16</v>
      </c>
      <c r="C179" s="206">
        <v>15</v>
      </c>
      <c r="D179" s="191">
        <f t="shared" ref="D179:D197" si="9">B179*C179</f>
        <v>1232.3999999999999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45</v>
      </c>
      <c r="B180" s="193">
        <f>'Données projet'!D168</f>
        <v>112.79</v>
      </c>
      <c r="C180" s="206">
        <v>15</v>
      </c>
      <c r="D180" s="191">
        <f t="shared" si="9"/>
        <v>1691.8500000000001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55</v>
      </c>
      <c r="B181" s="193">
        <f>'Données projet'!D169</f>
        <v>134.88999999999999</v>
      </c>
      <c r="C181" s="206">
        <v>15</v>
      </c>
      <c r="D181" s="191">
        <f t="shared" si="9"/>
        <v>2023.35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80</v>
      </c>
      <c r="B182" s="193">
        <f>'Données projet'!D170</f>
        <v>821.05</v>
      </c>
      <c r="C182" s="206">
        <v>25</v>
      </c>
      <c r="D182" s="191">
        <f t="shared" si="9"/>
        <v>20526.25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/>
      <c r="D183" s="191">
        <f t="shared" si="9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/>
      <c r="D184" s="191">
        <f t="shared" si="9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/>
      <c r="D185" s="191">
        <f t="shared" si="9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/>
      <c r="D186" s="191">
        <f t="shared" si="9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/>
      <c r="D187" s="191">
        <f t="shared" si="9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/>
      <c r="D188" s="191">
        <f t="shared" si="9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/>
      <c r="D189" s="191">
        <f t="shared" si="9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/>
      <c r="D190" s="191">
        <f t="shared" si="9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/>
      <c r="D191" s="191">
        <f t="shared" si="9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9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9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9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9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9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9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>Pin maritime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10">
        <v>0</v>
      </c>
      <c r="B203" s="213" t="s">
        <v>132</v>
      </c>
      <c r="C203" s="212" t="s">
        <v>132</v>
      </c>
      <c r="D203" s="211" t="s">
        <v>132</v>
      </c>
      <c r="E203" s="206">
        <v>204.24</v>
      </c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10</v>
      </c>
      <c r="B209" s="193">
        <f>'Données projet'!D192</f>
        <v>8.19</v>
      </c>
      <c r="C209" s="206">
        <v>10</v>
      </c>
      <c r="D209" s="191">
        <f>B209*C209</f>
        <v>81.899999999999991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15</v>
      </c>
      <c r="B210" s="193">
        <f>'Données projet'!D193</f>
        <v>23.9</v>
      </c>
      <c r="C210" s="206">
        <v>10</v>
      </c>
      <c r="D210" s="191">
        <f t="shared" ref="D210:D228" si="10">B210*C210</f>
        <v>239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20</v>
      </c>
      <c r="B211" s="193">
        <f>'Données projet'!D194</f>
        <v>34.33</v>
      </c>
      <c r="C211" s="206">
        <v>17</v>
      </c>
      <c r="D211" s="191">
        <f t="shared" si="10"/>
        <v>583.61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25</v>
      </c>
      <c r="B212" s="193">
        <f>'Données projet'!D195</f>
        <v>36.99</v>
      </c>
      <c r="C212" s="206">
        <v>17</v>
      </c>
      <c r="D212" s="191">
        <f t="shared" si="10"/>
        <v>628.83000000000004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30</v>
      </c>
      <c r="B213" s="193">
        <f>'Données projet'!D196</f>
        <v>59.81</v>
      </c>
      <c r="C213" s="206">
        <v>20</v>
      </c>
      <c r="D213" s="191">
        <f t="shared" si="10"/>
        <v>1196.2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35</v>
      </c>
      <c r="B214" s="193">
        <f>'Données projet'!D197</f>
        <v>33.6</v>
      </c>
      <c r="C214" s="206">
        <v>20</v>
      </c>
      <c r="D214" s="191">
        <f t="shared" si="10"/>
        <v>672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55</v>
      </c>
      <c r="B215" s="193">
        <f>'Données projet'!D198</f>
        <v>435.83</v>
      </c>
      <c r="C215" s="206">
        <v>25</v>
      </c>
      <c r="D215" s="191">
        <f t="shared" si="10"/>
        <v>10895.75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/>
      <c r="D216" s="191">
        <f t="shared" si="10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/>
      <c r="D217" s="191">
        <f t="shared" si="10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/>
      <c r="D218" s="191">
        <f t="shared" si="10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/>
      <c r="D219" s="191">
        <f t="shared" si="10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/>
      <c r="D220" s="191">
        <f t="shared" si="10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/>
      <c r="D221" s="191">
        <f t="shared" si="10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/>
      <c r="D222" s="191">
        <f t="shared" si="10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0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0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0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0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0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0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>Douglas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10">
        <v>0</v>
      </c>
      <c r="B234" s="213" t="s">
        <v>132</v>
      </c>
      <c r="C234" s="212" t="s">
        <v>132</v>
      </c>
      <c r="D234" s="211" t="s">
        <v>132</v>
      </c>
      <c r="E234" s="206">
        <v>223.76</v>
      </c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20</v>
      </c>
      <c r="B240" s="193">
        <f>'Données projet'!D218</f>
        <v>29.92</v>
      </c>
      <c r="C240" s="206">
        <v>10</v>
      </c>
      <c r="D240" s="191">
        <f>B240*C240</f>
        <v>299.20000000000005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25</v>
      </c>
      <c r="B241" s="193">
        <f>'Données projet'!D219</f>
        <v>31.35</v>
      </c>
      <c r="C241" s="206">
        <v>20</v>
      </c>
      <c r="D241" s="191">
        <f t="shared" ref="D241:D259" si="11">B241*C241</f>
        <v>627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30</v>
      </c>
      <c r="B242" s="193">
        <f>'Données projet'!D220</f>
        <v>38.479999999999997</v>
      </c>
      <c r="C242" s="206">
        <v>30</v>
      </c>
      <c r="D242" s="191">
        <f t="shared" si="11"/>
        <v>1154.3999999999999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35</v>
      </c>
      <c r="B243" s="193">
        <f>'Données projet'!D221</f>
        <v>43.31</v>
      </c>
      <c r="C243" s="206">
        <v>35</v>
      </c>
      <c r="D243" s="191">
        <f t="shared" si="11"/>
        <v>1515.8500000000001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45</v>
      </c>
      <c r="B244" s="193">
        <f>'Données projet'!D222</f>
        <v>63.74</v>
      </c>
      <c r="C244" s="206">
        <v>45</v>
      </c>
      <c r="D244" s="191">
        <f t="shared" si="11"/>
        <v>2868.3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50</v>
      </c>
      <c r="B245" s="193">
        <f>'Données projet'!D223</f>
        <v>57.6</v>
      </c>
      <c r="C245" s="206">
        <v>55</v>
      </c>
      <c r="D245" s="191">
        <f t="shared" si="11"/>
        <v>3168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55</v>
      </c>
      <c r="B246" s="193">
        <f>'Données projet'!D224</f>
        <v>53.01</v>
      </c>
      <c r="C246" s="206">
        <v>60</v>
      </c>
      <c r="D246" s="191">
        <f t="shared" si="11"/>
        <v>3180.6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60</v>
      </c>
      <c r="B247" s="193">
        <f>'Données projet'!D225</f>
        <v>49.27</v>
      </c>
      <c r="C247" s="206">
        <v>65</v>
      </c>
      <c r="D247" s="191">
        <f t="shared" si="11"/>
        <v>3202.55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65</v>
      </c>
      <c r="B248" s="193">
        <f>'Données projet'!D226</f>
        <v>45.71</v>
      </c>
      <c r="C248" s="206">
        <v>70</v>
      </c>
      <c r="D248" s="191">
        <f t="shared" si="11"/>
        <v>3199.7000000000003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75</v>
      </c>
      <c r="B249" s="193">
        <f>'Données projet'!D227</f>
        <v>54.28</v>
      </c>
      <c r="C249" s="206">
        <v>75</v>
      </c>
      <c r="D249" s="191">
        <f t="shared" si="11"/>
        <v>4071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80</v>
      </c>
      <c r="B250" s="193">
        <f>'Données projet'!D228</f>
        <v>411.78</v>
      </c>
      <c r="C250" s="206">
        <v>75</v>
      </c>
      <c r="D250" s="191">
        <f t="shared" si="11"/>
        <v>30883.499999999996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1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1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1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1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1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1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1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1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1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>Séquoia toujours vert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10">
        <v>0</v>
      </c>
      <c r="B265" s="213" t="s">
        <v>132</v>
      </c>
      <c r="C265" s="212" t="s">
        <v>132</v>
      </c>
      <c r="D265" s="211" t="s">
        <v>132</v>
      </c>
      <c r="E265" s="206">
        <v>252.24</v>
      </c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15</v>
      </c>
      <c r="B271" s="193">
        <f>'Données projet'!D244</f>
        <v>86.35</v>
      </c>
      <c r="C271" s="204">
        <v>10</v>
      </c>
      <c r="D271" s="191">
        <f>B271*C271</f>
        <v>863.5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20</v>
      </c>
      <c r="B272" s="193">
        <f>'Données projet'!D245</f>
        <v>128.22</v>
      </c>
      <c r="C272" s="204">
        <v>15</v>
      </c>
      <c r="D272" s="191">
        <f t="shared" ref="D272:D290" si="12">B272*C272</f>
        <v>1923.3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30</v>
      </c>
      <c r="B273" s="193">
        <f>'Données projet'!D246</f>
        <v>152.65</v>
      </c>
      <c r="C273" s="204">
        <v>15</v>
      </c>
      <c r="D273" s="191">
        <f t="shared" si="12"/>
        <v>2289.75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35</v>
      </c>
      <c r="B274" s="193">
        <f>'Données projet'!D247</f>
        <v>131.41999999999999</v>
      </c>
      <c r="C274" s="204">
        <v>25</v>
      </c>
      <c r="D274" s="191">
        <f t="shared" si="12"/>
        <v>3285.4999999999995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40</v>
      </c>
      <c r="B275" s="193">
        <f>'Données projet'!D248</f>
        <v>109.42</v>
      </c>
      <c r="C275" s="204">
        <v>25</v>
      </c>
      <c r="D275" s="191">
        <f t="shared" si="12"/>
        <v>2735.5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45</v>
      </c>
      <c r="B276" s="193">
        <f>'Données projet'!D249</f>
        <v>81.59</v>
      </c>
      <c r="C276" s="204">
        <v>25</v>
      </c>
      <c r="D276" s="191">
        <f t="shared" si="12"/>
        <v>2039.75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50</v>
      </c>
      <c r="B277" s="193">
        <f>'Données projet'!D250</f>
        <v>66.42</v>
      </c>
      <c r="C277" s="204">
        <v>25</v>
      </c>
      <c r="D277" s="191">
        <f t="shared" si="12"/>
        <v>1660.5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55</v>
      </c>
      <c r="B278" s="193">
        <f>'Données projet'!D251</f>
        <v>53.64</v>
      </c>
      <c r="C278" s="204">
        <v>30</v>
      </c>
      <c r="D278" s="191">
        <f t="shared" si="12"/>
        <v>1609.2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65</v>
      </c>
      <c r="B279" s="193">
        <f>'Données projet'!D252</f>
        <v>52.75</v>
      </c>
      <c r="C279" s="204">
        <v>35</v>
      </c>
      <c r="D279" s="191">
        <f t="shared" si="12"/>
        <v>1846.25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70</v>
      </c>
      <c r="B280" s="193">
        <f>'Données projet'!D253</f>
        <v>43.55</v>
      </c>
      <c r="C280" s="204">
        <v>35</v>
      </c>
      <c r="D280" s="191">
        <f t="shared" si="12"/>
        <v>1524.25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75</v>
      </c>
      <c r="B281" s="193">
        <f>'Données projet'!D254</f>
        <v>38.15</v>
      </c>
      <c r="C281" s="204">
        <v>40</v>
      </c>
      <c r="D281" s="191">
        <f t="shared" si="12"/>
        <v>1526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80</v>
      </c>
      <c r="B282" s="193">
        <f>'Données projet'!D255</f>
        <v>294.32</v>
      </c>
      <c r="C282" s="204">
        <v>50</v>
      </c>
      <c r="D282" s="191">
        <f t="shared" si="12"/>
        <v>14716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2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2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2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2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2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2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2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2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>Chêne pubescent</v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30</v>
      </c>
      <c r="B302" s="193">
        <f>'Données projet'!D270</f>
        <v>6.12</v>
      </c>
      <c r="C302" s="204">
        <v>10</v>
      </c>
      <c r="D302" s="194">
        <f>B302*C302</f>
        <v>61.2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35</v>
      </c>
      <c r="B303" s="193">
        <f>'Données projet'!D271</f>
        <v>8.06</v>
      </c>
      <c r="C303" s="204">
        <v>10</v>
      </c>
      <c r="D303" s="194">
        <f t="shared" ref="D303:D321" si="13">B303*C303</f>
        <v>80.600000000000009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40</v>
      </c>
      <c r="B304" s="193">
        <f>'Données projet'!D272</f>
        <v>11.17</v>
      </c>
      <c r="C304" s="204">
        <v>10</v>
      </c>
      <c r="D304" s="194">
        <f t="shared" si="13"/>
        <v>111.7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45</v>
      </c>
      <c r="B305" s="193">
        <f>'Données projet'!D273</f>
        <v>15.02</v>
      </c>
      <c r="C305" s="204">
        <v>10</v>
      </c>
      <c r="D305" s="194">
        <f t="shared" si="13"/>
        <v>150.19999999999999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55</v>
      </c>
      <c r="B306" s="193">
        <f>'Données projet'!D274</f>
        <v>11.5</v>
      </c>
      <c r="C306" s="204">
        <v>15</v>
      </c>
      <c r="D306" s="194">
        <f t="shared" si="13"/>
        <v>172.5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60</v>
      </c>
      <c r="B307" s="193">
        <f>'Données projet'!D275</f>
        <v>10</v>
      </c>
      <c r="C307" s="204">
        <v>30</v>
      </c>
      <c r="D307" s="194">
        <f t="shared" si="13"/>
        <v>300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65</v>
      </c>
      <c r="B308" s="193">
        <f>'Données projet'!D276</f>
        <v>10.32</v>
      </c>
      <c r="C308" s="204">
        <v>30</v>
      </c>
      <c r="D308" s="194">
        <f t="shared" si="13"/>
        <v>309.60000000000002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70</v>
      </c>
      <c r="B309" s="193">
        <f>'Données projet'!D277</f>
        <v>8.9</v>
      </c>
      <c r="C309" s="204">
        <v>30</v>
      </c>
      <c r="D309" s="194">
        <f t="shared" si="13"/>
        <v>267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75</v>
      </c>
      <c r="B310" s="193">
        <f>'Données projet'!D278</f>
        <v>8.4700000000000006</v>
      </c>
      <c r="C310" s="204">
        <v>50</v>
      </c>
      <c r="D310" s="194">
        <f t="shared" si="13"/>
        <v>423.50000000000006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85</v>
      </c>
      <c r="B311" s="193">
        <f>'Données projet'!D279</f>
        <v>10.61</v>
      </c>
      <c r="C311" s="204">
        <v>50</v>
      </c>
      <c r="D311" s="194">
        <f t="shared" si="13"/>
        <v>530.5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90</v>
      </c>
      <c r="B312" s="193">
        <f>'Données projet'!D280</f>
        <v>12.22</v>
      </c>
      <c r="C312" s="204">
        <v>80</v>
      </c>
      <c r="D312" s="194">
        <f t="shared" si="13"/>
        <v>977.6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100</v>
      </c>
      <c r="B313" s="193">
        <f>'Données projet'!D281</f>
        <v>15.11</v>
      </c>
      <c r="C313" s="204">
        <v>80</v>
      </c>
      <c r="D313" s="194">
        <f t="shared" si="13"/>
        <v>1208.8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105</v>
      </c>
      <c r="B314" s="193">
        <f>'Données projet'!D282</f>
        <v>17.02</v>
      </c>
      <c r="C314" s="204">
        <v>80</v>
      </c>
      <c r="D314" s="194">
        <f t="shared" si="13"/>
        <v>1361.6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120</v>
      </c>
      <c r="B315" s="193">
        <f>'Données projet'!D283</f>
        <v>152.35</v>
      </c>
      <c r="C315" s="204">
        <v>100</v>
      </c>
      <c r="D315" s="194">
        <f t="shared" si="13"/>
        <v>15235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3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3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3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3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3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9"/>
      <c r="D321" s="194">
        <f t="shared" si="13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2022-07-19T07:25:30Z</dcterms:modified>
</cp:coreProperties>
</file>