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Bazas\dossier LBC\8-CUDOS - BRISTAUT Joëlle\Dossier final2\"/>
    </mc:Choice>
  </mc:AlternateContent>
  <xr:revisionPtr revIDLastSave="0" documentId="13_ncr:1_{BD4119E1-C593-4D11-8BB9-03459F359A08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<sst xmlns="http://schemas.openxmlformats.org/spreadsheetml/2006/main" count="1171" uniqueCount="324">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</sst>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2.031907402748768</c:v>
                </c:pt>
                <c:pt idx="2">
                  <c:v>2.6623840980288702</c:v>
                </c:pt>
                <c:pt idx="3">
                  <c:v>3.4892924617433518</c:v>
                </c:pt>
                <c:pt idx="4">
                  <c:v>4.5740685657030165</c:v>
                </c:pt>
                <c:pt idx="5">
                  <c:v>5.9974322325810041</c:v>
                </c:pt>
                <c:pt idx="6">
                  <c:v>7.8654599863275783</c:v>
                </c:pt>
                <c:pt idx="7">
                  <c:v>10.317576370738935</c:v>
                </c:pt>
                <c:pt idx="8">
                  <c:v>13.53707131484501</c:v>
                </c:pt>
                <c:pt idx="9">
                  <c:v>17.764944205134721</c:v>
                </c:pt>
                <c:pt idx="10">
                  <c:v>23.318129731757608</c:v>
                </c:pt>
                <c:pt idx="11">
                  <c:v>30.613496000795752</c:v>
                </c:pt>
                <c:pt idx="12">
                  <c:v>40.19944770009392</c:v>
                </c:pt>
                <c:pt idx="13">
                  <c:v>52.797550388930141</c:v>
                </c:pt>
                <c:pt idx="14">
                  <c:v>69.357361279449364</c:v>
                </c:pt>
                <c:pt idx="15">
                  <c:v>91.128666622788032</c:v>
                </c:pt>
                <c:pt idx="16">
                  <c:v>119.75666445822681</c:v>
                </c:pt>
                <c:pt idx="17">
                  <c:v>157.40739759934175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183.8758659829856</c:v>
                </c:pt>
                <c:pt idx="22">
                  <c:v>205.0891292024188</c:v>
                </c:pt>
                <c:pt idx="23">
                  <c:v>226.25164550125564</c:v>
                </c:pt>
                <c:pt idx="24">
                  <c:v>247.36882925179307</c:v>
                </c:pt>
                <c:pt idx="25">
                  <c:v>268.44509403501723</c:v>
                </c:pt>
                <c:pt idx="26">
                  <c:v>244.79583422246174</c:v>
                </c:pt>
                <c:pt idx="27">
                  <c:v>267.41787510049454</c:v>
                </c:pt>
                <c:pt idx="28">
                  <c:v>289.99681160231404</c:v>
                </c:pt>
                <c:pt idx="29">
                  <c:v>312.53647021104257</c:v>
                </c:pt>
                <c:pt idx="30">
                  <c:v>335.04008037896625</c:v>
                </c:pt>
                <c:pt idx="31">
                  <c:v>289.99681160231404</c:v>
                </c:pt>
                <c:pt idx="32">
                  <c:v>314.07191886152782</c:v>
                </c:pt>
                <c:pt idx="33">
                  <c:v>338.10611860508033</c:v>
                </c:pt>
                <c:pt idx="34">
                  <c:v>362.10272554390014</c:v>
                </c:pt>
                <c:pt idx="35">
                  <c:v>386.06457932909711</c:v>
                </c:pt>
                <c:pt idx="36">
                  <c:v>342.1932186321871</c:v>
                </c:pt>
                <c:pt idx="37">
                  <c:v>364.6534648608133</c:v>
                </c:pt>
                <c:pt idx="38">
                  <c:v>387.08350012671559</c:v>
                </c:pt>
                <c:pt idx="39">
                  <c:v>409.48531996489623</c:v>
                </c:pt>
                <c:pt idx="40">
                  <c:v>431.86068387305687</c:v>
                </c:pt>
                <c:pt idx="41">
                  <c:v>396.25118655434966</c:v>
                </c:pt>
                <c:pt idx="42">
                  <c:v>421.69323961894696</c:v>
                </c:pt>
                <c:pt idx="43">
                  <c:v>447.10225323882656</c:v>
                </c:pt>
                <c:pt idx="44">
                  <c:v>472.48036714392646</c:v>
                </c:pt>
                <c:pt idx="45">
                  <c:v>497.8294726490094</c:v>
                </c:pt>
                <c:pt idx="46">
                  <c:v>447.61011165255627</c:v>
                </c:pt>
                <c:pt idx="47">
                  <c:v>469.69022691951341</c:v>
                </c:pt>
                <c:pt idx="48">
                  <c:v>491.74823970258649</c:v>
                </c:pt>
                <c:pt idx="49">
                  <c:v>513.78528004261909</c:v>
                </c:pt>
                <c:pt idx="50">
                  <c:v>535.80237321728112</c:v>
                </c:pt>
                <c:pt idx="51">
                  <c:v>500.61617734977295</c:v>
                </c:pt>
                <c:pt idx="52">
                  <c:v>524.92279412001812</c:v>
                </c:pt>
                <c:pt idx="53">
                  <c:v>549.20570960219959</c:v>
                </c:pt>
                <c:pt idx="54">
                  <c:v>573.46611798533252</c:v>
                </c:pt>
                <c:pt idx="55">
                  <c:v>597.7051042871891</c:v>
                </c:pt>
                <c:pt idx="56">
                  <c:v>558.55867937490257</c:v>
                </c:pt>
                <c:pt idx="57">
                  <c:v>580.03291566489895</c:v>
                </c:pt>
                <c:pt idx="58">
                  <c:v>601.49057626451452</c:v>
                </c:pt>
                <c:pt idx="59">
                  <c:v>622.93233512534789</c:v>
                </c:pt>
                <c:pt idx="60">
                  <c:v>644.35881606732414</c:v>
                </c:pt>
                <c:pt idx="61">
                  <c:v>625.95816246292009</c:v>
                </c:pt>
                <c:pt idx="62">
                  <c:v>647.88645878177363</c:v>
                </c:pt>
                <c:pt idx="63">
                  <c:v>669.79945190168917</c:v>
                </c:pt>
                <c:pt idx="64">
                  <c:v>691.69771238133637</c:v>
                </c:pt>
                <c:pt idx="65">
                  <c:v>713.58177174919854</c:v>
                </c:pt>
                <c:pt idx="66">
                  <c:v>713.58177174919854</c:v>
                </c:pt>
                <c:pt idx="67">
                  <c:v>713.58177174919854</c:v>
                </c:pt>
                <c:pt idx="68">
                  <c:v>713.58177174919854</c:v>
                </c:pt>
                <c:pt idx="69">
                  <c:v>713.58177174919854</c:v>
                </c:pt>
                <c:pt idx="70">
                  <c:v>713.58177174919854</c:v>
                </c:pt>
                <c:pt idx="71">
                  <c:v>713.58177174919854</c:v>
                </c:pt>
                <c:pt idx="72">
                  <c:v>713.58177174919854</c:v>
                </c:pt>
                <c:pt idx="73">
                  <c:v>713.58177174919854</c:v>
                </c:pt>
                <c:pt idx="74">
                  <c:v>713.58177174919854</c:v>
                </c:pt>
                <c:pt idx="75">
                  <c:v>713.58177174919854</c:v>
                </c:pt>
                <c:pt idx="76">
                  <c:v>713.58177174919854</c:v>
                </c:pt>
                <c:pt idx="77">
                  <c:v>713.58177174919854</c:v>
                </c:pt>
                <c:pt idx="78">
                  <c:v>713.58177174919854</c:v>
                </c:pt>
                <c:pt idx="79">
                  <c:v>713.58177174919854</c:v>
                </c:pt>
                <c:pt idx="80">
                  <c:v>713.58177174919854</c:v>
                </c:pt>
                <c:pt idx="81">
                  <c:v>713.58177174919854</c:v>
                </c:pt>
                <c:pt idx="82">
                  <c:v>713.58177174919854</c:v>
                </c:pt>
                <c:pt idx="83">
                  <c:v>713.58177174919854</c:v>
                </c:pt>
                <c:pt idx="84">
                  <c:v>713.58177174919854</c:v>
                </c:pt>
                <c:pt idx="85">
                  <c:v>713.58177174919854</c:v>
                </c:pt>
                <c:pt idx="86">
                  <c:v>713.58177174919854</c:v>
                </c:pt>
                <c:pt idx="87">
                  <c:v>713.58177174919854</c:v>
                </c:pt>
                <c:pt idx="88">
                  <c:v>713.58177174919854</c:v>
                </c:pt>
                <c:pt idx="89">
                  <c:v>713.58177174919854</c:v>
                </c:pt>
                <c:pt idx="90">
                  <c:v>713.58177174919854</c:v>
                </c:pt>
                <c:pt idx="91">
                  <c:v>713.58177174919854</c:v>
                </c:pt>
                <c:pt idx="92">
                  <c:v>713.58177174919854</c:v>
                </c:pt>
                <c:pt idx="93">
                  <c:v>713.58177174919854</c:v>
                </c:pt>
                <c:pt idx="94">
                  <c:v>713.58177174919854</c:v>
                </c:pt>
                <c:pt idx="95">
                  <c:v>713.58177174919854</c:v>
                </c:pt>
                <c:pt idx="96">
                  <c:v>713.58177174919854</c:v>
                </c:pt>
                <c:pt idx="97">
                  <c:v>713.58177174919854</c:v>
                </c:pt>
                <c:pt idx="98">
                  <c:v>713.58177174919854</c:v>
                </c:pt>
                <c:pt idx="99">
                  <c:v>713.58177174919854</c:v>
                </c:pt>
                <c:pt idx="100">
                  <c:v>713.58177174919854</c:v>
                </c:pt>
                <c:pt idx="101">
                  <c:v>713.58177174919854</c:v>
                </c:pt>
                <c:pt idx="102">
                  <c:v>713.58177174919854</c:v>
                </c:pt>
                <c:pt idx="103">
                  <c:v>713.58177174919854</c:v>
                </c:pt>
                <c:pt idx="104">
                  <c:v>713.58177174919854</c:v>
                </c:pt>
                <c:pt idx="105">
                  <c:v>713.58177174919854</c:v>
                </c:pt>
                <c:pt idx="106">
                  <c:v>713.58177174919854</c:v>
                </c:pt>
                <c:pt idx="107">
                  <c:v>713.58177174919854</c:v>
                </c:pt>
                <c:pt idx="108">
                  <c:v>713.58177174919854</c:v>
                </c:pt>
                <c:pt idx="109">
                  <c:v>713.58177174919854</c:v>
                </c:pt>
                <c:pt idx="110">
                  <c:v>713.58177174919854</c:v>
                </c:pt>
                <c:pt idx="111">
                  <c:v>713.58177174919854</c:v>
                </c:pt>
                <c:pt idx="112">
                  <c:v>713.58177174919854</c:v>
                </c:pt>
                <c:pt idx="113">
                  <c:v>713.58177174919854</c:v>
                </c:pt>
                <c:pt idx="114">
                  <c:v>713.58177174919854</c:v>
                </c:pt>
                <c:pt idx="115">
                  <c:v>713.58177174919854</c:v>
                </c:pt>
                <c:pt idx="116">
                  <c:v>713.58177174919854</c:v>
                </c:pt>
                <c:pt idx="117">
                  <c:v>713.58177174919854</c:v>
                </c:pt>
                <c:pt idx="118">
                  <c:v>713.58177174919854</c:v>
                </c:pt>
                <c:pt idx="119">
                  <c:v>713.58177174919854</c:v>
                </c:pt>
                <c:pt idx="120">
                  <c:v>713.58177174919854</c:v>
                </c:pt>
                <c:pt idx="121">
                  <c:v>713.58177174919854</c:v>
                </c:pt>
                <c:pt idx="122">
                  <c:v>713.58177174919854</c:v>
                </c:pt>
                <c:pt idx="123">
                  <c:v>713.58177174919854</c:v>
                </c:pt>
                <c:pt idx="124">
                  <c:v>713.58177174919854</c:v>
                </c:pt>
                <c:pt idx="125">
                  <c:v>713.58177174919854</c:v>
                </c:pt>
                <c:pt idx="126">
                  <c:v>713.58177174919854</c:v>
                </c:pt>
                <c:pt idx="127">
                  <c:v>713.58177174919854</c:v>
                </c:pt>
                <c:pt idx="128">
                  <c:v>713.58177174919854</c:v>
                </c:pt>
                <c:pt idx="129">
                  <c:v>713.58177174919854</c:v>
                </c:pt>
                <c:pt idx="130">
                  <c:v>713.58177174919854</c:v>
                </c:pt>
                <c:pt idx="131">
                  <c:v>713.58177174919854</c:v>
                </c:pt>
                <c:pt idx="132">
                  <c:v>713.58177174919854</c:v>
                </c:pt>
                <c:pt idx="133">
                  <c:v>713.58177174919854</c:v>
                </c:pt>
                <c:pt idx="134">
                  <c:v>713.58177174919854</c:v>
                </c:pt>
                <c:pt idx="135">
                  <c:v>713.58177174919854</c:v>
                </c:pt>
                <c:pt idx="136">
                  <c:v>713.58177174919854</c:v>
                </c:pt>
                <c:pt idx="137">
                  <c:v>713.58177174919854</c:v>
                </c:pt>
                <c:pt idx="138">
                  <c:v>713.58177174919854</c:v>
                </c:pt>
                <c:pt idx="139">
                  <c:v>713.58177174919854</c:v>
                </c:pt>
                <c:pt idx="140">
                  <c:v>713.58177174919854</c:v>
                </c:pt>
                <c:pt idx="141">
                  <c:v>713.58177174919854</c:v>
                </c:pt>
                <c:pt idx="142">
                  <c:v>713.58177174919854</c:v>
                </c:pt>
                <c:pt idx="143">
                  <c:v>713.58177174919854</c:v>
                </c:pt>
                <c:pt idx="144">
                  <c:v>713.58177174919854</c:v>
                </c:pt>
                <c:pt idx="145">
                  <c:v>713.58177174919854</c:v>
                </c:pt>
                <c:pt idx="146">
                  <c:v>713.58177174919854</c:v>
                </c:pt>
                <c:pt idx="147">
                  <c:v>713.58177174919854</c:v>
                </c:pt>
                <c:pt idx="148">
                  <c:v>713.58177174919854</c:v>
                </c:pt>
                <c:pt idx="149">
                  <c:v>713.58177174919854</c:v>
                </c:pt>
                <c:pt idx="150">
                  <c:v>713.58177174919854</c:v>
                </c:pt>
                <c:pt idx="151">
                  <c:v>713.58177174919854</c:v>
                </c:pt>
                <c:pt idx="152">
                  <c:v>713.58177174919854</c:v>
                </c:pt>
                <c:pt idx="153">
                  <c:v>713.58177174919854</c:v>
                </c:pt>
                <c:pt idx="154">
                  <c:v>713.58177174919854</c:v>
                </c:pt>
                <c:pt idx="155">
                  <c:v>713.58177174919854</c:v>
                </c:pt>
                <c:pt idx="156">
                  <c:v>713.58177174919854</c:v>
                </c:pt>
                <c:pt idx="157">
                  <c:v>713.58177174919854</c:v>
                </c:pt>
                <c:pt idx="158">
                  <c:v>713.58177174919854</c:v>
                </c:pt>
                <c:pt idx="159">
                  <c:v>713.58177174919854</c:v>
                </c:pt>
                <c:pt idx="160">
                  <c:v>713.58177174919854</c:v>
                </c:pt>
                <c:pt idx="161">
                  <c:v>713.58177174919854</c:v>
                </c:pt>
                <c:pt idx="162">
                  <c:v>713.58177174919854</c:v>
                </c:pt>
                <c:pt idx="163">
                  <c:v>713.58177174919854</c:v>
                </c:pt>
                <c:pt idx="164">
                  <c:v>713.58177174919854</c:v>
                </c:pt>
                <c:pt idx="165">
                  <c:v>713.58177174919854</c:v>
                </c:pt>
                <c:pt idx="166">
                  <c:v>713.58177174919854</c:v>
                </c:pt>
                <c:pt idx="167">
                  <c:v>713.58177174919854</c:v>
                </c:pt>
                <c:pt idx="168">
                  <c:v>713.58177174919854</c:v>
                </c:pt>
                <c:pt idx="169">
                  <c:v>713.58177174919854</c:v>
                </c:pt>
                <c:pt idx="170">
                  <c:v>713.58177174919854</c:v>
                </c:pt>
                <c:pt idx="171">
                  <c:v>713.58177174919854</c:v>
                </c:pt>
                <c:pt idx="172">
                  <c:v>713.58177174919854</c:v>
                </c:pt>
                <c:pt idx="173">
                  <c:v>713.58177174919854</c:v>
                </c:pt>
                <c:pt idx="174">
                  <c:v>713.58177174919854</c:v>
                </c:pt>
                <c:pt idx="175">
                  <c:v>713.58177174919854</c:v>
                </c:pt>
                <c:pt idx="176">
                  <c:v>713.58177174919854</c:v>
                </c:pt>
                <c:pt idx="177">
                  <c:v>713.58177174919854</c:v>
                </c:pt>
                <c:pt idx="178">
                  <c:v>713.58177174919854</c:v>
                </c:pt>
                <c:pt idx="179">
                  <c:v>713.58177174919854</c:v>
                </c:pt>
                <c:pt idx="180">
                  <c:v>713.58177174919854</c:v>
                </c:pt>
                <c:pt idx="181">
                  <c:v>713.58177174919854</c:v>
                </c:pt>
                <c:pt idx="182">
                  <c:v>713.58177174919854</c:v>
                </c:pt>
                <c:pt idx="183">
                  <c:v>713.58177174919854</c:v>
                </c:pt>
                <c:pt idx="184">
                  <c:v>713.58177174919854</c:v>
                </c:pt>
                <c:pt idx="185">
                  <c:v>713.58177174919854</c:v>
                </c:pt>
                <c:pt idx="186">
                  <c:v>713.58177174919854</c:v>
                </c:pt>
                <c:pt idx="187">
                  <c:v>713.58177174919854</c:v>
                </c:pt>
                <c:pt idx="188">
                  <c:v>713.58177174919854</c:v>
                </c:pt>
                <c:pt idx="189">
                  <c:v>713.58177174919854</c:v>
                </c:pt>
                <c:pt idx="190">
                  <c:v>713.58177174919854</c:v>
                </c:pt>
                <c:pt idx="191">
                  <c:v>713.58177174919854</c:v>
                </c:pt>
                <c:pt idx="192">
                  <c:v>713.58177174919854</c:v>
                </c:pt>
                <c:pt idx="193">
                  <c:v>713.58177174919854</c:v>
                </c:pt>
                <c:pt idx="194">
                  <c:v>713.58177174919854</c:v>
                </c:pt>
                <c:pt idx="195">
                  <c:v>713.58177174919854</c:v>
                </c:pt>
                <c:pt idx="196">
                  <c:v>713.58177174919854</c:v>
                </c:pt>
                <c:pt idx="197">
                  <c:v>713.58177174919854</c:v>
                </c:pt>
                <c:pt idx="198">
                  <c:v>713.58177174919854</c:v>
                </c:pt>
                <c:pt idx="199">
                  <c:v>713.58177174919854</c:v>
                </c:pt>
                <c:pt idx="200">
                  <c:v>713.58177174919854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1.7261808274585617</c:v>
                </c:pt>
                <c:pt idx="2">
                  <c:v>2.2453403907392566</c:v>
                </c:pt>
                <c:pt idx="3">
                  <c:v>2.9212817631984254</c:v>
                </c:pt>
                <c:pt idx="4">
                  <c:v>3.8015346317848171</c:v>
                </c:pt>
                <c:pt idx="5">
                  <c:v>4.9480896435298112</c:v>
                </c:pt>
                <c:pt idx="6">
                  <c:v>6.4418128656175506</c:v>
                </c:pt>
                <c:pt idx="7">
                  <c:v>8.3882119794424881</c:v>
                </c:pt>
                <c:pt idx="8">
                  <c:v>10.92496928173572</c:v>
                </c:pt>
                <c:pt idx="9">
                  <c:v>14.231784347206622</c:v>
                </c:pt>
                <c:pt idx="10">
                  <c:v>18.543236417424495</c:v>
                </c:pt>
                <c:pt idx="11">
                  <c:v>24.165595411630562</c:v>
                </c:pt>
                <c:pt idx="12">
                  <c:v>31.498796875456858</c:v>
                </c:pt>
                <c:pt idx="13">
                  <c:v>41.065171110608858</c:v>
                </c:pt>
                <c:pt idx="14">
                  <c:v>53.54700756494902</c:v>
                </c:pt>
                <c:pt idx="15">
                  <c:v>69.835678209381555</c:v>
                </c:pt>
                <c:pt idx="16">
                  <c:v>91.095885125480777</c:v>
                </c:pt>
                <c:pt idx="17">
                  <c:v>118.84969951572798</c:v>
                </c:pt>
                <c:pt idx="18">
                  <c:v>155.08650260412784</c:v>
                </c:pt>
                <c:pt idx="19">
                  <c:v>202.4068292846047</c:v>
                </c:pt>
                <c:pt idx="20">
                  <c:v>264.21059165459314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F51" sqref="F5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1.82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35</v>
      </c>
      <c r="C9" s="35">
        <v>0.56999999999999995</v>
      </c>
      <c r="D9" s="36">
        <f t="shared" ref="D9:D18" si="0">C9*$C$5</f>
        <v>1.0373999999999999</v>
      </c>
      <c r="E9" s="37">
        <v>65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112</v>
      </c>
      <c r="C10" s="35">
        <v>0.1</v>
      </c>
      <c r="D10" s="36">
        <f t="shared" si="0"/>
        <v>0.18200000000000002</v>
      </c>
      <c r="E10" s="37">
        <v>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0.66999999999999993</v>
      </c>
      <c r="D19" s="41">
        <f>SUM(D9:D18)</f>
        <v>1.2193999999999998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laricio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17</v>
      </c>
      <c r="B36" s="63">
        <v>118</v>
      </c>
      <c r="C36" s="63">
        <v>1</v>
      </c>
      <c r="D36" s="63">
        <v>15</v>
      </c>
      <c r="E36" s="54">
        <v>0</v>
      </c>
      <c r="F36" s="54"/>
      <c r="G36" s="54">
        <v>1</v>
      </c>
      <c r="H36" s="54"/>
      <c r="I36" s="52">
        <f>IFERROR(B36/A36,"")</f>
        <v>6.9411764705882355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63">
        <v>137</v>
      </c>
      <c r="C37" s="63">
        <v>2</v>
      </c>
      <c r="D37" s="63">
        <v>15</v>
      </c>
      <c r="E37" s="54">
        <v>0.1</v>
      </c>
      <c r="F37" s="54"/>
      <c r="G37" s="54">
        <v>0.9</v>
      </c>
      <c r="H37" s="54"/>
      <c r="I37" s="56">
        <f t="shared" ref="I37:I55" si="1">IF(A37&lt;&gt;0,(B37-(B36-D36))/(A37-A36),"")</f>
        <v>11.333333333333334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204</v>
      </c>
      <c r="C38" s="63">
        <v>3</v>
      </c>
      <c r="D38" s="63">
        <v>36</v>
      </c>
      <c r="E38" s="54">
        <v>0.15</v>
      </c>
      <c r="F38" s="54"/>
      <c r="G38" s="54">
        <v>0.85</v>
      </c>
      <c r="H38" s="54"/>
      <c r="I38" s="56">
        <f t="shared" si="1"/>
        <v>16.399999999999999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256</v>
      </c>
      <c r="C39" s="63">
        <v>4</v>
      </c>
      <c r="D39" s="63">
        <v>54</v>
      </c>
      <c r="E39" s="54">
        <v>0.25</v>
      </c>
      <c r="F39" s="54"/>
      <c r="G39" s="54">
        <v>0.75</v>
      </c>
      <c r="H39" s="54"/>
      <c r="I39" s="52">
        <f t="shared" si="1"/>
        <v>17.600000000000001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3">
        <v>296</v>
      </c>
      <c r="C40" s="63">
        <v>5</v>
      </c>
      <c r="D40" s="63">
        <v>52</v>
      </c>
      <c r="E40" s="54">
        <v>0.34</v>
      </c>
      <c r="F40" s="54"/>
      <c r="G40" s="54">
        <v>0.66</v>
      </c>
      <c r="H40" s="54"/>
      <c r="I40" s="52">
        <f t="shared" si="1"/>
        <v>18.8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40</v>
      </c>
      <c r="B41" s="63">
        <v>332</v>
      </c>
      <c r="C41" s="63">
        <v>6</v>
      </c>
      <c r="D41" s="63">
        <v>48</v>
      </c>
      <c r="E41" s="54">
        <v>0.45</v>
      </c>
      <c r="F41" s="54"/>
      <c r="G41" s="54">
        <v>0.55000000000000004</v>
      </c>
      <c r="H41" s="54"/>
      <c r="I41" s="56">
        <f t="shared" si="1"/>
        <v>17.600000000000001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45</v>
      </c>
      <c r="B42" s="63">
        <v>384</v>
      </c>
      <c r="C42" s="63">
        <v>7</v>
      </c>
      <c r="D42" s="63">
        <v>57</v>
      </c>
      <c r="E42" s="54">
        <v>0.52</v>
      </c>
      <c r="F42" s="54"/>
      <c r="G42" s="54">
        <v>0.48</v>
      </c>
      <c r="H42" s="54"/>
      <c r="I42" s="56">
        <f t="shared" si="1"/>
        <v>20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50</v>
      </c>
      <c r="B43" s="63">
        <v>414</v>
      </c>
      <c r="C43" s="63">
        <v>8</v>
      </c>
      <c r="D43" s="63">
        <v>47</v>
      </c>
      <c r="E43" s="54">
        <v>0.57999999999999996</v>
      </c>
      <c r="F43" s="54"/>
      <c r="G43" s="54">
        <v>0.42</v>
      </c>
      <c r="H43" s="54"/>
      <c r="I43" s="52">
        <f t="shared" si="1"/>
        <v>17.399999999999999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55</v>
      </c>
      <c r="B44" s="63">
        <v>463</v>
      </c>
      <c r="C44" s="63">
        <v>9</v>
      </c>
      <c r="D44" s="63">
        <v>48</v>
      </c>
      <c r="E44" s="54">
        <v>0.63</v>
      </c>
      <c r="F44" s="54"/>
      <c r="G44" s="54">
        <v>0.37</v>
      </c>
      <c r="H44" s="54"/>
      <c r="I44" s="52">
        <f t="shared" si="1"/>
        <v>19.2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60</v>
      </c>
      <c r="B45" s="63">
        <v>500</v>
      </c>
      <c r="C45" s="63">
        <v>10</v>
      </c>
      <c r="D45" s="63">
        <v>32</v>
      </c>
      <c r="E45" s="54">
        <v>0.87</v>
      </c>
      <c r="F45" s="54"/>
      <c r="G45" s="54">
        <v>0.13</v>
      </c>
      <c r="H45" s="54"/>
      <c r="I45" s="52">
        <f t="shared" si="1"/>
        <v>17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65</v>
      </c>
      <c r="B46" s="63">
        <v>555</v>
      </c>
      <c r="C46" s="63">
        <v>11</v>
      </c>
      <c r="D46" s="63"/>
      <c r="E46" s="54">
        <v>1</v>
      </c>
      <c r="F46" s="54"/>
      <c r="G46" s="54">
        <v>0</v>
      </c>
      <c r="H46" s="54"/>
      <c r="I46" s="52">
        <f t="shared" si="1"/>
        <v>17.399999999999999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Koster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236</v>
      </c>
      <c r="C62" s="63">
        <v>1</v>
      </c>
      <c r="D62" s="63">
        <v>236</v>
      </c>
      <c r="E62" s="54">
        <v>0.7</v>
      </c>
      <c r="F62" s="54"/>
      <c r="G62" s="54">
        <v>0.3</v>
      </c>
      <c r="H62" s="54"/>
      <c r="I62" s="56">
        <f>IFERROR(B62/A62,"")</f>
        <v>11.8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laricio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Koster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348.62416478262719</v>
      </c>
      <c r="T3" s="62">
        <f>IF('Données projet'!E9&gt;30,$R$33-$H$33,LOOKUP('Données projet'!$E$9,$A$3:$A$203,R3:R203)-LOOKUP('Données projet'!$E$9,$A$3:$A$203,$H$3:$H$203))</f>
        <v>371.70674704563288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65.838136484350741</v>
      </c>
      <c r="AO3" s="62">
        <f>IF('Données projet'!E10&gt;30,$AM$33-$H$33,LOOKUP('Données projet'!$E$10,$A$3:$A$203,AM3:AM203)-LOOKUP('Données projet'!$E$10,$A$3:$A$203,$H$3:$H$203))</f>
        <v>288.65503609903755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6.9411764705882355</v>
      </c>
      <c r="N4" s="14">
        <f>IF('Données projet'!$A$36&gt;35,N3+M4-V3,IF(A4&lt;'Données projet'!$A$36,$K$205^A4,IF(A4='Données projet'!$A$36,'Données projet'!$B$36,N3+M4-V3)))</f>
        <v>1.3239616704988877</v>
      </c>
      <c r="O4" s="14">
        <f>N4*VLOOKUP('Données projet'!$B$9,Paramètres!$A$1:$I$89,3,0)*VLOOKUP('Données projet'!$B$9,Paramètres!$A$1:$I$89,5,0)</f>
        <v>0.79172907895833489</v>
      </c>
      <c r="P4" s="14">
        <f>EXP(-1.0587+0.8836*LN(O4)+0.284)</f>
        <v>0.37491631974909195</v>
      </c>
      <c r="Q4" s="22">
        <f t="shared" ref="Q4:Q34" si="2">(O4+P4)*0.475*44/12</f>
        <v>2.031907402748768</v>
      </c>
      <c r="R4" s="62">
        <f t="shared" si="0"/>
        <v>259.9207962916376</v>
      </c>
      <c r="S4" s="62">
        <f ca="1">AVERAGE(OFFSET($R$3,0,0,'Données projet'!$E$9+1,1))-AVERAGE(OFFSET($H$3,0,0,'Données projet'!$E$9+1,1))</f>
        <v>348.62416478262719</v>
      </c>
      <c r="T4" s="62">
        <f>$T$3</f>
        <v>371.70674704563288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11.8</v>
      </c>
      <c r="AI4" s="14">
        <f>IF('Données projet'!$A$62&gt;35,AI3+AH4-AQ3,IF(A4&lt;'Données projet'!$A$62,$AF$205^A4,IF(A4='Données projet'!$A$62,'Données projet'!$B$62,AI3+AH4-AQ3)))</f>
        <v>1.3141519994188957</v>
      </c>
      <c r="AJ4" s="14">
        <f>AI4*VLOOKUP('Données projet'!$B$10,Paramètres!$A$1:$I$89,3,0)*VLOOKUP('Données projet'!$B$10,Paramètres!$A$1:$I$89,5,0)</f>
        <v>0.6683251408244737</v>
      </c>
      <c r="AK4" s="14">
        <f>EXP(-1.0587+0.8836*LN(AJ4)+0.284)</f>
        <v>0.3227834682426432</v>
      </c>
      <c r="AL4" s="22">
        <f t="shared" ref="AL4:AL67" si="4">(AJ4+AK4)*0.475*44/12</f>
        <v>1.7261808274585617</v>
      </c>
      <c r="AM4" s="62">
        <f t="shared" ref="AM4:AM67" si="5">AL4+(AD4+AE4)*44/12</f>
        <v>259.61506971634742</v>
      </c>
      <c r="AN4" s="62">
        <f ca="1">AVERAGE(OFFSET($AM$3,0,0,'Données projet'!$E$10+1,1))-AVERAGE(OFFSET($H$3,0,0,'Données projet'!$E$10+1,1))</f>
        <v>65.838136484350741</v>
      </c>
      <c r="AO4" s="62">
        <f>$AO$3</f>
        <v>288.65503609903755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6.9411764705882355</v>
      </c>
      <c r="N5" s="14">
        <f>IF('Données projet'!$A$36&gt;35,N4+M5-V4,IF(A5&lt;'Données projet'!$A$36,$K$205^A5,IF(A5='Données projet'!$A$36,'Données projet'!$B$36,N4+M5-V4)))</f>
        <v>1.7528745049502052</v>
      </c>
      <c r="O5" s="14">
        <f>N5*VLOOKUP('Données projet'!$B$9,Paramètres!$A$1:$I$89,3,0)*VLOOKUP('Données projet'!$B$9,Paramètres!$A$1:$I$89,5,0)</f>
        <v>1.0482189539602227</v>
      </c>
      <c r="P5" s="14">
        <f t="shared" ref="P5:P68" si="33">EXP(-1.0587+0.8836*LN(O5)+0.284)</f>
        <v>0.48042263342477459</v>
      </c>
      <c r="Q5" s="22">
        <f t="shared" si="2"/>
        <v>2.6623840980288702</v>
      </c>
      <c r="R5" s="62">
        <f t="shared" si="0"/>
        <v>261.77349520914004</v>
      </c>
      <c r="S5" s="62">
        <f ca="1">AVERAGE(OFFSET($R$3,0,0,'Données projet'!$E$9+1,1))-AVERAGE(OFFSET($H$3,0,0,'Données projet'!$E$9+1,1))</f>
        <v>348.62416478262719</v>
      </c>
      <c r="T5" s="62">
        <f t="shared" ref="T5:T68" si="34">$T$3</f>
        <v>371.70674704563288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11.8</v>
      </c>
      <c r="AI5" s="14">
        <f>IF('Données projet'!$A$62&gt;35,AI4+AH5-AQ4,IF(A5&lt;'Données projet'!$A$62,$AF$205^A5,IF(A5='Données projet'!$A$62,'Données projet'!$B$62,AI4+AH5-AQ4)))</f>
        <v>1.7269954775766814</v>
      </c>
      <c r="AJ5" s="14">
        <f>AI5*VLOOKUP('Données projet'!$B$10,Paramètres!$A$1:$I$89,3,0)*VLOOKUP('Données projet'!$B$10,Paramètres!$A$1:$I$89,5,0)</f>
        <v>0.87828082007639718</v>
      </c>
      <c r="AK5" s="14">
        <f t="shared" ref="AK5:AK68" si="35">EXP(-1.0587+0.8836*LN(AJ5)+0.284)</f>
        <v>0.41090983489351096</v>
      </c>
      <c r="AL5" s="22">
        <f t="shared" si="4"/>
        <v>2.2453403907392566</v>
      </c>
      <c r="AM5" s="62">
        <f t="shared" si="5"/>
        <v>261.35645150185042</v>
      </c>
      <c r="AN5" s="62">
        <f ca="1">AVERAGE(OFFSET($AM$3,0,0,'Données projet'!$E$10+1,1))-AVERAGE(OFFSET($H$3,0,0,'Données projet'!$E$10+1,1))</f>
        <v>65.838136484350741</v>
      </c>
      <c r="AO5" s="62">
        <f t="shared" ref="AO5:AO68" si="36">$AO$3</f>
        <v>288.65503609903755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6.9411764705882355</v>
      </c>
      <c r="N6" s="14">
        <f>IF('Données projet'!$A$36&gt;35,N5+M6-V5,IF(A6&lt;'Données projet'!$A$36,$K$205^A6,IF(A6='Données projet'!$A$36,'Données projet'!$B$36,N5+M6-V5)))</f>
        <v>2.3207386577487843</v>
      </c>
      <c r="O6" s="14">
        <f>N6*VLOOKUP('Données projet'!$B$9,Paramètres!$A$1:$I$89,3,0)*VLOOKUP('Données projet'!$B$9,Paramètres!$A$1:$I$89,5,0)</f>
        <v>1.3878017173337731</v>
      </c>
      <c r="P6" s="14">
        <f t="shared" si="33"/>
        <v>0.61561979180116611</v>
      </c>
      <c r="Q6" s="22">
        <f t="shared" si="2"/>
        <v>3.4892924617433518</v>
      </c>
      <c r="R6" s="62">
        <f t="shared" si="0"/>
        <v>263.82262579507665</v>
      </c>
      <c r="S6" s="62">
        <f ca="1">AVERAGE(OFFSET($R$3,0,0,'Données projet'!$E$9+1,1))-AVERAGE(OFFSET($H$3,0,0,'Données projet'!$E$9+1,1))</f>
        <v>348.62416478262719</v>
      </c>
      <c r="T6" s="62">
        <f t="shared" si="34"/>
        <v>371.70674704563288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11.8</v>
      </c>
      <c r="AI6" s="14">
        <f>IF('Données projet'!$A$62&gt;35,AI5+AH6-AQ5,IF(A6&lt;'Données projet'!$A$62,$AF$205^A6,IF(A6='Données projet'!$A$62,'Données projet'!$B$62,AI5+AH6-AQ5)))</f>
        <v>2.2695345598447867</v>
      </c>
      <c r="AJ6" s="14">
        <f>AI6*VLOOKUP('Données projet'!$B$10,Paramètres!$A$1:$I$89,3,0)*VLOOKUP('Données projet'!$B$10,Paramètres!$A$1:$I$89,5,0)</f>
        <v>1.1541944957546648</v>
      </c>
      <c r="AK6" s="14">
        <f t="shared" si="35"/>
        <v>0.52309646876117766</v>
      </c>
      <c r="AL6" s="22">
        <f t="shared" si="4"/>
        <v>2.9212817631984254</v>
      </c>
      <c r="AM6" s="62">
        <f t="shared" si="5"/>
        <v>263.25461509653172</v>
      </c>
      <c r="AN6" s="62">
        <f ca="1">AVERAGE(OFFSET($AM$3,0,0,'Données projet'!$E$10+1,1))-AVERAGE(OFFSET($H$3,0,0,'Données projet'!$E$10+1,1))</f>
        <v>65.838136484350741</v>
      </c>
      <c r="AO6" s="62">
        <f t="shared" si="36"/>
        <v>288.65503609903755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6.9411764705882355</v>
      </c>
      <c r="N7" s="14">
        <f>IF('Données projet'!$A$36&gt;35,N6+M7-V6,IF(A7&lt;'Données projet'!$A$36,$K$205^A7,IF(A7='Données projet'!$A$36,'Données projet'!$B$36,N6+M7-V6)))</f>
        <v>3.0725690301044271</v>
      </c>
      <c r="O7" s="14">
        <f>N7*VLOOKUP('Données projet'!$B$9,Paramètres!$A$1:$I$89,3,0)*VLOOKUP('Données projet'!$B$9,Paramètres!$A$1:$I$89,5,0)</f>
        <v>1.8373962800024475</v>
      </c>
      <c r="P7" s="14">
        <f t="shared" si="33"/>
        <v>0.78886318355909346</v>
      </c>
      <c r="Q7" s="22">
        <f t="shared" si="2"/>
        <v>4.5740685657030165</v>
      </c>
      <c r="R7" s="62">
        <f t="shared" si="0"/>
        <v>266.12962412125859</v>
      </c>
      <c r="S7" s="62">
        <f ca="1">AVERAGE(OFFSET($R$3,0,0,'Données projet'!$E$9+1,1))-AVERAGE(OFFSET($H$3,0,0,'Données projet'!$E$9+1,1))</f>
        <v>348.62416478262719</v>
      </c>
      <c r="T7" s="62">
        <f t="shared" si="34"/>
        <v>371.70674704563288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11.8</v>
      </c>
      <c r="AI7" s="14">
        <f>IF('Données projet'!$A$62&gt;35,AI6+AH7-AQ6,IF(A7&lt;'Données projet'!$A$62,$AF$205^A7,IF(A7='Données projet'!$A$62,'Données projet'!$B$62,AI6+AH7-AQ6)))</f>
        <v>2.9825133795703098</v>
      </c>
      <c r="AJ7" s="14">
        <f>AI7*VLOOKUP('Données projet'!$B$10,Paramètres!$A$1:$I$89,3,0)*VLOOKUP('Données projet'!$B$10,Paramètres!$A$1:$I$89,5,0)</f>
        <v>1.5167870043142768</v>
      </c>
      <c r="AK7" s="14">
        <f t="shared" si="35"/>
        <v>0.66591230580140781</v>
      </c>
      <c r="AL7" s="22">
        <f t="shared" si="4"/>
        <v>3.8015346317848171</v>
      </c>
      <c r="AM7" s="62">
        <f t="shared" si="5"/>
        <v>265.35709018734036</v>
      </c>
      <c r="AN7" s="62">
        <f ca="1">AVERAGE(OFFSET($AM$3,0,0,'Données projet'!$E$10+1,1))-AVERAGE(OFFSET($H$3,0,0,'Données projet'!$E$10+1,1))</f>
        <v>65.838136484350741</v>
      </c>
      <c r="AO7" s="62">
        <f t="shared" si="36"/>
        <v>288.65503609903755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6.9411764705882355</v>
      </c>
      <c r="N8" s="14">
        <f>IF('Données projet'!$A$36&gt;35,N7+M8-V7,IF(A8&lt;'Données projet'!$A$36,$K$205^A8,IF(A8='Données projet'!$A$36,'Données projet'!$B$36,N7+M8-V7)))</f>
        <v>4.0679636258202043</v>
      </c>
      <c r="O8" s="14">
        <f>N8*VLOOKUP('Données projet'!$B$9,Paramètres!$A$1:$I$89,3,0)*VLOOKUP('Données projet'!$B$9,Paramètres!$A$1:$I$89,5,0)</f>
        <v>2.4326422482404824</v>
      </c>
      <c r="P8" s="14">
        <f t="shared" si="33"/>
        <v>1.0108595120931088</v>
      </c>
      <c r="Q8" s="22">
        <f t="shared" si="2"/>
        <v>5.9974322325810041</v>
      </c>
      <c r="R8" s="62">
        <f t="shared" si="0"/>
        <v>268.77521001035876</v>
      </c>
      <c r="S8" s="62">
        <f ca="1">AVERAGE(OFFSET($R$3,0,0,'Données projet'!$E$9+1,1))-AVERAGE(OFFSET($H$3,0,0,'Données projet'!$E$9+1,1))</f>
        <v>348.62416478262719</v>
      </c>
      <c r="T8" s="62">
        <f t="shared" si="34"/>
        <v>371.70674704563288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11.8</v>
      </c>
      <c r="AI8" s="14">
        <f>IF('Données projet'!$A$62&gt;35,AI7+AH8-AQ7,IF(A8&lt;'Données projet'!$A$62,$AF$205^A8,IF(A8='Données projet'!$A$62,'Données projet'!$B$62,AI7+AH8-AQ7)))</f>
        <v>3.9194759210559305</v>
      </c>
      <c r="AJ8" s="14">
        <f>AI8*VLOOKUP('Données projet'!$B$10,Paramètres!$A$1:$I$89,3,0)*VLOOKUP('Données projet'!$B$10,Paramètres!$A$1:$I$89,5,0)</f>
        <v>1.993288674412204</v>
      </c>
      <c r="AK8" s="14">
        <f t="shared" si="35"/>
        <v>0.84771973335610906</v>
      </c>
      <c r="AL8" s="22">
        <f t="shared" si="4"/>
        <v>4.9480896435298112</v>
      </c>
      <c r="AM8" s="62">
        <f t="shared" si="5"/>
        <v>267.72586742130756</v>
      </c>
      <c r="AN8" s="62">
        <f ca="1">AVERAGE(OFFSET($AM$3,0,0,'Données projet'!$E$10+1,1))-AVERAGE(OFFSET($H$3,0,0,'Données projet'!$E$10+1,1))</f>
        <v>65.838136484350741</v>
      </c>
      <c r="AO8" s="62">
        <f t="shared" si="36"/>
        <v>288.65503609903755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6.9411764705882355</v>
      </c>
      <c r="N9" s="14">
        <f>IF('Données projet'!$A$36&gt;35,N8+M9-V8,IF(A9&lt;'Données projet'!$A$36,$K$205^A9,IF(A9='Données projet'!$A$36,'Données projet'!$B$36,N8+M9-V8)))</f>
        <v>5.38582791756963</v>
      </c>
      <c r="O9" s="14">
        <f>N9*VLOOKUP('Données projet'!$B$9,Paramètres!$A$1:$I$89,3,0)*VLOOKUP('Données projet'!$B$9,Paramètres!$A$1:$I$89,5,0)</f>
        <v>3.2207250947066388</v>
      </c>
      <c r="P9" s="14">
        <f t="shared" si="33"/>
        <v>1.2953284859599137</v>
      </c>
      <c r="Q9" s="22">
        <f t="shared" si="2"/>
        <v>7.8654599863275783</v>
      </c>
      <c r="R9" s="62">
        <f t="shared" si="0"/>
        <v>271.86545998632755</v>
      </c>
      <c r="S9" s="62">
        <f ca="1">AVERAGE(OFFSET($R$3,0,0,'Données projet'!$E$9+1,1))-AVERAGE(OFFSET($H$3,0,0,'Données projet'!$E$9+1,1))</f>
        <v>348.62416478262719</v>
      </c>
      <c r="T9" s="62">
        <f t="shared" si="34"/>
        <v>371.70674704563288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11.8</v>
      </c>
      <c r="AI9" s="14">
        <f>IF('Données projet'!$A$62&gt;35,AI8+AH9-AQ8,IF(A9&lt;'Données projet'!$A$62,$AF$205^A9,IF(A9='Données projet'!$A$62,'Données projet'!$B$62,AI8+AH9-AQ8)))</f>
        <v>5.1507871183298688</v>
      </c>
      <c r="AJ9" s="14">
        <f>AI9*VLOOKUP('Données projet'!$B$10,Paramètres!$A$1:$I$89,3,0)*VLOOKUP('Données projet'!$B$10,Paramètres!$A$1:$I$89,5,0)</f>
        <v>2.6194842968978382</v>
      </c>
      <c r="AK9" s="14">
        <f t="shared" si="35"/>
        <v>1.0791642383849658</v>
      </c>
      <c r="AL9" s="22">
        <f t="shared" si="4"/>
        <v>6.4418128656175506</v>
      </c>
      <c r="AM9" s="62">
        <f t="shared" si="5"/>
        <v>270.44181286561758</v>
      </c>
      <c r="AN9" s="62">
        <f ca="1">AVERAGE(OFFSET($AM$3,0,0,'Données projet'!$E$10+1,1))-AVERAGE(OFFSET($H$3,0,0,'Données projet'!$E$10+1,1))</f>
        <v>65.838136484350741</v>
      </c>
      <c r="AO9" s="62">
        <f t="shared" si="36"/>
        <v>288.65503609903755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6.9411764705882355</v>
      </c>
      <c r="N10" s="14">
        <f>IF('Données projet'!$A$36&gt;35,N9+M10-V9,IF(A10&lt;'Données projet'!$A$36,$K$205^A10,IF(A10='Données projet'!$A$36,'Données projet'!$B$36,N9+M10-V9)))</f>
        <v>7.130629726765032</v>
      </c>
      <c r="O10" s="14">
        <f>N10*VLOOKUP('Données projet'!$B$9,Paramètres!$A$1:$I$89,3,0)*VLOOKUP('Données projet'!$B$9,Paramètres!$A$1:$I$89,5,0)</f>
        <v>4.26411657660549</v>
      </c>
      <c r="P10" s="14">
        <f t="shared" si="33"/>
        <v>1.6598507175986843</v>
      </c>
      <c r="Q10" s="22">
        <f t="shared" si="2"/>
        <v>10.317576370738935</v>
      </c>
      <c r="R10" s="62">
        <f t="shared" si="0"/>
        <v>275.53979859296118</v>
      </c>
      <c r="S10" s="62">
        <f ca="1">AVERAGE(OFFSET($R$3,0,0,'Données projet'!$E$9+1,1))-AVERAGE(OFFSET($H$3,0,0,'Données projet'!$E$9+1,1))</f>
        <v>348.62416478262719</v>
      </c>
      <c r="T10" s="62">
        <f t="shared" si="34"/>
        <v>371.70674704563288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11.8</v>
      </c>
      <c r="AI10" s="14">
        <f>IF('Données projet'!$A$62&gt;35,AI9+AH10-AQ9,IF(A10&lt;'Données projet'!$A$62,$AF$205^A10,IF(A10='Données projet'!$A$62,'Données projet'!$B$62,AI9+AH10-AQ9)))</f>
        <v>6.7689171901342906</v>
      </c>
      <c r="AJ10" s="14">
        <f>AI10*VLOOKUP('Données projet'!$B$10,Paramètres!$A$1:$I$89,3,0)*VLOOKUP('Données projet'!$B$10,Paramètres!$A$1:$I$89,5,0)</f>
        <v>3.4424005262146955</v>
      </c>
      <c r="AK10" s="14">
        <f t="shared" si="35"/>
        <v>1.3737977394939109</v>
      </c>
      <c r="AL10" s="22">
        <f t="shared" si="4"/>
        <v>8.3882119794424881</v>
      </c>
      <c r="AM10" s="62">
        <f t="shared" si="5"/>
        <v>273.6104342016647</v>
      </c>
      <c r="AN10" s="62">
        <f ca="1">AVERAGE(OFFSET($AM$3,0,0,'Données projet'!$E$10+1,1))-AVERAGE(OFFSET($H$3,0,0,'Données projet'!$E$10+1,1))</f>
        <v>65.838136484350741</v>
      </c>
      <c r="AO10" s="62">
        <f t="shared" si="36"/>
        <v>288.65503609903755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6.9411764705882355</v>
      </c>
      <c r="N11" s="14">
        <f>IF('Données projet'!$A$36&gt;35,N10+M11-V10,IF(A11&lt;'Données projet'!$A$36,$K$205^A11,IF(A11='Données projet'!$A$36,'Données projet'!$B$36,N10+M11-V10)))</f>
        <v>9.4406804447568593</v>
      </c>
      <c r="O11" s="14">
        <f>N11*VLOOKUP('Données projet'!$B$9,Paramètres!$A$1:$I$89,3,0)*VLOOKUP('Données projet'!$B$9,Paramètres!$A$1:$I$89,5,0)</f>
        <v>5.6455269059646023</v>
      </c>
      <c r="P11" s="14">
        <f t="shared" si="33"/>
        <v>2.1269542317454508</v>
      </c>
      <c r="Q11" s="22">
        <f t="shared" si="2"/>
        <v>13.53707131484501</v>
      </c>
      <c r="R11" s="62">
        <f t="shared" si="0"/>
        <v>279.98151575928949</v>
      </c>
      <c r="S11" s="62">
        <f ca="1">AVERAGE(OFFSET($R$3,0,0,'Données projet'!$E$9+1,1))-AVERAGE(OFFSET($H$3,0,0,'Données projet'!$E$9+1,1))</f>
        <v>348.62416478262719</v>
      </c>
      <c r="T11" s="62">
        <f t="shared" si="34"/>
        <v>371.70674704563288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11.8</v>
      </c>
      <c r="AI11" s="14">
        <f>IF('Données projet'!$A$62&gt;35,AI10+AH11-AQ10,IF(A11&lt;'Données projet'!$A$62,$AF$205^A11,IF(A11='Données projet'!$A$62,'Données projet'!$B$62,AI10+AH11-AQ10)))</f>
        <v>8.8953860593159106</v>
      </c>
      <c r="AJ11" s="14">
        <f>AI11*VLOOKUP('Données projet'!$B$10,Paramètres!$A$1:$I$89,3,0)*VLOOKUP('Données projet'!$B$10,Paramètres!$A$1:$I$89,5,0)</f>
        <v>4.5238375343256996</v>
      </c>
      <c r="AK11" s="14">
        <f t="shared" si="35"/>
        <v>1.7488721011206478</v>
      </c>
      <c r="AL11" s="22">
        <f t="shared" si="4"/>
        <v>10.92496928173572</v>
      </c>
      <c r="AM11" s="62">
        <f t="shared" si="5"/>
        <v>277.3694137261802</v>
      </c>
      <c r="AN11" s="62">
        <f ca="1">AVERAGE(OFFSET($AM$3,0,0,'Données projet'!$E$10+1,1))-AVERAGE(OFFSET($H$3,0,0,'Données projet'!$E$10+1,1))</f>
        <v>65.838136484350741</v>
      </c>
      <c r="AO11" s="62">
        <f t="shared" si="36"/>
        <v>288.65503609903755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6.9411764705882355</v>
      </c>
      <c r="N12" s="14">
        <f>IF('Données projet'!$A$36&gt;35,N11+M12-V11,IF(A12&lt;'Données projet'!$A$36,$K$205^A12,IF(A12='Données projet'!$A$36,'Données projet'!$B$36,N11+M12-V11)))</f>
        <v>12.499099052286473</v>
      </c>
      <c r="O12" s="14">
        <f>N12*VLOOKUP('Données projet'!$B$9,Paramètres!$A$1:$I$89,3,0)*VLOOKUP('Données projet'!$B$9,Paramètres!$A$1:$I$89,5,0)</f>
        <v>7.474461233267311</v>
      </c>
      <c r="P12" s="14">
        <f t="shared" si="33"/>
        <v>2.7255067314033421</v>
      </c>
      <c r="Q12" s="22">
        <f t="shared" si="2"/>
        <v>17.764944205134721</v>
      </c>
      <c r="R12" s="62">
        <f t="shared" si="0"/>
        <v>285.43161087180141</v>
      </c>
      <c r="S12" s="62">
        <f ca="1">AVERAGE(OFFSET($R$3,0,0,'Données projet'!$E$9+1,1))-AVERAGE(OFFSET($H$3,0,0,'Données projet'!$E$9+1,1))</f>
        <v>348.62416478262719</v>
      </c>
      <c r="T12" s="62">
        <f t="shared" si="34"/>
        <v>371.70674704563288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11.8</v>
      </c>
      <c r="AI12" s="14">
        <f>IF('Données projet'!$A$62&gt;35,AI11+AH12-AQ11,IF(A12&lt;'Données projet'!$A$62,$AF$205^A12,IF(A12='Données projet'!$A$62,'Données projet'!$B$62,AI11+AH12-AQ11)))</f>
        <v>11.689889375452976</v>
      </c>
      <c r="AJ12" s="14">
        <f>AI12*VLOOKUP('Données projet'!$B$10,Paramètres!$A$1:$I$89,3,0)*VLOOKUP('Données projet'!$B$10,Paramètres!$A$1:$I$89,5,0)</f>
        <v>5.9450101407803659</v>
      </c>
      <c r="AK12" s="14">
        <f t="shared" si="35"/>
        <v>2.2263492930224795</v>
      </c>
      <c r="AL12" s="22">
        <f t="shared" si="4"/>
        <v>14.231784347206622</v>
      </c>
      <c r="AM12" s="62">
        <f t="shared" si="5"/>
        <v>281.89845101387328</v>
      </c>
      <c r="AN12" s="62">
        <f ca="1">AVERAGE(OFFSET($AM$3,0,0,'Données projet'!$E$10+1,1))-AVERAGE(OFFSET($H$3,0,0,'Données projet'!$E$10+1,1))</f>
        <v>65.838136484350741</v>
      </c>
      <c r="AO12" s="62">
        <f t="shared" si="36"/>
        <v>288.65503609903755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6.9411764705882355</v>
      </c>
      <c r="N13" s="14">
        <f>IF('Données projet'!$A$36&gt;35,N12+M13-V12,IF(A13&lt;'Données projet'!$A$36,$K$205^A13,IF(A13='Données projet'!$A$36,'Données projet'!$B$36,N12+M13-V12)))</f>
        <v>16.548328060996262</v>
      </c>
      <c r="O13" s="14">
        <f>N13*VLOOKUP('Données projet'!$B$9,Paramètres!$A$1:$I$89,3,0)*VLOOKUP('Données projet'!$B$9,Paramètres!$A$1:$I$89,5,0)</f>
        <v>9.8959001804757651</v>
      </c>
      <c r="P13" s="14">
        <f t="shared" si="33"/>
        <v>3.4924996655094662</v>
      </c>
      <c r="Q13" s="22">
        <f t="shared" si="2"/>
        <v>23.318129731757608</v>
      </c>
      <c r="R13" s="62">
        <f t="shared" si="0"/>
        <v>292.20701862064647</v>
      </c>
      <c r="S13" s="62">
        <f ca="1">AVERAGE(OFFSET($R$3,0,0,'Données projet'!$E$9+1,1))-AVERAGE(OFFSET($H$3,0,0,'Données projet'!$E$9+1,1))</f>
        <v>348.62416478262719</v>
      </c>
      <c r="T13" s="62">
        <f t="shared" si="34"/>
        <v>371.70674704563288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11.8</v>
      </c>
      <c r="AI13" s="14">
        <f>IF('Données projet'!$A$62&gt;35,AI12+AH13-AQ12,IF(A13&lt;'Données projet'!$A$62,$AF$205^A13,IF(A13='Données projet'!$A$62,'Données projet'!$B$62,AI12+AH13-AQ12)))</f>
        <v>15.362291495737235</v>
      </c>
      <c r="AJ13" s="14">
        <f>AI13*VLOOKUP('Données projet'!$B$10,Paramètres!$A$1:$I$89,3,0)*VLOOKUP('Données projet'!$B$10,Paramètres!$A$1:$I$89,5,0)</f>
        <v>7.8126469630721287</v>
      </c>
      <c r="AK13" s="14">
        <f t="shared" si="35"/>
        <v>2.8341873435830851</v>
      </c>
      <c r="AL13" s="22">
        <f t="shared" si="4"/>
        <v>18.543236417424495</v>
      </c>
      <c r="AM13" s="62">
        <f t="shared" si="5"/>
        <v>287.43212530631337</v>
      </c>
      <c r="AN13" s="62">
        <f ca="1">AVERAGE(OFFSET($AM$3,0,0,'Données projet'!$E$10+1,1))-AVERAGE(OFFSET($H$3,0,0,'Données projet'!$E$10+1,1))</f>
        <v>65.838136484350741</v>
      </c>
      <c r="AO13" s="62">
        <f t="shared" si="36"/>
        <v>288.65503609903755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6.9411764705882355</v>
      </c>
      <c r="N14" s="14">
        <f>IF('Données projet'!$A$36&gt;35,N13+M14-V13,IF(A14&lt;'Données projet'!$A$36,$K$205^A14,IF(A14='Données projet'!$A$36,'Données projet'!$B$36,N13+M14-V13)))</f>
        <v>21.909352063600231</v>
      </c>
      <c r="O14" s="14">
        <f>N14*VLOOKUP('Données projet'!$B$9,Paramètres!$A$1:$I$89,3,0)*VLOOKUP('Données projet'!$B$9,Paramètres!$A$1:$I$89,5,0)</f>
        <v>13.101792534032938</v>
      </c>
      <c r="P14" s="14">
        <f t="shared" si="33"/>
        <v>4.4753343563761101</v>
      </c>
      <c r="Q14" s="22">
        <f t="shared" si="2"/>
        <v>30.613496000795752</v>
      </c>
      <c r="R14" s="62">
        <f t="shared" si="0"/>
        <v>300.72460711190689</v>
      </c>
      <c r="S14" s="62">
        <f ca="1">AVERAGE(OFFSET($R$3,0,0,'Données projet'!$E$9+1,1))-AVERAGE(OFFSET($H$3,0,0,'Données projet'!$E$9+1,1))</f>
        <v>348.62416478262719</v>
      </c>
      <c r="T14" s="62">
        <f t="shared" si="34"/>
        <v>371.70674704563288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11.8</v>
      </c>
      <c r="AI14" s="14">
        <f>IF('Données projet'!$A$62&gt;35,AI13+AH14-AQ13,IF(A14&lt;'Données projet'!$A$62,$AF$205^A14,IF(A14='Données projet'!$A$62,'Données projet'!$B$62,AI13+AH14-AQ13)))</f>
        <v>20.188386084778987</v>
      </c>
      <c r="AJ14" s="14">
        <f>AI14*VLOOKUP('Données projet'!$B$10,Paramètres!$A$1:$I$89,3,0)*VLOOKUP('Données projet'!$B$10,Paramètres!$A$1:$I$89,5,0)</f>
        <v>10.267005627275202</v>
      </c>
      <c r="AK14" s="14">
        <f t="shared" si="35"/>
        <v>3.6079773841873228</v>
      </c>
      <c r="AL14" s="22">
        <f t="shared" si="4"/>
        <v>24.165595411630562</v>
      </c>
      <c r="AM14" s="62">
        <f t="shared" si="5"/>
        <v>294.27670652274173</v>
      </c>
      <c r="AN14" s="62">
        <f ca="1">AVERAGE(OFFSET($AM$3,0,0,'Données projet'!$E$10+1,1))-AVERAGE(OFFSET($H$3,0,0,'Données projet'!$E$10+1,1))</f>
        <v>65.838136484350741</v>
      </c>
      <c r="AO14" s="62">
        <f t="shared" si="36"/>
        <v>288.65503609903755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6.9411764705882355</v>
      </c>
      <c r="N15" s="14">
        <f>IF('Données projet'!$A$36&gt;35,N14+M15-V14,IF(A15&lt;'Données projet'!$A$36,$K$205^A15,IF(A15='Données projet'!$A$36,'Données projet'!$B$36,N14+M15-V14)))</f>
        <v>29.007142357672414</v>
      </c>
      <c r="O15" s="14">
        <f>N15*VLOOKUP('Données projet'!$B$9,Paramètres!$A$1:$I$89,3,0)*VLOOKUP('Données projet'!$B$9,Paramètres!$A$1:$I$89,5,0)</f>
        <v>17.346271129888105</v>
      </c>
      <c r="P15" s="14">
        <f t="shared" si="33"/>
        <v>5.7347514730366376</v>
      </c>
      <c r="Q15" s="22">
        <f t="shared" si="2"/>
        <v>40.19944770009392</v>
      </c>
      <c r="R15" s="62">
        <f t="shared" si="0"/>
        <v>311.53278103342723</v>
      </c>
      <c r="S15" s="62">
        <f ca="1">AVERAGE(OFFSET($R$3,0,0,'Données projet'!$E$9+1,1))-AVERAGE(OFFSET($H$3,0,0,'Données projet'!$E$9+1,1))</f>
        <v>348.62416478262719</v>
      </c>
      <c r="T15" s="62">
        <f t="shared" si="34"/>
        <v>371.70674704563288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11.8</v>
      </c>
      <c r="AI15" s="14">
        <f>IF('Données projet'!$A$62&gt;35,AI14+AH15-AQ14,IF(A15&lt;'Données projet'!$A$62,$AF$205^A15,IF(A15='Données projet'!$A$62,'Données projet'!$B$62,AI14+AH15-AQ14)))</f>
        <v>26.530607938352919</v>
      </c>
      <c r="AJ15" s="14">
        <f>AI15*VLOOKUP('Données projet'!$B$10,Paramètres!$A$1:$I$89,3,0)*VLOOKUP('Données projet'!$B$10,Paramètres!$A$1:$I$89,5,0)</f>
        <v>13.49240597312876</v>
      </c>
      <c r="AK15" s="14">
        <f t="shared" si="35"/>
        <v>4.5930276395737426</v>
      </c>
      <c r="AL15" s="22">
        <f t="shared" si="4"/>
        <v>31.498796875456858</v>
      </c>
      <c r="AM15" s="62">
        <f t="shared" si="5"/>
        <v>302.83213020879015</v>
      </c>
      <c r="AN15" s="62">
        <f ca="1">AVERAGE(OFFSET($AM$3,0,0,'Données projet'!$E$10+1,1))-AVERAGE(OFFSET($H$3,0,0,'Données projet'!$E$10+1,1))</f>
        <v>65.838136484350741</v>
      </c>
      <c r="AO15" s="62">
        <f t="shared" si="36"/>
        <v>288.65503609903755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6.9411764705882355</v>
      </c>
      <c r="N16" s="14">
        <f>IF('Données projet'!$A$36&gt;35,N15+M16-V15,IF(A16&lt;'Données projet'!$A$36,$K$205^A16,IF(A16='Données projet'!$A$36,'Données projet'!$B$36,N15+M16-V15)))</f>
        <v>38.404344652263013</v>
      </c>
      <c r="O16" s="14">
        <f>N16*VLOOKUP('Données projet'!$B$9,Paramètres!$A$1:$I$89,3,0)*VLOOKUP('Données projet'!$B$9,Paramètres!$A$1:$I$89,5,0)</f>
        <v>22.965798102053284</v>
      </c>
      <c r="P16" s="14">
        <f t="shared" si="33"/>
        <v>7.3485848963755025</v>
      </c>
      <c r="Q16" s="22">
        <f t="shared" si="2"/>
        <v>52.797550388930141</v>
      </c>
      <c r="R16" s="62">
        <f t="shared" si="0"/>
        <v>325.35310594448566</v>
      </c>
      <c r="S16" s="62">
        <f ca="1">AVERAGE(OFFSET($R$3,0,0,'Données projet'!$E$9+1,1))-AVERAGE(OFFSET($H$3,0,0,'Données projet'!$E$9+1,1))</f>
        <v>348.62416478262719</v>
      </c>
      <c r="T16" s="62">
        <f t="shared" si="34"/>
        <v>371.70674704563288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11.8</v>
      </c>
      <c r="AI16" s="14">
        <f>IF('Données projet'!$A$62&gt;35,AI15+AH16-AQ15,IF(A16&lt;'Données projet'!$A$62,$AF$205^A16,IF(A16='Données projet'!$A$62,'Données projet'!$B$62,AI15+AH16-AQ15)))</f>
        <v>34.86525146798531</v>
      </c>
      <c r="AJ16" s="14">
        <f>AI16*VLOOKUP('Données projet'!$B$10,Paramètres!$A$1:$I$89,3,0)*VLOOKUP('Données projet'!$B$10,Paramètres!$A$1:$I$89,5,0)</f>
        <v>17.731072286558611</v>
      </c>
      <c r="AK16" s="14">
        <f t="shared" si="35"/>
        <v>5.8470163893890623</v>
      </c>
      <c r="AL16" s="22">
        <f t="shared" si="4"/>
        <v>41.065171110608858</v>
      </c>
      <c r="AM16" s="62">
        <f t="shared" si="5"/>
        <v>313.62072666616439</v>
      </c>
      <c r="AN16" s="62">
        <f ca="1">AVERAGE(OFFSET($AM$3,0,0,'Données projet'!$E$10+1,1))-AVERAGE(OFFSET($H$3,0,0,'Données projet'!$E$10+1,1))</f>
        <v>65.838136484350741</v>
      </c>
      <c r="AO16" s="62">
        <f t="shared" si="36"/>
        <v>288.65503609903755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6.9411764705882355</v>
      </c>
      <c r="N17" s="14">
        <f>IF('Données projet'!$A$36&gt;35,N16+M17-V16,IF(A17&lt;'Données projet'!$A$36,$K$205^A17,IF(A17='Données projet'!$A$36,'Données projet'!$B$36,N16+M17-V16)))</f>
        <v>50.845880300225161</v>
      </c>
      <c r="O17" s="14">
        <f>N17*VLOOKUP('Données projet'!$B$9,Paramètres!$A$1:$I$89,3,0)*VLOOKUP('Données projet'!$B$9,Paramètres!$A$1:$I$89,5,0)</f>
        <v>30.405836419534648</v>
      </c>
      <c r="P17" s="14">
        <f t="shared" si="33"/>
        <v>9.4165719705798292</v>
      </c>
      <c r="Q17" s="22">
        <f t="shared" si="2"/>
        <v>69.357361279449364</v>
      </c>
      <c r="R17" s="62">
        <f t="shared" si="0"/>
        <v>343.13513905722715</v>
      </c>
      <c r="S17" s="62">
        <f ca="1">AVERAGE(OFFSET($R$3,0,0,'Données projet'!$E$9+1,1))-AVERAGE(OFFSET($H$3,0,0,'Données projet'!$E$9+1,1))</f>
        <v>348.62416478262719</v>
      </c>
      <c r="T17" s="62">
        <f t="shared" si="34"/>
        <v>371.70674704563288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11.8</v>
      </c>
      <c r="AI17" s="14">
        <f>IF('Données projet'!$A$62&gt;35,AI16+AH17-AQ16,IF(A17&lt;'Données projet'!$A$62,$AF$205^A17,IF(A17='Données projet'!$A$62,'Données projet'!$B$62,AI16+AH17-AQ16)))</f>
        <v>45.818239926895487</v>
      </c>
      <c r="AJ17" s="14">
        <f>AI17*VLOOKUP('Données projet'!$B$10,Paramètres!$A$1:$I$89,3,0)*VLOOKUP('Données projet'!$B$10,Paramètres!$A$1:$I$89,5,0)</f>
        <v>23.301324097221972</v>
      </c>
      <c r="AK17" s="14">
        <f t="shared" si="35"/>
        <v>7.4433692415047368</v>
      </c>
      <c r="AL17" s="22">
        <f t="shared" si="4"/>
        <v>53.54700756494902</v>
      </c>
      <c r="AM17" s="62">
        <f t="shared" si="5"/>
        <v>327.32478534272678</v>
      </c>
      <c r="AN17" s="62">
        <f ca="1">AVERAGE(OFFSET($AM$3,0,0,'Données projet'!$E$10+1,1))-AVERAGE(OFFSET($H$3,0,0,'Données projet'!$E$10+1,1))</f>
        <v>65.838136484350741</v>
      </c>
      <c r="AO17" s="62">
        <f t="shared" si="36"/>
        <v>288.65503609903755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6.9411764705882355</v>
      </c>
      <c r="N18" s="14">
        <f>IF('Données projet'!$A$36&gt;35,N17+M18-V17,IF(A18&lt;'Données projet'!$A$36,$K$205^A18,IF(A18='Données projet'!$A$36,'Données projet'!$B$36,N17+M18-V17)))</f>
        <v>67.317996620272581</v>
      </c>
      <c r="O18" s="14">
        <f>N18*VLOOKUP('Données projet'!$B$9,Paramètres!$A$1:$I$89,3,0)*VLOOKUP('Données projet'!$B$9,Paramètres!$A$1:$I$89,5,0)</f>
        <v>40.256161978923011</v>
      </c>
      <c r="P18" s="14">
        <f t="shared" si="33"/>
        <v>12.066517421720839</v>
      </c>
      <c r="Q18" s="22">
        <f t="shared" si="2"/>
        <v>91.128666622788032</v>
      </c>
      <c r="R18" s="62">
        <f t="shared" si="0"/>
        <v>366.12866662278805</v>
      </c>
      <c r="S18" s="62">
        <f ca="1">AVERAGE(OFFSET($R$3,0,0,'Données projet'!$E$9+1,1))-AVERAGE(OFFSET($H$3,0,0,'Données projet'!$E$9+1,1))</f>
        <v>348.62416478262719</v>
      </c>
      <c r="T18" s="62">
        <f t="shared" si="34"/>
        <v>371.70674704563288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11.8</v>
      </c>
      <c r="AI18" s="14">
        <f>IF('Données projet'!$A$62&gt;35,AI17+AH18-AQ17,IF(A18&lt;'Données projet'!$A$62,$AF$205^A18,IF(A18='Données projet'!$A$62,'Données projet'!$B$62,AI17+AH18-AQ17)))</f>
        <v>60.212131609784393</v>
      </c>
      <c r="AJ18" s="14">
        <f>AI18*VLOOKUP('Données projet'!$B$10,Paramètres!$A$1:$I$89,3,0)*VLOOKUP('Données projet'!$B$10,Paramètres!$A$1:$I$89,5,0)</f>
        <v>30.621481651471949</v>
      </c>
      <c r="AK18" s="14">
        <f t="shared" si="35"/>
        <v>9.4755584687471295</v>
      </c>
      <c r="AL18" s="22">
        <f t="shared" si="4"/>
        <v>69.835678209381555</v>
      </c>
      <c r="AM18" s="62">
        <f t="shared" si="5"/>
        <v>344.83567820938157</v>
      </c>
      <c r="AN18" s="62">
        <f ca="1">AVERAGE(OFFSET($AM$3,0,0,'Données projet'!$E$10+1,1))-AVERAGE(OFFSET($H$3,0,0,'Données projet'!$E$10+1,1))</f>
        <v>65.838136484350741</v>
      </c>
      <c r="AO18" s="62">
        <f t="shared" si="36"/>
        <v>288.65503609903755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6.9411764705882355</v>
      </c>
      <c r="N19" s="14">
        <f>IF('Données projet'!$A$36&gt;35,N18+M19-V18,IF(A19&lt;'Données projet'!$A$36,$K$205^A19,IF(A19='Données projet'!$A$36,'Données projet'!$B$36,N18+M19-V18)))</f>
        <v>89.126447260014572</v>
      </c>
      <c r="O19" s="14">
        <f>N19*VLOOKUP('Données projet'!$B$9,Paramètres!$A$1:$I$89,3,0)*VLOOKUP('Données projet'!$B$9,Paramètres!$A$1:$I$89,5,0)</f>
        <v>53.297615461488718</v>
      </c>
      <c r="P19" s="14">
        <f t="shared" si="33"/>
        <v>15.46219188294774</v>
      </c>
      <c r="Q19" s="22">
        <f t="shared" si="2"/>
        <v>119.75666445822681</v>
      </c>
      <c r="R19" s="62">
        <f t="shared" si="0"/>
        <v>395.97888668044902</v>
      </c>
      <c r="S19" s="62">
        <f ca="1">AVERAGE(OFFSET($R$3,0,0,'Données projet'!$E$9+1,1))-AVERAGE(OFFSET($H$3,0,0,'Données projet'!$E$9+1,1))</f>
        <v>348.62416478262719</v>
      </c>
      <c r="T19" s="62">
        <f t="shared" si="34"/>
        <v>371.70674704563288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11.8</v>
      </c>
      <c r="AI19" s="14">
        <f>IF('Données projet'!$A$62&gt;35,AI18+AH19-AQ18,IF(A19&lt;'Données projet'!$A$62,$AF$205^A19,IF(A19='Données projet'!$A$62,'Données projet'!$B$62,AI18+AH19-AQ18)))</f>
        <v>79.127893144271852</v>
      </c>
      <c r="AJ19" s="14">
        <f>AI19*VLOOKUP('Données projet'!$B$10,Paramètres!$A$1:$I$89,3,0)*VLOOKUP('Données projet'!$B$10,Paramètres!$A$1:$I$89,5,0)</f>
        <v>40.241281337450893</v>
      </c>
      <c r="AK19" s="14">
        <f t="shared" si="35"/>
        <v>12.062576150863432</v>
      </c>
      <c r="AL19" s="22">
        <f t="shared" si="4"/>
        <v>91.095885125480777</v>
      </c>
      <c r="AM19" s="62">
        <f t="shared" si="5"/>
        <v>367.31810734770301</v>
      </c>
      <c r="AN19" s="62">
        <f ca="1">AVERAGE(OFFSET($AM$3,0,0,'Données projet'!$E$10+1,1))-AVERAGE(OFFSET($H$3,0,0,'Données projet'!$E$10+1,1))</f>
        <v>65.838136484350741</v>
      </c>
      <c r="AO19" s="62">
        <f t="shared" si="36"/>
        <v>288.65503609903755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118</v>
      </c>
      <c r="L20" s="13">
        <f>VLOOKUP(A20,'Données projet'!$A$35:$I$55,9,0)</f>
        <v>6.9411764705882355</v>
      </c>
      <c r="M20" s="13">
        <f t="array" ref="M20">INDEX(L:L,MIN(IF(ISNUMBER(L20:L216),ROW(L20:L216),"")))</f>
        <v>6.9411764705882355</v>
      </c>
      <c r="N20" s="14">
        <f>IF('Données projet'!$A$36&gt;35,N19+M20-V19,IF(A20&lt;'Données projet'!$A$36,$K$205^A20,IF(A20='Données projet'!$A$36,'Données projet'!$B$36,N19+M20-V19)))</f>
        <v>118</v>
      </c>
      <c r="O20" s="14">
        <f>N20*VLOOKUP('Données projet'!$B$9,Paramètres!$A$1:$I$89,3,0)*VLOOKUP('Données projet'!$B$9,Paramètres!$A$1:$I$89,5,0)</f>
        <v>70.564000000000007</v>
      </c>
      <c r="P20" s="14">
        <f t="shared" si="33"/>
        <v>19.813453167086163</v>
      </c>
      <c r="Q20" s="22">
        <f t="shared" si="2"/>
        <v>157.40739759934175</v>
      </c>
      <c r="R20" s="62">
        <f t="shared" si="0"/>
        <v>434.85184204378618</v>
      </c>
      <c r="S20" s="62">
        <f ca="1">AVERAGE(OFFSET($R$3,0,0,'Données projet'!$E$9+1,1))-AVERAGE(OFFSET($H$3,0,0,'Données projet'!$E$9+1,1))</f>
        <v>348.62416478262719</v>
      </c>
      <c r="T20" s="62">
        <f t="shared" si="34"/>
        <v>371.70674704563288</v>
      </c>
      <c r="U20" s="16">
        <f>IF(ISNA(VLOOKUP(A20,'Données projet'!$A$35:$I$55,3,0)),0,VLOOKUP(A20,'Données projet'!$A$35:$I$55,3,0))</f>
        <v>1</v>
      </c>
      <c r="V20" s="16">
        <f>IF(ISNA(VLOOKUP(A20,'Données projet'!$A$35:$I$55,4,0)),0,VLOOKUP(A20,'Données projet'!$A$35:$I$55,4,0))</f>
        <v>15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1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10.1561237088124</v>
      </c>
      <c r="AC20" s="24">
        <f t="shared" si="3"/>
        <v>10.1561237088124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11.8</v>
      </c>
      <c r="AI20" s="14">
        <f>IF('Données projet'!$A$62&gt;35,AI19+AH20-AQ19,IF(A20&lt;'Données projet'!$A$62,$AF$205^A20,IF(A20='Données projet'!$A$62,'Données projet'!$B$62,AI19+AH20-AQ19)))</f>
        <v>103.98607898534958</v>
      </c>
      <c r="AJ20" s="14">
        <f>AI20*VLOOKUP('Données projet'!$B$10,Paramètres!$A$1:$I$89,3,0)*VLOOKUP('Données projet'!$B$10,Paramètres!$A$1:$I$89,5,0)</f>
        <v>52.883160328789387</v>
      </c>
      <c r="AK20" s="14">
        <f t="shared" si="35"/>
        <v>15.355901594116618</v>
      </c>
      <c r="AL20" s="22">
        <f t="shared" si="4"/>
        <v>118.84969951572798</v>
      </c>
      <c r="AM20" s="62">
        <f t="shared" si="5"/>
        <v>396.29414396017245</v>
      </c>
      <c r="AN20" s="62">
        <f ca="1">AVERAGE(OFFSET($AM$3,0,0,'Données projet'!$E$10+1,1))-AVERAGE(OFFSET($H$3,0,0,'Données projet'!$E$10+1,1))</f>
        <v>65.838136484350741</v>
      </c>
      <c r="AO20" s="62">
        <f t="shared" si="36"/>
        <v>288.65503609903755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11.333333333333334</v>
      </c>
      <c r="N21" s="14">
        <f>IF('Données projet'!$A$36&gt;35,N20+M21-V20,IF(A21&lt;'Données projet'!$A$36,$K$205^A21,IF(A21='Données projet'!$A$36,'Données projet'!$B$36,N20+M21-V20)))</f>
        <v>114.33333333333334</v>
      </c>
      <c r="O21" s="14">
        <f>N21*VLOOKUP('Données projet'!$B$9,Paramètres!$A$1:$I$89,3,0)*VLOOKUP('Données projet'!$B$9,Paramètres!$A$1:$I$89,5,0)</f>
        <v>68.37133333333334</v>
      </c>
      <c r="P21" s="14">
        <f t="shared" si="33"/>
        <v>19.268449754335993</v>
      </c>
      <c r="Q21" s="22">
        <f t="shared" si="2"/>
        <v>152.63928887769075</v>
      </c>
      <c r="R21" s="62">
        <f t="shared" si="0"/>
        <v>431.3059555443574</v>
      </c>
      <c r="S21" s="62">
        <f ca="1">AVERAGE(OFFSET($R$3,0,0,'Données projet'!$E$9+1,1))-AVERAGE(OFFSET($H$3,0,0,'Données projet'!$E$9+1,1))</f>
        <v>348.62416478262719</v>
      </c>
      <c r="T21" s="62">
        <f t="shared" si="34"/>
        <v>371.70674704563288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7.1814639450707176</v>
      </c>
      <c r="AC21" s="24">
        <f t="shared" si="3"/>
        <v>7.1814639450707176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11.8</v>
      </c>
      <c r="AI21" s="14">
        <f>IF('Données projet'!$A$62&gt;35,AI20+AH21-AQ20,IF(A21&lt;'Données projet'!$A$62,$AF$205^A21,IF(A21='Données projet'!$A$62,'Données projet'!$B$62,AI20+AH21-AQ20)))</f>
        <v>136.65351361032839</v>
      </c>
      <c r="AJ21" s="14">
        <f>AI21*VLOOKUP('Données projet'!$B$10,Paramètres!$A$1:$I$89,3,0)*VLOOKUP('Données projet'!$B$10,Paramètres!$A$1:$I$89,5,0)</f>
        <v>69.496510881668613</v>
      </c>
      <c r="AK21" s="14">
        <f t="shared" si="35"/>
        <v>19.548370996299532</v>
      </c>
      <c r="AL21" s="22">
        <f t="shared" si="4"/>
        <v>155.08650260412784</v>
      </c>
      <c r="AM21" s="62">
        <f t="shared" si="5"/>
        <v>433.7531692707945</v>
      </c>
      <c r="AN21" s="62">
        <f ca="1">AVERAGE(OFFSET($AM$3,0,0,'Données projet'!$E$10+1,1))-AVERAGE(OFFSET($H$3,0,0,'Données projet'!$E$10+1,1))</f>
        <v>65.838136484350741</v>
      </c>
      <c r="AO21" s="62">
        <f t="shared" si="36"/>
        <v>288.65503609903755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11.333333333333334</v>
      </c>
      <c r="N22" s="14">
        <f>IF('Données projet'!$A$36&gt;35,N21+M22-V21,IF(A22&lt;'Données projet'!$A$36,$K$205^A22,IF(A22='Données projet'!$A$36,'Données projet'!$B$36,N21+M22-V21)))</f>
        <v>125.66666666666667</v>
      </c>
      <c r="O22" s="14">
        <f>N22*VLOOKUP('Données projet'!$B$9,Paramètres!$A$1:$I$89,3,0)*VLOOKUP('Données projet'!$B$9,Paramètres!$A$1:$I$89,5,0)</f>
        <v>75.148666666666671</v>
      </c>
      <c r="P22" s="14">
        <f t="shared" si="33"/>
        <v>20.946723857947624</v>
      </c>
      <c r="Q22" s="22">
        <f t="shared" si="2"/>
        <v>167.36613849703656</v>
      </c>
      <c r="R22" s="62">
        <f t="shared" si="0"/>
        <v>447.25502738592542</v>
      </c>
      <c r="S22" s="62">
        <f ca="1">AVERAGE(OFFSET($R$3,0,0,'Données projet'!$E$9+1,1))-AVERAGE(OFFSET($H$3,0,0,'Données projet'!$E$9+1,1))</f>
        <v>348.62416478262719</v>
      </c>
      <c r="T22" s="62">
        <f t="shared" si="34"/>
        <v>371.70674704563288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5.0780618544062008</v>
      </c>
      <c r="AC22" s="24">
        <f t="shared" si="3"/>
        <v>5.0780618544062008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11.8</v>
      </c>
      <c r="AI22" s="14">
        <f>IF('Données projet'!$A$62&gt;35,AI21+AH22-AQ21,IF(A22&lt;'Données projet'!$A$62,$AF$205^A22,IF(A22='Données projet'!$A$62,'Données projet'!$B$62,AI21+AH22-AQ21)))</f>
        <v>179.58348813863034</v>
      </c>
      <c r="AJ22" s="14">
        <f>AI22*VLOOKUP('Données projet'!$B$10,Paramètres!$A$1:$I$89,3,0)*VLOOKUP('Données projet'!$B$10,Paramètres!$A$1:$I$89,5,0)</f>
        <v>91.328978727781845</v>
      </c>
      <c r="AK22" s="14">
        <f t="shared" si="35"/>
        <v>24.885468708354818</v>
      </c>
      <c r="AL22" s="22">
        <f t="shared" si="4"/>
        <v>202.4068292846047</v>
      </c>
      <c r="AM22" s="62">
        <f t="shared" si="5"/>
        <v>482.29571817349358</v>
      </c>
      <c r="AN22" s="62">
        <f ca="1">AVERAGE(OFFSET($AM$3,0,0,'Données projet'!$E$10+1,1))-AVERAGE(OFFSET($H$3,0,0,'Données projet'!$E$10+1,1))</f>
        <v>65.838136484350741</v>
      </c>
      <c r="AO22" s="62">
        <f t="shared" si="36"/>
        <v>288.65503609903755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137</v>
      </c>
      <c r="L23" s="13">
        <f>VLOOKUP(A23,'Données projet'!$A$35:$I$55,9,0)</f>
        <v>11.333333333333334</v>
      </c>
      <c r="M23" s="13">
        <f t="array" ref="M23">INDEX(L:L,MIN(IF(ISNUMBER(L23:L219),ROW(L23:L219),"")))</f>
        <v>11.333333333333334</v>
      </c>
      <c r="N23" s="14">
        <f>IF('Données projet'!$A$36&gt;35,N22+M23-V22,IF(A23&lt;'Données projet'!$A$36,$K$205^A23,IF(A23='Données projet'!$A$36,'Données projet'!$B$36,N22+M23-V22)))</f>
        <v>137</v>
      </c>
      <c r="O23" s="14">
        <f>N23*VLOOKUP('Données projet'!$B$9,Paramètres!$A$1:$I$89,3,0)*VLOOKUP('Données projet'!$B$9,Paramètres!$A$1:$I$89,5,0)</f>
        <v>81.926000000000002</v>
      </c>
      <c r="P23" s="14">
        <f t="shared" si="33"/>
        <v>22.607447146245146</v>
      </c>
      <c r="Q23" s="22">
        <f t="shared" si="2"/>
        <v>182.06242044637693</v>
      </c>
      <c r="R23" s="62">
        <f t="shared" si="0"/>
        <v>463.1735315574881</v>
      </c>
      <c r="S23" s="62">
        <f ca="1">AVERAGE(OFFSET($R$3,0,0,'Données projet'!$E$9+1,1))-AVERAGE(OFFSET($H$3,0,0,'Données projet'!$E$9+1,1))</f>
        <v>348.62416478262719</v>
      </c>
      <c r="T23" s="62">
        <f t="shared" si="34"/>
        <v>371.70674704563288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15</v>
      </c>
      <c r="W23" s="17">
        <f>IF(ISNA(VLOOKUP(A23,'Données projet'!$A$35:$I$55,5,0)),0%,VLOOKUP(A23,'Données projet'!$A$35:$I$55,5,0)*VLOOKUP('Données projet'!$B$9,Paramètres!$A$1:$I$89,7,0))</f>
        <v>4.5000000000000005E-2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0.9</v>
      </c>
      <c r="Z23" s="23">
        <f>EXP(-LN(2)/35)*Z22+(1-EXP(-LN(2)/35))/(LN(2)/35)*V23*W23*VLOOKUP('Données projet'!$B$9,Paramètres!$A$1:$I$89,3,0)*0.475*44/12</f>
        <v>0.53546774243817052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12.731243310466519</v>
      </c>
      <c r="AC23" s="24">
        <f t="shared" si="3"/>
        <v>13.266711052904689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236</v>
      </c>
      <c r="AG23" s="13">
        <f>VLOOKUP(A23,'Données projet'!$A$61:$I$81,9,0)</f>
        <v>11.8</v>
      </c>
      <c r="AH23" s="13">
        <f t="array" ref="AH23">INDEX(AG:AG,MIN(IF(ISNUMBER(AG23:AG219),ROW(AG23:AG219),"")))</f>
        <v>11.8</v>
      </c>
      <c r="AI23" s="14">
        <f>IF('Données projet'!$A$62&gt;35,AI22+AH23-AQ22,IF(A23&lt;'Données projet'!$A$62,$AF$205^A23,IF(A23='Données projet'!$A$62,'Données projet'!$B$62,AI22+AH23-AQ22)))</f>
        <v>236</v>
      </c>
      <c r="AJ23" s="14">
        <f>AI23*VLOOKUP('Données projet'!$B$10,Paramètres!$A$1:$I$89,3,0)*VLOOKUP('Données projet'!$B$10,Paramètres!$A$1:$I$89,5,0)</f>
        <v>120.02016000000002</v>
      </c>
      <c r="AK23" s="14">
        <f t="shared" si="35"/>
        <v>31.679701237086977</v>
      </c>
      <c r="AL23" s="22">
        <f t="shared" si="4"/>
        <v>264.21059165459314</v>
      </c>
      <c r="AM23" s="62">
        <f t="shared" si="5"/>
        <v>545.32170276570423</v>
      </c>
      <c r="AN23" s="62">
        <f ca="1">AVERAGE(OFFSET($AM$3,0,0,'Données projet'!$E$10+1,1))-AVERAGE(OFFSET($H$3,0,0,'Données projet'!$E$10+1,1))</f>
        <v>65.838136484350741</v>
      </c>
      <c r="AO23" s="62">
        <f t="shared" si="36"/>
        <v>288.65503609903755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236</v>
      </c>
      <c r="AR23" s="17">
        <f>IF(ISNA(VLOOKUP(A23,'Données projet'!$A$61:$I$81,5,0)),0%,VLOOKUP(A23,'Données projet'!$A$61:$I$81,5,0)*VLOOKUP('Données projet'!$B$10,Paramètres!$A$1:$I$89,7,0))</f>
        <v>0.42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0.3</v>
      </c>
      <c r="AU23" s="23">
        <f>EXP(-LN(2)/35)*AU22+(1-EXP(-LN(2)/35))/(LN(2)/35)*AQ23*AR23*VLOOKUP('Données projet'!$B$10,Paramètres!$A$1:$I$89,3,0)*0.475*44/12</f>
        <v>55.725067367258276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33.972675376573513</v>
      </c>
      <c r="AX23" s="23">
        <f t="shared" si="6"/>
        <v>89.697742743831782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16.399999999999999</v>
      </c>
      <c r="N24" s="14">
        <f>IF('Données projet'!$A$36&gt;35,N23+M24-V23,IF(A24&lt;'Données projet'!$A$36,$K$205^A24,IF(A24='Données projet'!$A$36,'Données projet'!$B$36,N23+M24-V23)))</f>
        <v>138.4</v>
      </c>
      <c r="O24" s="14">
        <f>N24*VLOOKUP('Données projet'!$B$9,Paramètres!$A$1:$I$89,3,0)*VLOOKUP('Données projet'!$B$9,Paramètres!$A$1:$I$89,5,0)</f>
        <v>82.763200000000012</v>
      </c>
      <c r="P24" s="14">
        <f t="shared" si="33"/>
        <v>22.811459894537176</v>
      </c>
      <c r="Q24" s="22">
        <f t="shared" si="2"/>
        <v>183.8758659829856</v>
      </c>
      <c r="R24" s="62">
        <f t="shared" si="0"/>
        <v>466.20919931631892</v>
      </c>
      <c r="S24" s="62">
        <f ca="1">AVERAGE(OFFSET($R$3,0,0,'Données projet'!$E$9+1,1))-AVERAGE(OFFSET($H$3,0,0,'Données projet'!$E$9+1,1))</f>
        <v>348.62416478262719</v>
      </c>
      <c r="T24" s="62">
        <f t="shared" si="34"/>
        <v>371.70674704563288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0.52496754661203149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9.0023484777667466</v>
      </c>
      <c r="AC24" s="24">
        <f t="shared" si="3"/>
        <v>9.5273160243787789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65.838136484350741</v>
      </c>
      <c r="AO24" s="62">
        <f t="shared" si="36"/>
        <v>288.65503609903755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54.632332785121307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24.022309133824379</v>
      </c>
      <c r="AX24" s="23">
        <f t="shared" si="6"/>
        <v>78.654641918945686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16.399999999999999</v>
      </c>
      <c r="N25" s="14">
        <f>IF('Données projet'!$A$36&gt;35,N24+M25-V24,IF(A25&lt;'Données projet'!$A$36,$K$205^A25,IF(A25='Données projet'!$A$36,'Données projet'!$B$36,N24+M25-V24)))</f>
        <v>154.80000000000001</v>
      </c>
      <c r="O25" s="14">
        <f>N25*VLOOKUP('Données projet'!$B$9,Paramètres!$A$1:$I$89,3,0)*VLOOKUP('Données projet'!$B$9,Paramètres!$A$1:$I$89,5,0)</f>
        <v>92.570400000000021</v>
      </c>
      <c r="P25" s="14">
        <f t="shared" si="33"/>
        <v>25.184123943972491</v>
      </c>
      <c r="Q25" s="22">
        <f t="shared" si="2"/>
        <v>205.0891292024188</v>
      </c>
      <c r="R25" s="62">
        <f t="shared" si="0"/>
        <v>488.64468475797435</v>
      </c>
      <c r="S25" s="62">
        <f ca="1">AVERAGE(OFFSET($R$3,0,0,'Données projet'!$E$9+1,1))-AVERAGE(OFFSET($H$3,0,0,'Données projet'!$E$9+1,1))</f>
        <v>348.62416478262719</v>
      </c>
      <c r="T25" s="62">
        <f t="shared" si="34"/>
        <v>371.70674704563288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0.51467325322155599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6.3656216552332605</v>
      </c>
      <c r="AC25" s="24">
        <f t="shared" si="3"/>
        <v>6.8802949084548164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65.838136484350741</v>
      </c>
      <c r="AO25" s="62">
        <f t="shared" si="36"/>
        <v>288.65503609903755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53.561026061637762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16.98633768828676</v>
      </c>
      <c r="AX25" s="23">
        <f t="shared" si="6"/>
        <v>70.547363749924529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16.399999999999999</v>
      </c>
      <c r="N26" s="14">
        <f>IF('Données projet'!$A$36&gt;35,N25+M26-V25,IF(A26&lt;'Données projet'!$A$36,$K$205^A26,IF(A26='Données projet'!$A$36,'Données projet'!$B$36,N25+M26-V25)))</f>
        <v>171.20000000000002</v>
      </c>
      <c r="O26" s="14">
        <f>N26*VLOOKUP('Données projet'!$B$9,Paramètres!$A$1:$I$89,3,0)*VLOOKUP('Données projet'!$B$9,Paramètres!$A$1:$I$89,5,0)</f>
        <v>102.37760000000002</v>
      </c>
      <c r="P26" s="14">
        <f t="shared" si="33"/>
        <v>27.527651005505614</v>
      </c>
      <c r="Q26" s="22">
        <f t="shared" si="2"/>
        <v>226.25164550125564</v>
      </c>
      <c r="R26" s="62">
        <f t="shared" si="0"/>
        <v>511.02942327903338</v>
      </c>
      <c r="S26" s="62">
        <f ca="1">AVERAGE(OFFSET($R$3,0,0,'Données projet'!$E$9+1,1))-AVERAGE(OFFSET($H$3,0,0,'Données projet'!$E$9+1,1))</f>
        <v>348.62416478262719</v>
      </c>
      <c r="T26" s="62">
        <f t="shared" si="34"/>
        <v>371.70674704563288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0.50458082464556875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4.5011742388833742</v>
      </c>
      <c r="AC26" s="24">
        <f t="shared" si="3"/>
        <v>5.0057550635289427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65.838136484350741</v>
      </c>
      <c r="AO26" s="62">
        <f t="shared" si="36"/>
        <v>288.65503609903755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52.510727009569145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12.011154566912193</v>
      </c>
      <c r="AX26" s="23">
        <f t="shared" si="6"/>
        <v>64.521881576481334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16.399999999999999</v>
      </c>
      <c r="N27" s="14">
        <f>IF('Données projet'!$A$36&gt;35,N26+M27-V26,IF(A27&lt;'Données projet'!$A$36,$K$205^A27,IF(A27='Données projet'!$A$36,'Données projet'!$B$36,N26+M27-V26)))</f>
        <v>187.60000000000002</v>
      </c>
      <c r="O27" s="14">
        <f>N27*VLOOKUP('Données projet'!$B$9,Paramètres!$A$1:$I$89,3,0)*VLOOKUP('Données projet'!$B$9,Paramètres!$A$1:$I$89,5,0)</f>
        <v>112.18480000000002</v>
      </c>
      <c r="P27" s="14">
        <f t="shared" si="33"/>
        <v>29.845149809641946</v>
      </c>
      <c r="Q27" s="22">
        <f t="shared" si="2"/>
        <v>247.36882925179307</v>
      </c>
      <c r="R27" s="62">
        <f t="shared" si="0"/>
        <v>533.36882925179304</v>
      </c>
      <c r="S27" s="62">
        <f ca="1">AVERAGE(OFFSET($R$3,0,0,'Données projet'!$E$9+1,1))-AVERAGE(OFFSET($H$3,0,0,'Données projet'!$E$9+1,1))</f>
        <v>348.62416478262719</v>
      </c>
      <c r="T27" s="62">
        <f t="shared" si="34"/>
        <v>371.70674704563288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0.49468630243818301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3.1828108276166307</v>
      </c>
      <c r="AC27" s="24">
        <f t="shared" si="3"/>
        <v>3.6774971300548138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65.838136484350741</v>
      </c>
      <c r="AO27" s="62">
        <f t="shared" si="36"/>
        <v>288.65503609903755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51.481023681292427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8.4931688441433817</v>
      </c>
      <c r="AX27" s="23">
        <f t="shared" si="6"/>
        <v>59.974192525435811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204</v>
      </c>
      <c r="L28" s="13">
        <f>VLOOKUP(A28,'Données projet'!$A$35:$I$55,9,0)</f>
        <v>16.399999999999999</v>
      </c>
      <c r="M28" s="13">
        <f t="array" ref="M28">INDEX(L:L,MIN(IF(ISNUMBER(L28:L224),ROW(L28:L224),"")))</f>
        <v>16.399999999999999</v>
      </c>
      <c r="N28" s="14">
        <f>IF('Données projet'!$A$36&gt;35,N27+M28-V27,IF(A28&lt;'Données projet'!$A$36,$K$205^A28,IF(A28='Données projet'!$A$36,'Données projet'!$B$36,N27+M28-V27)))</f>
        <v>204.00000000000003</v>
      </c>
      <c r="O28" s="14">
        <f>N28*VLOOKUP('Données projet'!$B$9,Paramètres!$A$1:$I$89,3,0)*VLOOKUP('Données projet'!$B$9,Paramètres!$A$1:$I$89,5,0)</f>
        <v>121.99200000000003</v>
      </c>
      <c r="P28" s="14">
        <f t="shared" si="33"/>
        <v>32.139154469866327</v>
      </c>
      <c r="Q28" s="22">
        <f t="shared" si="2"/>
        <v>268.44509403501723</v>
      </c>
      <c r="R28" s="62">
        <f t="shared" si="0"/>
        <v>555.66731625723946</v>
      </c>
      <c r="S28" s="62">
        <f ca="1">AVERAGE(OFFSET($R$3,0,0,'Données projet'!$E$9+1,1))-AVERAGE(OFFSET($H$3,0,0,'Données projet'!$E$9+1,1))</f>
        <v>348.62416478262719</v>
      </c>
      <c r="T28" s="62">
        <f t="shared" si="34"/>
        <v>371.70674704563288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36</v>
      </c>
      <c r="W28" s="17">
        <f>IF(ISNA(VLOOKUP(A28,'Données projet'!$A$35:$I$55,5,0)),0%,VLOOKUP(A28,'Données projet'!$A$35:$I$55,5,0)*VLOOKUP('Données projet'!$B$9,Paramètres!$A$1:$I$89,7,0))</f>
        <v>6.7500000000000004E-2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0.85</v>
      </c>
      <c r="Z28" s="23">
        <f>EXP(-LN(2)/35)*Z27+(1-EXP(-LN(2)/35))/(LN(2)/35)*V28*W28*VLOOKUP('Données projet'!$B$9,Paramètres!$A$1:$I$89,3,0)*0.475*44/12</f>
        <v>2.4126696785536343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22.96907948541898</v>
      </c>
      <c r="AC28" s="24">
        <f t="shared" si="3"/>
        <v>25.381749163972614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65.838136484350741</v>
      </c>
      <c r="AO28" s="62">
        <f t="shared" si="36"/>
        <v>288.65503609903755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50.471512207226205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6.0055772834560974</v>
      </c>
      <c r="AX28" s="23">
        <f t="shared" si="6"/>
        <v>56.477089490682303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17.600000000000001</v>
      </c>
      <c r="N29" s="14">
        <f>IF('Données projet'!$A$36&gt;35,N28+M29-V28,IF(A29&lt;'Données projet'!$A$36,$K$205^A29,IF(A29='Données projet'!$A$36,'Données projet'!$B$36,N28+M29-V28)))</f>
        <v>185.60000000000002</v>
      </c>
      <c r="O29" s="14">
        <f>N29*VLOOKUP('Données projet'!$B$9,Paramètres!$A$1:$I$89,3,0)*VLOOKUP('Données projet'!$B$9,Paramètres!$A$1:$I$89,5,0)</f>
        <v>110.98880000000003</v>
      </c>
      <c r="P29" s="14">
        <f t="shared" si="33"/>
        <v>29.56383208945169</v>
      </c>
      <c r="Q29" s="22">
        <f t="shared" si="2"/>
        <v>244.79583422246174</v>
      </c>
      <c r="R29" s="62">
        <f t="shared" si="0"/>
        <v>533.24027866690619</v>
      </c>
      <c r="S29" s="62">
        <f ca="1">AVERAGE(OFFSET($R$3,0,0,'Données projet'!$E$9+1,1))-AVERAGE(OFFSET($H$3,0,0,'Données projet'!$E$9+1,1))</f>
        <v>348.62416478262719</v>
      </c>
      <c r="T29" s="62">
        <f t="shared" si="34"/>
        <v>371.70674704563288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2.3653586977403949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16.241591861752578</v>
      </c>
      <c r="AC29" s="24">
        <f t="shared" si="3"/>
        <v>18.606950559492972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65.838136484350741</v>
      </c>
      <c r="AO29" s="62">
        <f t="shared" si="36"/>
        <v>288.65503609903755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49.481796637425219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4.2465844220716917</v>
      </c>
      <c r="AX29" s="23">
        <f t="shared" si="6"/>
        <v>53.728381059496911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17.600000000000001</v>
      </c>
      <c r="N30" s="14">
        <f>IF('Données projet'!$A$36&gt;35,N29+M30-V29,IF(A30&lt;'Données projet'!$A$36,$K$205^A30,IF(A30='Données projet'!$A$36,'Données projet'!$B$36,N29+M30-V29)))</f>
        <v>203.20000000000002</v>
      </c>
      <c r="O30" s="14">
        <f>N30*VLOOKUP('Données projet'!$B$9,Paramètres!$A$1:$I$89,3,0)*VLOOKUP('Données projet'!$B$9,Paramètres!$A$1:$I$89,5,0)</f>
        <v>121.51360000000001</v>
      </c>
      <c r="P30" s="14">
        <f t="shared" si="33"/>
        <v>32.027763694063836</v>
      </c>
      <c r="Q30" s="22">
        <f t="shared" si="2"/>
        <v>267.41787510049454</v>
      </c>
      <c r="R30" s="62">
        <f t="shared" si="0"/>
        <v>557.08454176716123</v>
      </c>
      <c r="S30" s="62">
        <f ca="1">AVERAGE(OFFSET($R$3,0,0,'Données projet'!$E$9+1,1))-AVERAGE(OFFSET($H$3,0,0,'Données projet'!$E$9+1,1))</f>
        <v>348.62416478262719</v>
      </c>
      <c r="T30" s="62">
        <f t="shared" si="34"/>
        <v>371.70674704563288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2.3189754564040541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11.484539742709492</v>
      </c>
      <c r="AC30" s="24">
        <f t="shared" si="3"/>
        <v>13.803515199113546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65.838136484350741</v>
      </c>
      <c r="AO30" s="62">
        <f t="shared" si="36"/>
        <v>288.65503609903755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48.511488786281141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3.0027886417280492</v>
      </c>
      <c r="AX30" s="23">
        <f t="shared" si="6"/>
        <v>51.514277428009194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17.600000000000001</v>
      </c>
      <c r="N31" s="14">
        <f>IF('Données projet'!$A$36&gt;35,N30+M31-V30,IF(A31&lt;'Données projet'!$A$36,$K$205^A31,IF(A31='Données projet'!$A$36,'Données projet'!$B$36,N30+M31-V30)))</f>
        <v>220.8</v>
      </c>
      <c r="O31" s="14">
        <f>N31*VLOOKUP('Données projet'!$B$9,Paramètres!$A$1:$I$89,3,0)*VLOOKUP('Données projet'!$B$9,Paramètres!$A$1:$I$89,5,0)</f>
        <v>132.03840000000002</v>
      </c>
      <c r="P31" s="14">
        <f t="shared" si="33"/>
        <v>34.466946374534373</v>
      </c>
      <c r="Q31" s="22">
        <f t="shared" si="2"/>
        <v>289.99681160231404</v>
      </c>
      <c r="R31" s="62">
        <f t="shared" si="0"/>
        <v>580.8857004912029</v>
      </c>
      <c r="S31" s="62">
        <f ca="1">AVERAGE(OFFSET($R$3,0,0,'Données projet'!$E$9+1,1))-AVERAGE(OFFSET($H$3,0,0,'Données projet'!$E$9+1,1))</f>
        <v>348.62416478262719</v>
      </c>
      <c r="T31" s="62">
        <f t="shared" si="34"/>
        <v>371.70674704563288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2.2735017621393352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8.1207959308762909</v>
      </c>
      <c r="AC31" s="24">
        <f t="shared" si="3"/>
        <v>10.394297693015627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65.838136484350741</v>
      </c>
      <c r="AO31" s="62">
        <f t="shared" si="36"/>
        <v>288.65503609903755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47.560208080268652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2.1232922110358459</v>
      </c>
      <c r="AX31" s="23">
        <f t="shared" si="6"/>
        <v>49.683500291304497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17.600000000000001</v>
      </c>
      <c r="N32" s="14">
        <f>IF('Données projet'!$A$36&gt;35,N31+M32-V31,IF(A32&lt;'Données projet'!$A$36,$K$205^A32,IF(A32='Données projet'!$A$36,'Données projet'!$B$36,N31+M32-V31)))</f>
        <v>238.4</v>
      </c>
      <c r="O32" s="14">
        <f>N32*VLOOKUP('Données projet'!$B$9,Paramètres!$A$1:$I$89,3,0)*VLOOKUP('Données projet'!$B$9,Paramètres!$A$1:$I$89,5,0)</f>
        <v>142.56319999999999</v>
      </c>
      <c r="P32" s="14">
        <f t="shared" si="33"/>
        <v>36.883577154665602</v>
      </c>
      <c r="Q32" s="22">
        <f t="shared" si="2"/>
        <v>312.53647021104257</v>
      </c>
      <c r="R32" s="62">
        <f t="shared" si="0"/>
        <v>604.64758132215366</v>
      </c>
      <c r="S32" s="62">
        <f ca="1">AVERAGE(OFFSET($R$3,0,0,'Données projet'!$E$9+1,1))-AVERAGE(OFFSET($H$3,0,0,'Données projet'!$E$9+1,1))</f>
        <v>348.62416478262719</v>
      </c>
      <c r="T32" s="62">
        <f t="shared" si="34"/>
        <v>371.70674704563288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2.2289197792829327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5.7422698713547478</v>
      </c>
      <c r="AC32" s="24">
        <f t="shared" si="3"/>
        <v>7.9711896506376805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65.838136484350741</v>
      </c>
      <c r="AO32" s="62">
        <f t="shared" si="36"/>
        <v>288.65503609903755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46.627581408677123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1.5013943208640246</v>
      </c>
      <c r="AX32" s="23">
        <f t="shared" si="6"/>
        <v>48.128975729541146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256</v>
      </c>
      <c r="L33" s="13">
        <f>VLOOKUP(A33,'Données projet'!$A$35:$I$55,9,0)</f>
        <v>17.600000000000001</v>
      </c>
      <c r="M33" s="13">
        <f t="array" ref="M33">INDEX(L:L,MIN(IF(ISNUMBER(L33:L229),ROW(L33:L229),"")))</f>
        <v>17.600000000000001</v>
      </c>
      <c r="N33" s="14">
        <f>IF('Données projet'!$A$36&gt;35,N32+M33-V32,IF(A33&lt;'Données projet'!$A$36,$K$205^A33,IF(A33='Données projet'!$A$36,'Données projet'!$B$36,N32+M33-V32)))</f>
        <v>256</v>
      </c>
      <c r="O33" s="14">
        <f>N33*VLOOKUP('Données projet'!$B$9,Paramètres!$A$1:$I$89,3,0)*VLOOKUP('Données projet'!$B$9,Paramètres!$A$1:$I$89,5,0)</f>
        <v>153.08800000000002</v>
      </c>
      <c r="P33" s="14">
        <f t="shared" si="33"/>
        <v>39.27951026543515</v>
      </c>
      <c r="Q33" s="22">
        <f t="shared" si="2"/>
        <v>335.04008037896625</v>
      </c>
      <c r="R33" s="62">
        <f t="shared" si="0"/>
        <v>628.37341371229957</v>
      </c>
      <c r="S33" s="62">
        <f ca="1">AVERAGE(OFFSET($R$3,0,0,'Données projet'!$E$9+1,1))-AVERAGE(OFFSET($H$3,0,0,'Données projet'!$E$9+1,1))</f>
        <v>348.62416478262719</v>
      </c>
      <c r="T33" s="62">
        <f t="shared" si="34"/>
        <v>371.70674704563288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54</v>
      </c>
      <c r="W33" s="17">
        <f>IF(ISNA(VLOOKUP(A33,'Données projet'!$A$35:$I$55,5,0)),0%,VLOOKUP(A33,'Données projet'!$A$35:$I$55,5,0)*VLOOKUP('Données projet'!$B$9,Paramètres!$A$1:$I$89,7,0))</f>
        <v>0.1125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0.75</v>
      </c>
      <c r="Z33" s="23">
        <f>EXP(-LN(2)/35)*Z32+(1-EXP(-LN(2)/35))/(LN(2)/35)*V33*W33*VLOOKUP('Données projet'!$B$9,Paramètres!$A$1:$I$89,3,0)*0.475*44/12</f>
        <v>7.0044217038615528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31.481931979231621</v>
      </c>
      <c r="AC33" s="24">
        <f t="shared" si="3"/>
        <v>38.486353683093171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65.838136484350741</v>
      </c>
      <c r="AO33" s="62">
        <f t="shared" si="36"/>
        <v>288.65503609903755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45.713242977269402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1.0616461055179229</v>
      </c>
      <c r="AX33" s="23">
        <f t="shared" si="6"/>
        <v>46.774889082787325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18.8</v>
      </c>
      <c r="N34" s="14">
        <f>IF('Données projet'!$A$36&gt;35,N33+M34-V33,IF(A34&lt;'Données projet'!$A$36,$K$205^A34,IF(A34='Données projet'!$A$36,'Données projet'!$B$36,N33+M34-V33)))</f>
        <v>220.8</v>
      </c>
      <c r="O34" s="14">
        <f>N34*VLOOKUP('Données projet'!$B$9,Paramètres!$A$1:$I$89,3,0)*VLOOKUP('Données projet'!$B$9,Paramètres!$A$1:$I$89,5,0)</f>
        <v>132.03840000000002</v>
      </c>
      <c r="P34" s="14">
        <f t="shared" si="33"/>
        <v>34.466946374534373</v>
      </c>
      <c r="Q34" s="22">
        <f t="shared" si="2"/>
        <v>289.99681160231404</v>
      </c>
      <c r="R34" s="62">
        <f t="shared" si="0"/>
        <v>583.33014493564735</v>
      </c>
      <c r="S34" s="62">
        <f ca="1">AVERAGE(OFFSET($R$3,0,0,'Données projet'!$E$9+1,1))-AVERAGE(OFFSET($H$3,0,0,'Données projet'!$E$9+1,1))</f>
        <v>348.62416478262719</v>
      </c>
      <c r="T34" s="62">
        <f t="shared" si="34"/>
        <v>371.70674704563288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6.867069266524215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22.261087587368309</v>
      </c>
      <c r="AC34" s="24">
        <f t="shared" si="3"/>
        <v>29.128156853892524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65.838136484350741</v>
      </c>
      <c r="AO34" s="62">
        <f t="shared" si="36"/>
        <v>288.65503609903755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44.816834164810217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0.75069716043201229</v>
      </c>
      <c r="AX34" s="23">
        <f t="shared" si="6"/>
        <v>45.567531325242228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18.8</v>
      </c>
      <c r="N35" s="14">
        <f>IF('Données projet'!$A$36&gt;35,N34+M35-V34,IF(A35&lt;'Données projet'!$A$36,$K$205^A35,IF(A35='Données projet'!$A$36,'Données projet'!$B$36,N34+M35-V34)))</f>
        <v>239.60000000000002</v>
      </c>
      <c r="O35" s="14">
        <f>N35*VLOOKUP('Données projet'!$B$9,Paramètres!$A$1:$I$89,3,0)*VLOOKUP('Données projet'!$B$9,Paramètres!$A$1:$I$89,5,0)</f>
        <v>143.28080000000003</v>
      </c>
      <c r="P35" s="14">
        <f t="shared" si="33"/>
        <v>37.047574465948976</v>
      </c>
      <c r="Q35" s="22">
        <f t="shared" ref="Q35:Q66" si="53">(O35+P35)*0.475*44/12</f>
        <v>314.07191886152782</v>
      </c>
      <c r="R35" s="62">
        <f t="shared" si="0"/>
        <v>607.40525219486108</v>
      </c>
      <c r="S35" s="62">
        <f ca="1">AVERAGE(OFFSET($R$3,0,0,'Données projet'!$E$9+1,1))-AVERAGE(OFFSET($H$3,0,0,'Données projet'!$E$9+1,1))</f>
        <v>348.62416478262719</v>
      </c>
      <c r="T35" s="62">
        <f t="shared" si="34"/>
        <v>371.70674704563288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6.7324102267063477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15.740965989615813</v>
      </c>
      <c r="AC35" s="24">
        <f t="shared" si="3"/>
        <v>22.473376216322158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65.838136484350741</v>
      </c>
      <c r="AO35" s="62">
        <f t="shared" si="36"/>
        <v>288.65503609903755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43.938003382407963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0.53082305275896147</v>
      </c>
      <c r="AX35" s="23">
        <f t="shared" si="6"/>
        <v>44.468826435166925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18.8</v>
      </c>
      <c r="N36" s="14">
        <f>IF('Données projet'!$A$36&gt;35,N35+M36-V35,IF(A36&lt;'Données projet'!$A$36,$K$205^A36,IF(A36='Données projet'!$A$36,'Données projet'!$B$36,N35+M36-V35)))</f>
        <v>258.40000000000003</v>
      </c>
      <c r="O36" s="14">
        <f>N36*VLOOKUP('Données projet'!$B$9,Paramètres!$A$1:$I$89,3,0)*VLOOKUP('Données projet'!$B$9,Paramètres!$A$1:$I$89,5,0)</f>
        <v>154.52320000000003</v>
      </c>
      <c r="P36" s="14">
        <f t="shared" si="33"/>
        <v>39.60471498856284</v>
      </c>
      <c r="Q36" s="22">
        <f t="shared" si="53"/>
        <v>338.10611860508033</v>
      </c>
      <c r="R36" s="62">
        <f t="shared" si="0"/>
        <v>631.43945193841364</v>
      </c>
      <c r="S36" s="62">
        <f ca="1">AVERAGE(OFFSET($R$3,0,0,'Données projet'!$E$9+1,1))-AVERAGE(OFFSET($H$3,0,0,'Données projet'!$E$9+1,1))</f>
        <v>348.62416478262719</v>
      </c>
      <c r="T36" s="62">
        <f t="shared" si="34"/>
        <v>371.70674704563288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6.6003917685254043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11.130543793684156</v>
      </c>
      <c r="AC36" s="24">
        <f t="shared" si="3"/>
        <v>17.730935562209559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65.838136484350741</v>
      </c>
      <c r="AO36" s="62">
        <f t="shared" si="36"/>
        <v>288.65503609903755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43.076405935614773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0.37534858021600614</v>
      </c>
      <c r="AX36" s="23">
        <f t="shared" si="6"/>
        <v>43.451754515830778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18.8</v>
      </c>
      <c r="N37" s="14">
        <f>IF('Données projet'!$A$36&gt;35,N36+M37-V36,IF(A37&lt;'Données projet'!$A$36,$K$205^A37,IF(A37='Données projet'!$A$36,'Données projet'!$B$36,N36+M37-V36)))</f>
        <v>277.20000000000005</v>
      </c>
      <c r="O37" s="14">
        <f>N37*VLOOKUP('Données projet'!$B$9,Paramètres!$A$1:$I$89,3,0)*VLOOKUP('Données projet'!$B$9,Paramètres!$A$1:$I$89,5,0)</f>
        <v>165.76560000000003</v>
      </c>
      <c r="P37" s="14">
        <f t="shared" si="33"/>
        <v>42.140271125684265</v>
      </c>
      <c r="Q37" s="22">
        <f t="shared" si="53"/>
        <v>362.10272554390014</v>
      </c>
      <c r="R37" s="62">
        <f t="shared" si="0"/>
        <v>655.43605887723345</v>
      </c>
      <c r="S37" s="62">
        <f ca="1">AVERAGE(OFFSET($R$3,0,0,'Données projet'!$E$9+1,1))-AVERAGE(OFFSET($H$3,0,0,'Données projet'!$E$9+1,1))</f>
        <v>348.62416478262719</v>
      </c>
      <c r="T37" s="62">
        <f t="shared" si="34"/>
        <v>371.70674704563288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6.4709621117860809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7.870482994807908</v>
      </c>
      <c r="AC37" s="24">
        <f t="shared" si="3"/>
        <v>14.341445106593989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65.838136484350741</v>
      </c>
      <c r="AO37" s="62">
        <f t="shared" si="36"/>
        <v>288.65503609903755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42.231703889230644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0.26541152637948073</v>
      </c>
      <c r="AX37" s="23">
        <f t="shared" si="6"/>
        <v>42.497115415610125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296</v>
      </c>
      <c r="L38" s="13">
        <f>VLOOKUP(A38,'Données projet'!$A$35:$I$55,9,0)</f>
        <v>18.8</v>
      </c>
      <c r="M38" s="13">
        <f t="array" ref="M38">INDEX(L:L,MIN(IF(ISNUMBER(L38:L234),ROW(L38:L234),"")))</f>
        <v>18.8</v>
      </c>
      <c r="N38" s="14">
        <f>IF('Données projet'!$A$36&gt;35,N37+M38-V37,IF(A38&lt;'Données projet'!$A$36,$K$205^A38,IF(A38='Données projet'!$A$36,'Données projet'!$B$36,N37+M38-V37)))</f>
        <v>296.00000000000006</v>
      </c>
      <c r="O38" s="14">
        <f>N38*VLOOKUP('Données projet'!$B$9,Paramètres!$A$1:$I$89,3,0)*VLOOKUP('Données projet'!$B$9,Paramètres!$A$1:$I$89,5,0)</f>
        <v>177.00800000000004</v>
      </c>
      <c r="P38" s="14">
        <f t="shared" si="33"/>
        <v>44.65587329900309</v>
      </c>
      <c r="Q38" s="22">
        <f t="shared" si="53"/>
        <v>386.06457932909711</v>
      </c>
      <c r="R38" s="62">
        <f t="shared" si="0"/>
        <v>679.39791266243037</v>
      </c>
      <c r="S38" s="62">
        <f ca="1">AVERAGE(OFFSET($R$3,0,0,'Données projet'!$E$9+1,1))-AVERAGE(OFFSET($H$3,0,0,'Données projet'!$E$9+1,1))</f>
        <v>348.62416478262719</v>
      </c>
      <c r="T38" s="62">
        <f t="shared" si="34"/>
        <v>371.70674704563288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52</v>
      </c>
      <c r="W38" s="17">
        <f>IF(ISNA(VLOOKUP(A38,'Données projet'!$A$35:$I$55,5,0)),0%,VLOOKUP(A38,'Données projet'!$A$35:$I$55,5,0)*VLOOKUP('Données projet'!$B$9,Paramètres!$A$1:$I$89,7,0))</f>
        <v>0.15300000000000002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0.66</v>
      </c>
      <c r="Z38" s="23">
        <f>EXP(-LN(2)/35)*Z37+(1-EXP(-LN(2)/35))/(LN(2)/35)*V38*W38*VLOOKUP('Données projet'!$B$9,Paramètres!$A$1:$I$89,3,0)*0.475*44/12</f>
        <v>12.655450282542358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28.802482942604847</v>
      </c>
      <c r="AC38" s="24">
        <f t="shared" si="3"/>
        <v>41.457933225147201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65.838136484350741</v>
      </c>
      <c r="AO38" s="62">
        <f t="shared" si="36"/>
        <v>288.65503609903755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41.403565934758731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0.18767429010800307</v>
      </c>
      <c r="AX38" s="23">
        <f t="shared" si="6"/>
        <v>41.591240224866738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17.600000000000001</v>
      </c>
      <c r="N39" s="14">
        <f>IF('Données projet'!$A$36&gt;35,N38+M39-V38,IF(A39&lt;'Données projet'!$A$36,$K$205^A39,IF(A39='Données projet'!$A$36,'Données projet'!$B$36,N38+M39-V38)))</f>
        <v>261.60000000000008</v>
      </c>
      <c r="O39" s="14">
        <f>N39*VLOOKUP('Données projet'!$B$9,Paramètres!$A$1:$I$89,3,0)*VLOOKUP('Données projet'!$B$9,Paramètres!$A$1:$I$89,5,0)</f>
        <v>156.43680000000006</v>
      </c>
      <c r="P39" s="14">
        <f t="shared" si="33"/>
        <v>40.037775291207829</v>
      </c>
      <c r="Q39" s="22">
        <f t="shared" si="53"/>
        <v>342.1932186321871</v>
      </c>
      <c r="R39" s="62">
        <f t="shared" si="0"/>
        <v>635.52655196552041</v>
      </c>
      <c r="S39" s="62">
        <f ca="1">AVERAGE(OFFSET($R$3,0,0,'Données projet'!$E$9+1,1))-AVERAGE(OFFSET($H$3,0,0,'Données projet'!$E$9+1,1))</f>
        <v>348.62416478262719</v>
      </c>
      <c r="T39" s="62">
        <f t="shared" si="34"/>
        <v>371.70674704563288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12.40728462156418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20.366431003725754</v>
      </c>
      <c r="AC39" s="24">
        <f t="shared" si="3"/>
        <v>32.773715625289938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65.838136484350741</v>
      </c>
      <c r="AO39" s="62">
        <f t="shared" si="36"/>
        <v>288.65503609903755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40.591667260459737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0.13270576318974037</v>
      </c>
      <c r="AX39" s="23">
        <f t="shared" si="6"/>
        <v>40.724373023649477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17.600000000000001</v>
      </c>
      <c r="N40" s="14">
        <f>IF('Données projet'!$A$36&gt;35,N39+M40-V39,IF(A40&lt;'Données projet'!$A$36,$K$205^A40,IF(A40='Données projet'!$A$36,'Données projet'!$B$36,N39+M40-V39)))</f>
        <v>279.2000000000001</v>
      </c>
      <c r="O40" s="14">
        <f>N40*VLOOKUP('Données projet'!$B$9,Paramètres!$A$1:$I$89,3,0)*VLOOKUP('Données projet'!$B$9,Paramètres!$A$1:$I$89,5,0)</f>
        <v>166.96160000000006</v>
      </c>
      <c r="P40" s="14">
        <f t="shared" si="33"/>
        <v>42.408810446399933</v>
      </c>
      <c r="Q40" s="22">
        <f t="shared" si="53"/>
        <v>364.6534648608133</v>
      </c>
      <c r="R40" s="62">
        <f t="shared" si="0"/>
        <v>657.98679819414656</v>
      </c>
      <c r="S40" s="62">
        <f ca="1">AVERAGE(OFFSET($R$3,0,0,'Données projet'!$E$9+1,1))-AVERAGE(OFFSET($H$3,0,0,'Données projet'!$E$9+1,1))</f>
        <v>348.62416478262719</v>
      </c>
      <c r="T40" s="62">
        <f t="shared" si="34"/>
        <v>371.70674704563288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12.163985337831678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14.401241471302425</v>
      </c>
      <c r="AC40" s="24">
        <f t="shared" si="3"/>
        <v>26.565226809134103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65.838136484350741</v>
      </c>
      <c r="AO40" s="62">
        <f t="shared" si="36"/>
        <v>288.65503609903755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39.795689423954457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9.3837145054001536E-2</v>
      </c>
      <c r="AX40" s="23">
        <f t="shared" si="6"/>
        <v>39.88952656900846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17.600000000000001</v>
      </c>
      <c r="N41" s="14">
        <f>IF('Données projet'!$A$36&gt;35,N40+M41-V40,IF(A41&lt;'Données projet'!$A$36,$K$205^A41,IF(A41='Données projet'!$A$36,'Données projet'!$B$36,N40+M41-V40)))</f>
        <v>296.80000000000013</v>
      </c>
      <c r="O41" s="14">
        <f>N41*VLOOKUP('Données projet'!$B$9,Paramètres!$A$1:$I$89,3,0)*VLOOKUP('Données projet'!$B$9,Paramètres!$A$1:$I$89,5,0)</f>
        <v>177.48640000000012</v>
      </c>
      <c r="P41" s="14">
        <f t="shared" si="33"/>
        <v>44.762499594286361</v>
      </c>
      <c r="Q41" s="22">
        <f t="shared" si="53"/>
        <v>387.08350012671559</v>
      </c>
      <c r="R41" s="62">
        <f t="shared" si="0"/>
        <v>680.41683346004891</v>
      </c>
      <c r="S41" s="62">
        <f ca="1">AVERAGE(OFFSET($R$3,0,0,'Données projet'!$E$9+1,1))-AVERAGE(OFFSET($H$3,0,0,'Données projet'!$E$9+1,1))</f>
        <v>348.62416478262719</v>
      </c>
      <c r="T41" s="62">
        <f t="shared" si="34"/>
        <v>371.70674704563288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11.925457004655259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10.183215501862879</v>
      </c>
      <c r="AC41" s="24">
        <f t="shared" si="3"/>
        <v>22.10867250651814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65.838136484350741</v>
      </c>
      <c r="AO41" s="62">
        <f t="shared" si="36"/>
        <v>288.65503609903755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39.015320227324501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6.6352881594870183E-2</v>
      </c>
      <c r="AX41" s="23">
        <f t="shared" si="6"/>
        <v>39.081673108919375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17.600000000000001</v>
      </c>
      <c r="N42" s="14">
        <f>IF('Données projet'!$A$36&gt;35,N41+M42-V41,IF(A42&lt;'Données projet'!$A$36,$K$205^A42,IF(A42='Données projet'!$A$36,'Données projet'!$B$36,N41+M42-V41)))</f>
        <v>314.40000000000015</v>
      </c>
      <c r="O42" s="14">
        <f>N42*VLOOKUP('Données projet'!$B$9,Paramètres!$A$1:$I$89,3,0)*VLOOKUP('Données projet'!$B$9,Paramètres!$A$1:$I$89,5,0)</f>
        <v>188.01120000000012</v>
      </c>
      <c r="P42" s="14">
        <f t="shared" si="33"/>
        <v>47.099988496591031</v>
      </c>
      <c r="Q42" s="22">
        <f t="shared" si="53"/>
        <v>409.48531996489623</v>
      </c>
      <c r="R42" s="62">
        <f t="shared" si="0"/>
        <v>702.81865329822949</v>
      </c>
      <c r="S42" s="62">
        <f ca="1">AVERAGE(OFFSET($R$3,0,0,'Données projet'!$E$9+1,1))-AVERAGE(OFFSET($H$3,0,0,'Données projet'!$E$9+1,1))</f>
        <v>348.62416478262719</v>
      </c>
      <c r="T42" s="62">
        <f t="shared" si="34"/>
        <v>371.70674704563288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11.691606066604512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7.2006207356512135</v>
      </c>
      <c r="AC42" s="24">
        <f t="shared" si="3"/>
        <v>18.892226802255728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65.838136484350741</v>
      </c>
      <c r="AO42" s="62">
        <f t="shared" si="36"/>
        <v>288.65503609903755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38.250253594662247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4.6918572527000768E-2</v>
      </c>
      <c r="AX42" s="23">
        <f t="shared" si="6"/>
        <v>38.297172167189245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332</v>
      </c>
      <c r="L43" s="13">
        <f>VLOOKUP(A43,'Données projet'!$A$35:$I$55,9,0)</f>
        <v>17.600000000000001</v>
      </c>
      <c r="M43" s="13">
        <f t="array" ref="M43">INDEX(L:L,MIN(IF(ISNUMBER(L43:L239),ROW(L43:L239),"")))</f>
        <v>17.600000000000001</v>
      </c>
      <c r="N43" s="14">
        <f>IF('Données projet'!$A$36&gt;35,N42+M43-V42,IF(A43&lt;'Données projet'!$A$36,$K$205^A43,IF(A43='Données projet'!$A$36,'Données projet'!$B$36,N42+M43-V42)))</f>
        <v>332.00000000000017</v>
      </c>
      <c r="O43" s="14">
        <f>N43*VLOOKUP('Données projet'!$B$9,Paramètres!$A$1:$I$89,3,0)*VLOOKUP('Données projet'!$B$9,Paramètres!$A$1:$I$89,5,0)</f>
        <v>198.53600000000012</v>
      </c>
      <c r="P43" s="14">
        <f t="shared" si="33"/>
        <v>49.42228739122875</v>
      </c>
      <c r="Q43" s="22">
        <f t="shared" si="53"/>
        <v>431.86068387305687</v>
      </c>
      <c r="R43" s="62">
        <f t="shared" si="0"/>
        <v>725.19401720639019</v>
      </c>
      <c r="S43" s="62">
        <f ca="1">AVERAGE(OFFSET($R$3,0,0,'Données projet'!$E$9+1,1))-AVERAGE(OFFSET($H$3,0,0,'Données projet'!$E$9+1,1))</f>
        <v>348.62416478262719</v>
      </c>
      <c r="T43" s="62">
        <f t="shared" si="34"/>
        <v>371.70674704563288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48</v>
      </c>
      <c r="W43" s="17">
        <f>IF(ISNA(VLOOKUP(A43,'Données projet'!$A$35:$I$55,5,0)),0%,VLOOKUP(A43,'Données projet'!$A$35:$I$55,5,0)*VLOOKUP('Données projet'!$B$9,Paramètres!$A$1:$I$89,7,0))</f>
        <v>0.20250000000000001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0.55000000000000004</v>
      </c>
      <c r="Z43" s="23">
        <f>EXP(-LN(2)/35)*Z42+(1-EXP(-LN(2)/35))/(LN(2)/35)*V43*W43*VLOOKUP('Données projet'!$B$9,Paramètres!$A$1:$I$89,3,0)*0.475*44/12</f>
        <v>19.173076293923607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22.966385478441261</v>
      </c>
      <c r="AC43" s="24">
        <f t="shared" si="3"/>
        <v>42.139461772364868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65.838136484350741</v>
      </c>
      <c r="AO43" s="62">
        <f t="shared" si="36"/>
        <v>288.65503609903755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37.500189452021935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3.3176440797435092E-2</v>
      </c>
      <c r="AX43" s="23">
        <f t="shared" si="6"/>
        <v>37.533365892819369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20</v>
      </c>
      <c r="N44" s="14">
        <f>IF('Données projet'!$A$36&gt;35,N43+M44-V43,IF(A44&lt;'Données projet'!$A$36,$K$205^A44,IF(A44='Données projet'!$A$36,'Données projet'!$B$36,N43+M44-V43)))</f>
        <v>304.00000000000017</v>
      </c>
      <c r="O44" s="14">
        <f>N44*VLOOKUP('Données projet'!$B$9,Paramètres!$A$1:$I$89,3,0)*VLOOKUP('Données projet'!$B$9,Paramètres!$A$1:$I$89,5,0)</f>
        <v>181.79200000000012</v>
      </c>
      <c r="P44" s="14">
        <f t="shared" si="33"/>
        <v>45.720642997712574</v>
      </c>
      <c r="Q44" s="22">
        <f t="shared" si="53"/>
        <v>396.25118655434966</v>
      </c>
      <c r="R44" s="62">
        <f t="shared" si="0"/>
        <v>689.58451988768297</v>
      </c>
      <c r="S44" s="62">
        <f ca="1">AVERAGE(OFFSET($R$3,0,0,'Données projet'!$E$9+1,1))-AVERAGE(OFFSET($H$3,0,0,'Données projet'!$E$9+1,1))</f>
        <v>348.62416478262719</v>
      </c>
      <c r="T44" s="62">
        <f t="shared" si="34"/>
        <v>371.70674704563288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18.797103962221577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16.23968691115007</v>
      </c>
      <c r="AC44" s="24">
        <f t="shared" si="3"/>
        <v>35.036790873371643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65.838136484350741</v>
      </c>
      <c r="AO44" s="62">
        <f t="shared" si="36"/>
        <v>288.65503609903755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36.764833609724846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2.3459286263500384E-2</v>
      </c>
      <c r="AX44" s="23">
        <f t="shared" si="6"/>
        <v>36.788292895988349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20</v>
      </c>
      <c r="N45" s="14">
        <f>IF('Données projet'!$A$36&gt;35,N44+M45-V44,IF(A45&lt;'Données projet'!$A$36,$K$205^A45,IF(A45='Données projet'!$A$36,'Données projet'!$B$36,N44+M45-V44)))</f>
        <v>324.00000000000017</v>
      </c>
      <c r="O45" s="14">
        <f>N45*VLOOKUP('Données projet'!$B$9,Paramètres!$A$1:$I$89,3,0)*VLOOKUP('Données projet'!$B$9,Paramètres!$A$1:$I$89,5,0)</f>
        <v>193.75200000000009</v>
      </c>
      <c r="P45" s="14">
        <f t="shared" si="33"/>
        <v>48.368520355376113</v>
      </c>
      <c r="Q45" s="22">
        <f t="shared" si="53"/>
        <v>421.69323961894696</v>
      </c>
      <c r="R45" s="62">
        <f t="shared" si="0"/>
        <v>715.02657295228028</v>
      </c>
      <c r="S45" s="62">
        <f ca="1">AVERAGE(OFFSET($R$3,0,0,'Données projet'!$E$9+1,1))-AVERAGE(OFFSET($H$3,0,0,'Données projet'!$E$9+1,1))</f>
        <v>348.62416478262719</v>
      </c>
      <c r="T45" s="62">
        <f t="shared" si="34"/>
        <v>371.70674704563288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18.428504218623743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11.483192739220634</v>
      </c>
      <c r="AC45" s="24">
        <f t="shared" si="3"/>
        <v>29.911696957844377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65.838136484350741</v>
      </c>
      <c r="AO45" s="62">
        <f t="shared" si="36"/>
        <v>288.65503609903755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36.043897646972425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1.6588220398717546E-2</v>
      </c>
      <c r="AX45" s="23">
        <f t="shared" si="6"/>
        <v>36.060485867371142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20</v>
      </c>
      <c r="N46" s="14">
        <f>IF('Données projet'!$A$36&gt;35,N45+M46-V45,IF(A46&lt;'Données projet'!$A$36,$K$205^A46,IF(A46='Données projet'!$A$36,'Données projet'!$B$36,N45+M46-V45)))</f>
        <v>344.00000000000017</v>
      </c>
      <c r="O46" s="14">
        <f>N46*VLOOKUP('Données projet'!$B$9,Paramètres!$A$1:$I$89,3,0)*VLOOKUP('Données projet'!$B$9,Paramètres!$A$1:$I$89,5,0)</f>
        <v>205.71200000000013</v>
      </c>
      <c r="P46" s="14">
        <f t="shared" si="33"/>
        <v>50.997427696933762</v>
      </c>
      <c r="Q46" s="22">
        <f t="shared" si="53"/>
        <v>447.10225323882656</v>
      </c>
      <c r="R46" s="62">
        <f t="shared" si="0"/>
        <v>740.43558657215988</v>
      </c>
      <c r="S46" s="62">
        <f ca="1">AVERAGE(OFFSET($R$3,0,0,'Données projet'!$E$9+1,1))-AVERAGE(OFFSET($H$3,0,0,'Données projet'!$E$9+1,1))</f>
        <v>348.62416478262719</v>
      </c>
      <c r="T46" s="62">
        <f t="shared" si="34"/>
        <v>371.70674704563288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18.06713249117422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8.1198434555750367</v>
      </c>
      <c r="AC46" s="24">
        <f t="shared" si="3"/>
        <v>26.186975946749257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65.838136484350741</v>
      </c>
      <c r="AO46" s="62">
        <f t="shared" si="36"/>
        <v>288.65503609903755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35.33709879872206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1.1729643131750192E-2</v>
      </c>
      <c r="AX46" s="23">
        <f t="shared" si="6"/>
        <v>35.348828441853811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20</v>
      </c>
      <c r="N47" s="14">
        <f>IF('Données projet'!$A$36&gt;35,N46+M47-V46,IF(A47&lt;'Données projet'!$A$36,$K$205^A47,IF(A47='Données projet'!$A$36,'Données projet'!$B$36,N46+M47-V46)))</f>
        <v>364.00000000000017</v>
      </c>
      <c r="O47" s="14">
        <f>N47*VLOOKUP('Données projet'!$B$9,Paramètres!$A$1:$I$89,3,0)*VLOOKUP('Données projet'!$B$9,Paramètres!$A$1:$I$89,5,0)</f>
        <v>217.67200000000011</v>
      </c>
      <c r="P47" s="14">
        <f t="shared" si="33"/>
        <v>53.60859357546007</v>
      </c>
      <c r="Q47" s="22">
        <f t="shared" si="53"/>
        <v>472.48036714392646</v>
      </c>
      <c r="R47" s="62">
        <f t="shared" si="0"/>
        <v>765.81370047725977</v>
      </c>
      <c r="S47" s="62">
        <f ca="1">AVERAGE(OFFSET($R$3,0,0,'Données projet'!$E$9+1,1))-AVERAGE(OFFSET($H$3,0,0,'Données projet'!$E$9+1,1))</f>
        <v>348.62416478262719</v>
      </c>
      <c r="T47" s="62">
        <f t="shared" si="34"/>
        <v>371.70674704563288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17.712847042884992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5.7415963696103178</v>
      </c>
      <c r="AC47" s="24">
        <f t="shared" si="3"/>
        <v>23.454443412495309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65.838136484350741</v>
      </c>
      <c r="AO47" s="62">
        <f t="shared" si="36"/>
        <v>288.65503609903755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34.644159844781157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8.2941101993587729E-3</v>
      </c>
      <c r="AX47" s="23">
        <f t="shared" si="6"/>
        <v>34.652453954980516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384</v>
      </c>
      <c r="L48" s="13">
        <f>VLOOKUP(A48,'Données projet'!$A$35:$I$55,9,0)</f>
        <v>20</v>
      </c>
      <c r="M48" s="13">
        <f t="array" ref="M48">INDEX(L:L,MIN(IF(ISNUMBER(L48:L244),ROW(L48:L244),"")))</f>
        <v>20</v>
      </c>
      <c r="N48" s="14">
        <f>IF('Données projet'!$A$36&gt;35,N47+M48-V47,IF(A48&lt;'Données projet'!$A$36,$K$205^A48,IF(A48='Données projet'!$A$36,'Données projet'!$B$36,N47+M48-V47)))</f>
        <v>384.00000000000017</v>
      </c>
      <c r="O48" s="14">
        <f>N48*VLOOKUP('Données projet'!$B$9,Paramètres!$A$1:$I$89,3,0)*VLOOKUP('Données projet'!$B$9,Paramètres!$A$1:$I$89,5,0)</f>
        <v>229.63200000000015</v>
      </c>
      <c r="P48" s="14">
        <f t="shared" si="33"/>
        <v>56.20310391330672</v>
      </c>
      <c r="Q48" s="22">
        <f t="shared" si="53"/>
        <v>497.8294726490094</v>
      </c>
      <c r="R48" s="62">
        <f t="shared" si="0"/>
        <v>791.16280598234266</v>
      </c>
      <c r="S48" s="62">
        <f ca="1">AVERAGE(OFFSET($R$3,0,0,'Données projet'!$E$9+1,1))-AVERAGE(OFFSET($H$3,0,0,'Données projet'!$E$9+1,1))</f>
        <v>348.62416478262719</v>
      </c>
      <c r="T48" s="62">
        <f t="shared" si="34"/>
        <v>371.70674704563288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57</v>
      </c>
      <c r="W48" s="17">
        <f>IF(ISNA(VLOOKUP(A48,'Données projet'!$A$35:$I$55,5,0)),0%,VLOOKUP(A48,'Données projet'!$A$35:$I$55,5,0)*VLOOKUP('Données projet'!$B$9,Paramètres!$A$1:$I$89,7,0))</f>
        <v>0.23400000000000001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0.48</v>
      </c>
      <c r="Z48" s="23">
        <f>EXP(-LN(2)/35)*Z47+(1-EXP(-LN(2)/35))/(LN(2)/35)*V48*W48*VLOOKUP('Données projet'!$B$9,Paramètres!$A$1:$I$89,3,0)*0.475*44/12</f>
        <v>27.946351506722181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22.584691372661336</v>
      </c>
      <c r="AC48" s="24">
        <f t="shared" si="3"/>
        <v>50.53104287938352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65.838136484350741</v>
      </c>
      <c r="AO48" s="62">
        <f t="shared" si="36"/>
        <v>288.65503609903755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33.964809001076006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5.864821565875096E-3</v>
      </c>
      <c r="AX48" s="23">
        <f t="shared" si="6"/>
        <v>33.970673822641878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17.399999999999999</v>
      </c>
      <c r="N49" s="14">
        <f>IF('Données projet'!$A$36&gt;35,N48+M49-V48,IF(A49&lt;'Données projet'!$A$36,$K$205^A49,IF(A49='Données projet'!$A$36,'Données projet'!$B$36,N48+M49-V48)))</f>
        <v>344.40000000000015</v>
      </c>
      <c r="O49" s="14">
        <f>N49*VLOOKUP('Données projet'!$B$9,Paramètres!$A$1:$I$89,3,0)*VLOOKUP('Données projet'!$B$9,Paramètres!$A$1:$I$89,5,0)</f>
        <v>205.95120000000009</v>
      </c>
      <c r="P49" s="14">
        <f t="shared" si="33"/>
        <v>51.049821044529857</v>
      </c>
      <c r="Q49" s="22">
        <f t="shared" si="53"/>
        <v>447.61011165255627</v>
      </c>
      <c r="R49" s="62">
        <f t="shared" si="0"/>
        <v>740.94344498588953</v>
      </c>
      <c r="S49" s="62">
        <f ca="1">AVERAGE(OFFSET($R$3,0,0,'Données projet'!$E$9+1,1))-AVERAGE(OFFSET($H$3,0,0,'Données projet'!$E$9+1,1))</f>
        <v>348.62416478262719</v>
      </c>
      <c r="T49" s="62">
        <f t="shared" si="34"/>
        <v>371.70674704563288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27.398340599266664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15.969788420614147</v>
      </c>
      <c r="AC49" s="24">
        <f t="shared" si="3"/>
        <v>43.368129019880811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65.838136484350741</v>
      </c>
      <c r="AO49" s="62">
        <f t="shared" si="36"/>
        <v>288.65503609903755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33.298779813052811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4.1470550996793865E-3</v>
      </c>
      <c r="AX49" s="23">
        <f t="shared" si="6"/>
        <v>33.30292686815249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17.399999999999999</v>
      </c>
      <c r="N50" s="14">
        <f>IF('Données projet'!$A$36&gt;35,N49+M50-V49,IF(A50&lt;'Données projet'!$A$36,$K$205^A50,IF(A50='Données projet'!$A$36,'Données projet'!$B$36,N49+M50-V49)))</f>
        <v>361.80000000000013</v>
      </c>
      <c r="O50" s="14">
        <f>N50*VLOOKUP('Données projet'!$B$9,Paramètres!$A$1:$I$89,3,0)*VLOOKUP('Données projet'!$B$9,Paramètres!$A$1:$I$89,5,0)</f>
        <v>216.35640000000006</v>
      </c>
      <c r="P50" s="14">
        <f t="shared" si="33"/>
        <v>53.322199188237285</v>
      </c>
      <c r="Q50" s="22">
        <f t="shared" si="53"/>
        <v>469.69022691951341</v>
      </c>
      <c r="R50" s="62">
        <f t="shared" si="0"/>
        <v>763.02356025284666</v>
      </c>
      <c r="S50" s="62">
        <f ca="1">AVERAGE(OFFSET($R$3,0,0,'Données projet'!$E$9+1,1))-AVERAGE(OFFSET($H$3,0,0,'Données projet'!$E$9+1,1))</f>
        <v>348.62416478262719</v>
      </c>
      <c r="T50" s="62">
        <f t="shared" si="34"/>
        <v>371.70674704563288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26.861075851452703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11.29234568633067</v>
      </c>
      <c r="AC50" s="24">
        <f t="shared" si="3"/>
        <v>38.153421537783373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65.838136484350741</v>
      </c>
      <c r="AO50" s="62">
        <f t="shared" si="36"/>
        <v>288.65503609903755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32.645811051169062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2.932410782937548E-3</v>
      </c>
      <c r="AX50" s="23">
        <f t="shared" si="6"/>
        <v>32.648743461952002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17.399999999999999</v>
      </c>
      <c r="N51" s="14">
        <f>IF('Données projet'!$A$36&gt;35,N50+M51-V50,IF(A51&lt;'Données projet'!$A$36,$K$205^A51,IF(A51='Données projet'!$A$36,'Données projet'!$B$36,N50+M51-V50)))</f>
        <v>379.2000000000001</v>
      </c>
      <c r="O51" s="14">
        <f>N51*VLOOKUP('Données projet'!$B$9,Paramètres!$A$1:$I$89,3,0)*VLOOKUP('Données projet'!$B$9,Paramètres!$A$1:$I$89,5,0)</f>
        <v>226.76160000000007</v>
      </c>
      <c r="P51" s="14">
        <f t="shared" si="33"/>
        <v>55.581886910575967</v>
      </c>
      <c r="Q51" s="22">
        <f t="shared" si="53"/>
        <v>491.74823970258649</v>
      </c>
      <c r="R51" s="62">
        <f t="shared" si="0"/>
        <v>785.08157303591975</v>
      </c>
      <c r="S51" s="62">
        <f ca="1">AVERAGE(OFFSET($R$3,0,0,'Données projet'!$E$9+1,1))-AVERAGE(OFFSET($H$3,0,0,'Données projet'!$E$9+1,1))</f>
        <v>348.62416478262719</v>
      </c>
      <c r="T51" s="62">
        <f t="shared" si="34"/>
        <v>371.70674704563288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26.334346537644237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7.9848942103070755</v>
      </c>
      <c r="AC51" s="24">
        <f t="shared" si="3"/>
        <v>34.319240747951312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65.838136484350741</v>
      </c>
      <c r="AO51" s="62">
        <f t="shared" si="36"/>
        <v>288.65503609903755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32.005646608434233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2.0735275498396932E-3</v>
      </c>
      <c r="AX51" s="23">
        <f t="shared" si="6"/>
        <v>32.007720135984073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17.399999999999999</v>
      </c>
      <c r="N52" s="14">
        <f>IF('Données projet'!$A$36&gt;35,N51+M52-V51,IF(A52&lt;'Données projet'!$A$36,$K$205^A52,IF(A52='Données projet'!$A$36,'Données projet'!$B$36,N51+M52-V51)))</f>
        <v>396.60000000000008</v>
      </c>
      <c r="O52" s="14">
        <f>N52*VLOOKUP('Données projet'!$B$9,Paramètres!$A$1:$I$89,3,0)*VLOOKUP('Données projet'!$B$9,Paramètres!$A$1:$I$89,5,0)</f>
        <v>237.16680000000005</v>
      </c>
      <c r="P52" s="14">
        <f t="shared" si="33"/>
        <v>57.829533038824259</v>
      </c>
      <c r="Q52" s="22">
        <f t="shared" si="53"/>
        <v>513.78528004261909</v>
      </c>
      <c r="R52" s="62">
        <f t="shared" si="0"/>
        <v>807.11861337595246</v>
      </c>
      <c r="S52" s="62">
        <f ca="1">AVERAGE(OFFSET($R$3,0,0,'Données projet'!$E$9+1,1))-AVERAGE(OFFSET($H$3,0,0,'Données projet'!$E$9+1,1))</f>
        <v>348.62416478262719</v>
      </c>
      <c r="T52" s="62">
        <f t="shared" si="34"/>
        <v>371.70674704563288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25.817946064406396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5.6461728431653357</v>
      </c>
      <c r="AC52" s="24">
        <f t="shared" si="3"/>
        <v>31.464118907571731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65.838136484350741</v>
      </c>
      <c r="AO52" s="62">
        <f t="shared" si="36"/>
        <v>288.65503609903755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31.378035399959678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1.466205391468774E-3</v>
      </c>
      <c r="AX52" s="23">
        <f t="shared" si="6"/>
        <v>31.379501605351148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414</v>
      </c>
      <c r="L53" s="13">
        <f>VLOOKUP(A53,'Données projet'!$A$35:$I$55,9,0)</f>
        <v>17.399999999999999</v>
      </c>
      <c r="M53" s="13">
        <f t="array" ref="M53">INDEX(L:L,MIN(IF(ISNUMBER(L53:L249),ROW(L53:L249),"")))</f>
        <v>17.399999999999999</v>
      </c>
      <c r="N53" s="14">
        <f>IF('Données projet'!$A$36&gt;35,N52+M53-V52,IF(A53&lt;'Données projet'!$A$36,$K$205^A53,IF(A53='Données projet'!$A$36,'Données projet'!$B$36,N52+M53-V52)))</f>
        <v>414.00000000000006</v>
      </c>
      <c r="O53" s="14">
        <f>N53*VLOOKUP('Données projet'!$B$9,Paramètres!$A$1:$I$89,3,0)*VLOOKUP('Données projet'!$B$9,Paramètres!$A$1:$I$89,5,0)</f>
        <v>247.57200000000003</v>
      </c>
      <c r="P53" s="14">
        <f t="shared" si="33"/>
        <v>60.065726249156576</v>
      </c>
      <c r="Q53" s="22">
        <f t="shared" si="53"/>
        <v>535.80237321728112</v>
      </c>
      <c r="R53" s="62">
        <f t="shared" si="0"/>
        <v>829.13570655061449</v>
      </c>
      <c r="S53" s="62">
        <f ca="1">AVERAGE(OFFSET($R$3,0,0,'Données projet'!$E$9+1,1))-AVERAGE(OFFSET($H$3,0,0,'Données projet'!$E$9+1,1))</f>
        <v>348.62416478262719</v>
      </c>
      <c r="T53" s="62">
        <f t="shared" si="34"/>
        <v>371.70674704563288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47</v>
      </c>
      <c r="W53" s="17">
        <f>IF(ISNA(VLOOKUP(A53,'Données projet'!$A$35:$I$55,5,0)),0%,VLOOKUP(A53,'Données projet'!$A$35:$I$55,5,0)*VLOOKUP('Données projet'!$B$9,Paramètres!$A$1:$I$89,7,0))</f>
        <v>0.26100000000000001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0.42</v>
      </c>
      <c r="Z53" s="23">
        <f>EXP(-LN(2)/35)*Z52+(1-EXP(-LN(2)/35))/(LN(2)/35)*V53*W53*VLOOKUP('Données projet'!$B$9,Paramètres!$A$1:$I$89,3,0)*0.475*44/12</f>
        <v>35.042905662051908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17.357905905950656</v>
      </c>
      <c r="AC53" s="24">
        <f t="shared" si="3"/>
        <v>52.400811568002567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65.838136484350741</v>
      </c>
      <c r="AO53" s="62">
        <f t="shared" si="36"/>
        <v>288.65503609903755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30.762731264478273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1.0367637749198466E-3</v>
      </c>
      <c r="AX53" s="23">
        <f t="shared" si="6"/>
        <v>30.763768028253192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19.2</v>
      </c>
      <c r="N54" s="14">
        <f>IF('Données projet'!$A$36&gt;35,N53+M54-V53,IF(A54&lt;'Données projet'!$A$36,$K$205^A54,IF(A54='Données projet'!$A$36,'Données projet'!$B$36,N53+M54-V53)))</f>
        <v>386.20000000000005</v>
      </c>
      <c r="O54" s="14">
        <f>N54*VLOOKUP('Données projet'!$B$9,Paramètres!$A$1:$I$89,3,0)*VLOOKUP('Données projet'!$B$9,Paramètres!$A$1:$I$89,5,0)</f>
        <v>230.94760000000002</v>
      </c>
      <c r="P54" s="14">
        <f t="shared" si="33"/>
        <v>56.487525751065782</v>
      </c>
      <c r="Q54" s="22">
        <f t="shared" si="53"/>
        <v>500.61617734977295</v>
      </c>
      <c r="R54" s="62">
        <f t="shared" si="0"/>
        <v>793.94951068310627</v>
      </c>
      <c r="S54" s="62">
        <f ca="1">AVERAGE(OFFSET($R$3,0,0,'Données projet'!$E$9+1,1))-AVERAGE(OFFSET($H$3,0,0,'Données projet'!$E$9+1,1))</f>
        <v>348.62416478262719</v>
      </c>
      <c r="T54" s="62">
        <f t="shared" si="34"/>
        <v>371.70674704563288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34.355735656081009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12.273892973295732</v>
      </c>
      <c r="AC54" s="24">
        <f t="shared" si="3"/>
        <v>46.629628629376739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65.838136484350741</v>
      </c>
      <c r="AO54" s="62">
        <f t="shared" si="36"/>
        <v>288.65503609903755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30.159492867795191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7.33102695734387E-4</v>
      </c>
      <c r="AX54" s="23">
        <f t="shared" si="6"/>
        <v>30.160225970490924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19.2</v>
      </c>
      <c r="N55" s="14">
        <f>IF('Données projet'!$A$36&gt;35,N54+M55-V54,IF(A55&lt;'Données projet'!$A$36,$K$205^A55,IF(A55='Données projet'!$A$36,'Données projet'!$B$36,N54+M55-V54)))</f>
        <v>405.40000000000003</v>
      </c>
      <c r="O55" s="14">
        <f>N55*VLOOKUP('Données projet'!$B$9,Paramètres!$A$1:$I$89,3,0)*VLOOKUP('Données projet'!$B$9,Paramètres!$A$1:$I$89,5,0)</f>
        <v>242.42920000000007</v>
      </c>
      <c r="P55" s="14">
        <f t="shared" si="33"/>
        <v>58.961877963646693</v>
      </c>
      <c r="Q55" s="22">
        <f t="shared" si="53"/>
        <v>524.92279412001812</v>
      </c>
      <c r="R55" s="62">
        <f t="shared" si="0"/>
        <v>818.25612745335138</v>
      </c>
      <c r="S55" s="62">
        <f ca="1">AVERAGE(OFFSET($R$3,0,0,'Données projet'!$E$9+1,1))-AVERAGE(OFFSET($H$3,0,0,'Données projet'!$E$9+1,1))</f>
        <v>348.62416478262719</v>
      </c>
      <c r="T55" s="62">
        <f t="shared" si="34"/>
        <v>371.70674704563288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33.68204063479488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8.6789529529753295</v>
      </c>
      <c r="AC55" s="24">
        <f t="shared" si="3"/>
        <v>42.36099358777021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65.838136484350741</v>
      </c>
      <c r="AO55" s="62">
        <f t="shared" si="36"/>
        <v>288.65503609903755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29.568083608131975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5.1838188745992331E-4</v>
      </c>
      <c r="AX55" s="23">
        <f t="shared" si="6"/>
        <v>29.568601990019435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19.2</v>
      </c>
      <c r="N56" s="14">
        <f>IF('Données projet'!$A$36&gt;35,N55+M56-V55,IF(A56&lt;'Données projet'!$A$36,$K$205^A56,IF(A56='Données projet'!$A$36,'Données projet'!$B$36,N55+M56-V55)))</f>
        <v>424.6</v>
      </c>
      <c r="O56" s="14">
        <f>N56*VLOOKUP('Données projet'!$B$9,Paramètres!$A$1:$I$89,3,0)*VLOOKUP('Données projet'!$B$9,Paramètres!$A$1:$I$89,5,0)</f>
        <v>253.91080000000005</v>
      </c>
      <c r="P56" s="14">
        <f t="shared" si="33"/>
        <v>61.422621781167194</v>
      </c>
      <c r="Q56" s="22">
        <f t="shared" si="53"/>
        <v>549.20570960219959</v>
      </c>
      <c r="R56" s="62">
        <f t="shared" si="0"/>
        <v>842.53904293553296</v>
      </c>
      <c r="S56" s="62">
        <f ca="1">AVERAGE(OFFSET($R$3,0,0,'Données projet'!$E$9+1,1))-AVERAGE(OFFSET($H$3,0,0,'Données projet'!$E$9+1,1))</f>
        <v>348.62416478262719</v>
      </c>
      <c r="T56" s="62">
        <f t="shared" si="34"/>
        <v>371.70674704563288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33.021556361962787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6.1369464866478669</v>
      </c>
      <c r="AC56" s="24">
        <f t="shared" si="3"/>
        <v>39.158502848610652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65.838136484350741</v>
      </c>
      <c r="AO56" s="62">
        <f t="shared" si="36"/>
        <v>288.65503609903755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28.988271523326723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3.665513478671935E-4</v>
      </c>
      <c r="AX56" s="23">
        <f t="shared" si="6"/>
        <v>28.98863807467459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19.2</v>
      </c>
      <c r="N57" s="14">
        <f>IF('Données projet'!$A$36&gt;35,N56+M57-V56,IF(A57&lt;'Données projet'!$A$36,$K$205^A57,IF(A57='Données projet'!$A$36,'Données projet'!$B$36,N56+M57-V56)))</f>
        <v>443.8</v>
      </c>
      <c r="O57" s="14">
        <f>N57*VLOOKUP('Données projet'!$B$9,Paramètres!$A$1:$I$89,3,0)*VLOOKUP('Données projet'!$B$9,Paramètres!$A$1:$I$89,5,0)</f>
        <v>265.39240000000007</v>
      </c>
      <c r="P57" s="14">
        <f t="shared" si="33"/>
        <v>63.870442862391819</v>
      </c>
      <c r="Q57" s="22">
        <f t="shared" si="53"/>
        <v>573.46611798533252</v>
      </c>
      <c r="R57" s="62">
        <f t="shared" si="0"/>
        <v>866.79945131866589</v>
      </c>
      <c r="S57" s="62">
        <f ca="1">AVERAGE(OFFSET($R$3,0,0,'Données projet'!$E$9+1,1))-AVERAGE(OFFSET($H$3,0,0,'Données projet'!$E$9+1,1))</f>
        <v>348.62416478262719</v>
      </c>
      <c r="T57" s="62">
        <f t="shared" si="34"/>
        <v>371.70674704563288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32.374023782865301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4.3394764764876648</v>
      </c>
      <c r="AC57" s="24">
        <f t="shared" si="3"/>
        <v>36.713500259352969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65.838136484350741</v>
      </c>
      <c r="AO57" s="62">
        <f t="shared" si="36"/>
        <v>288.65503609903755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28.419829199854053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2.5919094372996165E-4</v>
      </c>
      <c r="AX57" s="23">
        <f t="shared" si="6"/>
        <v>28.420088390797783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463</v>
      </c>
      <c r="L58" s="13">
        <f>VLOOKUP(A58,'Données projet'!$A$35:$I$55,9,0)</f>
        <v>19.2</v>
      </c>
      <c r="M58" s="13">
        <f t="array" ref="M58">INDEX(L:L,MIN(IF(ISNUMBER(L58:L254),ROW(L58:L254),"")))</f>
        <v>19.2</v>
      </c>
      <c r="N58" s="14">
        <f>IF('Données projet'!$A$36&gt;35,N57+M58-V57,IF(A58&lt;'Données projet'!$A$36,$K$205^A58,IF(A58='Données projet'!$A$36,'Données projet'!$B$36,N57+M58-V57)))</f>
        <v>463</v>
      </c>
      <c r="O58" s="14">
        <f>N58*VLOOKUP('Données projet'!$B$9,Paramètres!$A$1:$I$89,3,0)*VLOOKUP('Données projet'!$B$9,Paramètres!$A$1:$I$89,5,0)</f>
        <v>276.87400000000002</v>
      </c>
      <c r="P58" s="14">
        <f t="shared" si="33"/>
        <v>66.305964184031993</v>
      </c>
      <c r="Q58" s="22">
        <f t="shared" si="53"/>
        <v>597.7051042871891</v>
      </c>
      <c r="R58" s="62">
        <f t="shared" si="0"/>
        <v>891.03843762052247</v>
      </c>
      <c r="S58" s="62">
        <f ca="1">AVERAGE(OFFSET($R$3,0,0,'Données projet'!$E$9+1,1))-AVERAGE(OFFSET($H$3,0,0,'Données projet'!$E$9+1,1))</f>
        <v>348.62416478262719</v>
      </c>
      <c r="T58" s="62">
        <f t="shared" si="34"/>
        <v>371.70674704563288</v>
      </c>
      <c r="U58" s="16">
        <f>IF(ISNA(VLOOKUP(A58,'Données projet'!$A$35:$I$55,3,0)),0,VLOOKUP(A58,'Données projet'!$A$35:$I$55,3,0))</f>
        <v>9</v>
      </c>
      <c r="V58" s="16">
        <f>IF(ISNA(VLOOKUP(A58,'Données projet'!$A$35:$I$55,4,0)),0,VLOOKUP(A58,'Données projet'!$A$35:$I$55,4,0))</f>
        <v>48</v>
      </c>
      <c r="W58" s="17">
        <f>IF(ISNA(VLOOKUP(A58,'Données projet'!$A$35:$I$55,5,0)),0%,VLOOKUP(A58,'Données projet'!$A$35:$I$55,5,0)*VLOOKUP('Données projet'!$B$9,Paramètres!$A$1:$I$89,7,0))</f>
        <v>0.28350000000000003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0.37</v>
      </c>
      <c r="Z58" s="23">
        <f>EXP(-LN(2)/35)*Z57+(1-EXP(-LN(2)/35))/(LN(2)/35)*V58*W58*VLOOKUP('Données projet'!$B$9,Paramètres!$A$1:$I$89,3,0)*0.475*44/12</f>
        <v>42.53421861024156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15.093323714557815</v>
      </c>
      <c r="AC58" s="24">
        <f t="shared" si="3"/>
        <v>57.627542324799379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65.838136484350741</v>
      </c>
      <c r="AO58" s="62">
        <f t="shared" si="36"/>
        <v>288.65503609903755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27.862533683629099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1.8327567393359675E-4</v>
      </c>
      <c r="AX58" s="23">
        <f t="shared" si="6"/>
        <v>27.862716959303032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17</v>
      </c>
      <c r="N59" s="14">
        <f>IF('Données projet'!$A$36&gt;35,N58+M59-V58,IF(A59&lt;'Données projet'!$A$36,$K$205^A59,IF(A59='Données projet'!$A$36,'Données projet'!$B$36,N58+M59-V58)))</f>
        <v>432</v>
      </c>
      <c r="O59" s="14">
        <f>N59*VLOOKUP('Données projet'!$B$9,Paramètres!$A$1:$I$89,3,0)*VLOOKUP('Données projet'!$B$9,Paramètres!$A$1:$I$89,5,0)</f>
        <v>258.33600000000001</v>
      </c>
      <c r="P59" s="14">
        <f t="shared" si="33"/>
        <v>62.367547966451262</v>
      </c>
      <c r="Q59" s="22">
        <f t="shared" si="53"/>
        <v>558.55867937490257</v>
      </c>
      <c r="R59" s="62">
        <f t="shared" si="0"/>
        <v>851.89201270823582</v>
      </c>
      <c r="S59" s="62">
        <f ca="1">AVERAGE(OFFSET($R$3,0,0,'Données projet'!$E$9+1,1))-AVERAGE(OFFSET($H$3,0,0,'Données projet'!$E$9+1,1))</f>
        <v>348.62416478262719</v>
      </c>
      <c r="T59" s="62">
        <f t="shared" si="34"/>
        <v>371.70674704563288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41.700148526606384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10.672591549207562</v>
      </c>
      <c r="AC59" s="24">
        <f t="shared" si="3"/>
        <v>52.372740075813944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65.838136484350741</v>
      </c>
      <c r="AO59" s="62">
        <f t="shared" si="36"/>
        <v>288.65503609903755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27.316166392560614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1.2959547186498083E-4</v>
      </c>
      <c r="AX59" s="23">
        <f t="shared" si="6"/>
        <v>27.316295988032479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17</v>
      </c>
      <c r="N60" s="14">
        <f>IF('Données projet'!$A$36&gt;35,N59+M60-V59,IF(A60&lt;'Données projet'!$A$36,$K$205^A60,IF(A60='Données projet'!$A$36,'Données projet'!$B$36,N59+M60-V59)))</f>
        <v>449</v>
      </c>
      <c r="O60" s="14">
        <f>N60*VLOOKUP('Données projet'!$B$9,Paramètres!$A$1:$I$89,3,0)*VLOOKUP('Données projet'!$B$9,Paramètres!$A$1:$I$89,5,0)</f>
        <v>268.50200000000001</v>
      </c>
      <c r="P60" s="14">
        <f t="shared" si="33"/>
        <v>64.531253013339168</v>
      </c>
      <c r="Q60" s="22">
        <f t="shared" si="53"/>
        <v>580.03291566489895</v>
      </c>
      <c r="R60" s="62">
        <f t="shared" si="0"/>
        <v>873.36624899823232</v>
      </c>
      <c r="S60" s="62">
        <f ca="1">AVERAGE(OFFSET($R$3,0,0,'Données projet'!$E$9+1,1))-AVERAGE(OFFSET($H$3,0,0,'Données projet'!$E$9+1,1))</f>
        <v>348.62416478262719</v>
      </c>
      <c r="T60" s="62">
        <f t="shared" si="34"/>
        <v>371.70674704563288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40.88243404857878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7.5466618572789086</v>
      </c>
      <c r="AC60" s="24">
        <f t="shared" si="3"/>
        <v>48.429095905857686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65.838136484350741</v>
      </c>
      <c r="AO60" s="62">
        <f t="shared" si="36"/>
        <v>288.65503609903755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26.780513030818842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9.1637836966798375E-5</v>
      </c>
      <c r="AX60" s="23">
        <f t="shared" si="6"/>
        <v>26.780604668655808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17</v>
      </c>
      <c r="N61" s="14">
        <f>IF('Données projet'!$A$36&gt;35,N60+M61-V60,IF(A61&lt;'Données projet'!$A$36,$K$205^A61,IF(A61='Données projet'!$A$36,'Données projet'!$B$36,N60+M61-V60)))</f>
        <v>466</v>
      </c>
      <c r="O61" s="14">
        <f>N61*VLOOKUP('Données projet'!$B$9,Paramètres!$A$1:$I$89,3,0)*VLOOKUP('Données projet'!$B$9,Paramètres!$A$1:$I$89,5,0)</f>
        <v>278.66800000000001</v>
      </c>
      <c r="P61" s="14">
        <f t="shared" si="33"/>
        <v>66.685440917424543</v>
      </c>
      <c r="Q61" s="22">
        <f t="shared" si="53"/>
        <v>601.49057626451452</v>
      </c>
      <c r="R61" s="62">
        <f t="shared" si="0"/>
        <v>894.82390959784789</v>
      </c>
      <c r="S61" s="62">
        <f ca="1">AVERAGE(OFFSET($R$3,0,0,'Données projet'!$E$9+1,1))-AVERAGE(OFFSET($H$3,0,0,'Données projet'!$E$9+1,1))</f>
        <v>348.62416478262719</v>
      </c>
      <c r="T61" s="62">
        <f t="shared" si="34"/>
        <v>371.70674704563288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40.08075445270871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5.3362957746037818</v>
      </c>
      <c r="AC61" s="24">
        <f t="shared" si="3"/>
        <v>45.417050227312494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65.838136484350741</v>
      </c>
      <c r="AO61" s="62">
        <f t="shared" si="36"/>
        <v>288.65503609903755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26.255363504784537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6.4797735932490413E-5</v>
      </c>
      <c r="AX61" s="23">
        <f t="shared" si="6"/>
        <v>26.255428302520471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17</v>
      </c>
      <c r="N62" s="14">
        <f>IF('Données projet'!$A$36&gt;35,N61+M62-V61,IF(A62&lt;'Données projet'!$A$36,$K$205^A62,IF(A62='Données projet'!$A$36,'Données projet'!$B$36,N61+M62-V61)))</f>
        <v>483</v>
      </c>
      <c r="O62" s="14">
        <f>N62*VLOOKUP('Données projet'!$B$9,Paramètres!$A$1:$I$89,3,0)*VLOOKUP('Données projet'!$B$9,Paramètres!$A$1:$I$89,5,0)</f>
        <v>288.834</v>
      </c>
      <c r="P62" s="14">
        <f t="shared" si="33"/>
        <v>68.830498636563377</v>
      </c>
      <c r="Q62" s="22">
        <f t="shared" si="53"/>
        <v>622.93233512534789</v>
      </c>
      <c r="R62" s="62">
        <f t="shared" si="0"/>
        <v>916.26566845868115</v>
      </c>
      <c r="S62" s="62">
        <f ca="1">AVERAGE(OFFSET($R$3,0,0,'Données projet'!$E$9+1,1))-AVERAGE(OFFSET($H$3,0,0,'Données projet'!$E$9+1,1))</f>
        <v>348.62416478262719</v>
      </c>
      <c r="T62" s="62">
        <f t="shared" si="34"/>
        <v>371.70674704563288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39.294795304737384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3.7733309286394547</v>
      </c>
      <c r="AC62" s="24">
        <f t="shared" si="3"/>
        <v>43.068126233376837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65.838136484350741</v>
      </c>
      <c r="AO62" s="62">
        <f t="shared" si="36"/>
        <v>288.65503609903755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25.740511840646182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4.5818918483399188E-5</v>
      </c>
      <c r="AX62" s="23">
        <f t="shared" si="6"/>
        <v>25.740557659564665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500</v>
      </c>
      <c r="L63" s="13">
        <f>VLOOKUP(A63,'Données projet'!$A$35:$I$55,9,0)</f>
        <v>17</v>
      </c>
      <c r="M63" s="13">
        <f t="array" ref="M63">INDEX(L:L,MIN(IF(ISNUMBER(L63:L259),ROW(L63:L259),"")))</f>
        <v>17</v>
      </c>
      <c r="N63" s="14">
        <f>IF('Données projet'!$A$36&gt;35,N62+M63-V62,IF(A63&lt;'Données projet'!$A$36,$K$205^A63,IF(A63='Données projet'!$A$36,'Données projet'!$B$36,N62+M63-V62)))</f>
        <v>500</v>
      </c>
      <c r="O63" s="14">
        <f>N63*VLOOKUP('Données projet'!$B$9,Paramètres!$A$1:$I$89,3,0)*VLOOKUP('Données projet'!$B$9,Paramètres!$A$1:$I$89,5,0)</f>
        <v>299</v>
      </c>
      <c r="P63" s="14">
        <f t="shared" si="33"/>
        <v>70.966784344875109</v>
      </c>
      <c r="Q63" s="22">
        <f t="shared" si="53"/>
        <v>644.35881606732414</v>
      </c>
      <c r="R63" s="62">
        <f t="shared" si="0"/>
        <v>937.6921494006574</v>
      </c>
      <c r="S63" s="62">
        <f ca="1">AVERAGE(OFFSET($R$3,0,0,'Données projet'!$E$9+1,1))-AVERAGE(OFFSET($H$3,0,0,'Données projet'!$E$9+1,1))</f>
        <v>348.62416478262719</v>
      </c>
      <c r="T63" s="62">
        <f t="shared" si="34"/>
        <v>371.70674704563288</v>
      </c>
      <c r="U63" s="16">
        <f>IF(ISNA(VLOOKUP(A63,'Données projet'!$A$35:$I$55,3,0)),0,VLOOKUP(A63,'Données projet'!$A$35:$I$55,3,0))</f>
        <v>10</v>
      </c>
      <c r="V63" s="16">
        <f>IF(ISNA(VLOOKUP(A63,'Données projet'!$A$35:$I$55,4,0)),0,VLOOKUP(A63,'Données projet'!$A$35:$I$55,4,0))</f>
        <v>32</v>
      </c>
      <c r="W63" s="17">
        <f>IF(ISNA(VLOOKUP(A63,'Données projet'!$A$35:$I$55,5,0)),0%,VLOOKUP(A63,'Données projet'!$A$35:$I$55,5,0)*VLOOKUP('Données projet'!$B$9,Paramètres!$A$1:$I$89,7,0))</f>
        <v>0.39150000000000001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0.13</v>
      </c>
      <c r="Z63" s="23">
        <f>EXP(-LN(2)/35)*Z62+(1-EXP(-LN(2)/35))/(LN(2)/35)*V63*W63*VLOOKUP('Données projet'!$B$9,Paramètres!$A$1:$I$89,3,0)*0.475*44/12</f>
        <v>48.462529635922472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5.4847795292125303</v>
      </c>
      <c r="AC63" s="24">
        <f t="shared" si="3"/>
        <v>53.947309165135003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65.838136484350741</v>
      </c>
      <c r="AO63" s="62">
        <f t="shared" si="36"/>
        <v>288.65503609903755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25.23575610361307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3.2398867966245207E-5</v>
      </c>
      <c r="AX63" s="23">
        <f t="shared" si="6"/>
        <v>25.235788502481036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17.399999999999999</v>
      </c>
      <c r="N64" s="14">
        <f>IF('Données projet'!$A$36&gt;35,N63+M64-V63,IF(A64&lt;'Données projet'!$A$36,$K$205^A64,IF(A64='Données projet'!$A$36,'Données projet'!$B$36,N63+M64-V63)))</f>
        <v>485.4</v>
      </c>
      <c r="O64" s="14">
        <f>N64*VLOOKUP('Données projet'!$B$9,Paramètres!$A$1:$I$89,3,0)*VLOOKUP('Données projet'!$B$9,Paramètres!$A$1:$I$89,5,0)</f>
        <v>290.26920000000001</v>
      </c>
      <c r="P64" s="14">
        <f t="shared" si="33"/>
        <v>69.13261576818384</v>
      </c>
      <c r="Q64" s="22">
        <f t="shared" si="53"/>
        <v>625.95816246292009</v>
      </c>
      <c r="R64" s="62">
        <f t="shared" si="0"/>
        <v>919.29149579625346</v>
      </c>
      <c r="S64" s="62">
        <f ca="1">AVERAGE(OFFSET($R$3,0,0,'Données projet'!$E$9+1,1))-AVERAGE(OFFSET($H$3,0,0,'Données projet'!$E$9+1,1))</f>
        <v>348.62416478262719</v>
      </c>
      <c r="T64" s="62">
        <f t="shared" si="34"/>
        <v>371.70674704563288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47.51220898898638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3.8783247984193401</v>
      </c>
      <c r="AC64" s="24">
        <f t="shared" si="3"/>
        <v>51.390533787405722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65.838136484350741</v>
      </c>
      <c r="AO64" s="62">
        <f t="shared" si="36"/>
        <v>288.65503609903755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24.740898318712578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2.2909459241699594E-5</v>
      </c>
      <c r="AX64" s="23">
        <f t="shared" si="6"/>
        <v>24.740921228171821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17.399999999999999</v>
      </c>
      <c r="N65" s="14">
        <f>IF('Données projet'!$A$36&gt;35,N64+M65-V64,IF(A65&lt;'Données projet'!$A$36,$K$205^A65,IF(A65='Données projet'!$A$36,'Données projet'!$B$36,N64+M65-V64)))</f>
        <v>502.79999999999995</v>
      </c>
      <c r="O65" s="14">
        <f>N65*VLOOKUP('Données projet'!$B$9,Paramètres!$A$1:$I$89,3,0)*VLOOKUP('Données projet'!$B$9,Paramètres!$A$1:$I$89,5,0)</f>
        <v>300.67439999999999</v>
      </c>
      <c r="P65" s="14">
        <f t="shared" si="33"/>
        <v>71.317825137860439</v>
      </c>
      <c r="Q65" s="22">
        <f t="shared" si="53"/>
        <v>647.88645878177363</v>
      </c>
      <c r="R65" s="62">
        <f t="shared" si="0"/>
        <v>941.21979211510688</v>
      </c>
      <c r="S65" s="62">
        <f ca="1">AVERAGE(OFFSET($R$3,0,0,'Données projet'!$E$9+1,1))-AVERAGE(OFFSET($H$3,0,0,'Données projet'!$E$9+1,1))</f>
        <v>348.62416478262719</v>
      </c>
      <c r="T65" s="62">
        <f t="shared" si="34"/>
        <v>371.70674704563288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46.580523550298345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2.7423897646062656</v>
      </c>
      <c r="AC65" s="24">
        <f t="shared" si="3"/>
        <v>49.322913314904611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65.838136484350741</v>
      </c>
      <c r="AO65" s="62">
        <f t="shared" si="36"/>
        <v>288.65503609903755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24.255744393140539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1.6199433983122603E-5</v>
      </c>
      <c r="AX65" s="23">
        <f t="shared" si="6"/>
        <v>24.255760592574521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17.399999999999999</v>
      </c>
      <c r="N66" s="14">
        <f>IF('Données projet'!$A$36&gt;35,N65+M66-V65,IF(A66&lt;'Données projet'!$A$36,$K$205^A66,IF(A66='Données projet'!$A$36,'Données projet'!$B$36,N65+M66-V65)))</f>
        <v>520.19999999999993</v>
      </c>
      <c r="O66" s="14">
        <f>N66*VLOOKUP('Données projet'!$B$9,Paramètres!$A$1:$I$89,3,0)*VLOOKUP('Données projet'!$B$9,Paramètres!$A$1:$I$89,5,0)</f>
        <v>311.07959999999997</v>
      </c>
      <c r="P66" s="14">
        <f t="shared" si="33"/>
        <v>73.49424798183118</v>
      </c>
      <c r="Q66" s="22">
        <f t="shared" si="53"/>
        <v>669.79945190168917</v>
      </c>
      <c r="R66" s="62">
        <f t="shared" si="0"/>
        <v>963.13278523502254</v>
      </c>
      <c r="S66" s="62">
        <f ca="1">AVERAGE(OFFSET($R$3,0,0,'Données projet'!$E$9+1,1))-AVERAGE(OFFSET($H$3,0,0,'Données projet'!$E$9+1,1))</f>
        <v>348.62416478262719</v>
      </c>
      <c r="T66" s="62">
        <f t="shared" si="34"/>
        <v>371.70674704563288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45.667107894790973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1.9391623992096703</v>
      </c>
      <c r="AC66" s="24">
        <f t="shared" si="3"/>
        <v>47.606270294000645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65.838136484350741</v>
      </c>
      <c r="AO66" s="62">
        <f t="shared" si="36"/>
        <v>288.65503609903755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23.780104040134294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1.1454729620849797E-5</v>
      </c>
      <c r="AX66" s="23">
        <f t="shared" si="6"/>
        <v>23.780115494863914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17.399999999999999</v>
      </c>
      <c r="N67" s="14">
        <f>IF('Données projet'!$A$36&gt;35,N66+M67-V66,IF(A67&lt;'Données projet'!$A$36,$K$205^A67,IF(A67='Données projet'!$A$36,'Données projet'!$B$36,N66+M67-V66)))</f>
        <v>537.59999999999991</v>
      </c>
      <c r="O67" s="14">
        <f>N67*VLOOKUP('Données projet'!$B$9,Paramètres!$A$1:$I$89,3,0)*VLOOKUP('Données projet'!$B$9,Paramètres!$A$1:$I$89,5,0)</f>
        <v>321.48479999999995</v>
      </c>
      <c r="P67" s="14">
        <f t="shared" si="33"/>
        <v>75.662211893590367</v>
      </c>
      <c r="Q67" s="22">
        <f t="shared" ref="Q67:Q98" si="54">(O67+P67)*0.475*44/12</f>
        <v>691.69771238133637</v>
      </c>
      <c r="R67" s="62">
        <f t="shared" ref="R67:R130" si="55">Q67+(I67+J67)*44/12</f>
        <v>985.03104571466974</v>
      </c>
      <c r="S67" s="62">
        <f ca="1">AVERAGE(OFFSET($R$3,0,0,'Données projet'!$E$9+1,1))-AVERAGE(OFFSET($H$3,0,0,'Données projet'!$E$9+1,1))</f>
        <v>348.62416478262719</v>
      </c>
      <c r="T67" s="62">
        <f t="shared" si="34"/>
        <v>371.70674704563288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44.771603763159568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1.371194882303133</v>
      </c>
      <c r="AC67" s="24">
        <f t="shared" si="3"/>
        <v>46.142798645462705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65.838136484350741</v>
      </c>
      <c r="AO67" s="62">
        <f t="shared" si="36"/>
        <v>288.65503609903755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23.31379070433853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8.0997169915613017E-6</v>
      </c>
      <c r="AX67" s="23">
        <f t="shared" si="6"/>
        <v>23.313798804055523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555</v>
      </c>
      <c r="L68" s="13">
        <f>VLOOKUP(A68,'Données projet'!$A$35:$I$55,9,0)</f>
        <v>17.399999999999999</v>
      </c>
      <c r="M68" s="13">
        <f t="array" ref="M68">INDEX(L:L,MIN(IF(ISNUMBER(L68:L264),ROW(L68:L264),"")))</f>
        <v>17.399999999999999</v>
      </c>
      <c r="N68" s="14">
        <f>IF('Données projet'!$A$36&gt;35,N67+M68-V67,IF(A68&lt;'Données projet'!$A$36,$K$205^A68,IF(A68='Données projet'!$A$36,'Données projet'!$B$36,N67+M68-V67)))</f>
        <v>554.99999999999989</v>
      </c>
      <c r="O68" s="14">
        <f>N68*VLOOKUP('Données projet'!$B$9,Paramètres!$A$1:$I$89,3,0)*VLOOKUP('Données projet'!$B$9,Paramètres!$A$1:$I$89,5,0)</f>
        <v>331.88999999999993</v>
      </c>
      <c r="P68" s="14">
        <f t="shared" si="33"/>
        <v>77.822022056956186</v>
      </c>
      <c r="Q68" s="22">
        <f t="shared" si="54"/>
        <v>713.58177174919854</v>
      </c>
      <c r="R68" s="62">
        <f t="shared" si="55"/>
        <v>1006.9151050825319</v>
      </c>
      <c r="S68" s="62">
        <f ca="1">AVERAGE(OFFSET($R$3,0,0,'Données projet'!$E$9+1,1))-AVERAGE(OFFSET($H$3,0,0,'Données projet'!$E$9+1,1))</f>
        <v>348.62416478262719</v>
      </c>
      <c r="T68" s="62">
        <f t="shared" si="34"/>
        <v>371.70674704563288</v>
      </c>
      <c r="U68" s="16">
        <f>IF(ISNA(VLOOKUP(A68,'Données projet'!$A$35:$I$55,3,0)),0,VLOOKUP(A68,'Données projet'!$A$35:$I$55,3,0))</f>
        <v>11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0.45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43.893659921345865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0.96958119960483535</v>
      </c>
      <c r="AC68" s="24">
        <f t="shared" ref="AC68:AC131" si="57">SUM(Z68:AB68)</f>
        <v>44.863241120950697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65.838136484350741</v>
      </c>
      <c r="AO68" s="62">
        <f t="shared" si="36"/>
        <v>288.65503609903755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22.856621488634673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5.7273648104248984E-6</v>
      </c>
      <c r="AX68" s="23">
        <f t="shared" ref="AX68:AX131" si="60">SUM(AU68:AW68)</f>
        <v>22.856627215999485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554.99999999999989</v>
      </c>
      <c r="O69" s="14">
        <f>N69*VLOOKUP('Données projet'!$B$9,Paramètres!$A$1:$I$89,3,0)*VLOOKUP('Données projet'!$B$9,Paramètres!$A$1:$I$89,5,0)</f>
        <v>331.88999999999993</v>
      </c>
      <c r="P69" s="14">
        <f t="shared" ref="P69:P132" si="87">EXP(-1.0587+0.8836*LN(O69)+0.284)</f>
        <v>77.822022056956186</v>
      </c>
      <c r="Q69" s="22">
        <f t="shared" si="54"/>
        <v>713.58177174919854</v>
      </c>
      <c r="R69" s="62">
        <f t="shared" si="55"/>
        <v>1006.9151050825319</v>
      </c>
      <c r="S69" s="62">
        <f ca="1">AVERAGE(OFFSET($R$3,0,0,'Données projet'!$E$9+1,1))-AVERAGE(OFFSET($H$3,0,0,'Données projet'!$E$9+1,1))</f>
        <v>348.62416478262719</v>
      </c>
      <c r="T69" s="62">
        <f t="shared" ref="T69:T132" si="88">$T$3</f>
        <v>371.70674704563288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43.03293202277726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0.68559744115156662</v>
      </c>
      <c r="AC69" s="24">
        <f t="shared" si="57"/>
        <v>43.718529463928824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65.838136484350741</v>
      </c>
      <c r="AO69" s="62">
        <f t="shared" ref="AO69:AO132" si="90">$AO$3</f>
        <v>288.65503609903755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22.40841708240508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4.0498584957806508E-6</v>
      </c>
      <c r="AX69" s="23">
        <f t="shared" si="60"/>
        <v>22.408421132263577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554.99999999999989</v>
      </c>
      <c r="O70" s="14">
        <f>N70*VLOOKUP('Données projet'!$B$9,Paramètres!$A$1:$I$89,3,0)*VLOOKUP('Données projet'!$B$9,Paramètres!$A$1:$I$89,5,0)</f>
        <v>331.88999999999993</v>
      </c>
      <c r="P70" s="14">
        <f t="shared" si="87"/>
        <v>77.822022056956186</v>
      </c>
      <c r="Q70" s="22">
        <f t="shared" si="54"/>
        <v>713.58177174919854</v>
      </c>
      <c r="R70" s="62">
        <f t="shared" si="55"/>
        <v>1006.9151050825319</v>
      </c>
      <c r="S70" s="62">
        <f ca="1">AVERAGE(OFFSET($R$3,0,0,'Données projet'!$E$9+1,1))-AVERAGE(OFFSET($H$3,0,0,'Données projet'!$E$9+1,1))</f>
        <v>348.62416478262719</v>
      </c>
      <c r="T70" s="62">
        <f t="shared" si="88"/>
        <v>371.70674704563288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42.189082473307408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0.48479059980241773</v>
      </c>
      <c r="AC70" s="24">
        <f t="shared" si="57"/>
        <v>42.673873073109824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65.838136484350741</v>
      </c>
      <c r="AO70" s="62">
        <f t="shared" si="90"/>
        <v>288.65503609903755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21.969001691203957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2.8636824052124492E-6</v>
      </c>
      <c r="AX70" s="23">
        <f t="shared" si="60"/>
        <v>21.969004554886361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554.99999999999989</v>
      </c>
      <c r="O71" s="14">
        <f>N71*VLOOKUP('Données projet'!$B$9,Paramètres!$A$1:$I$89,3,0)*VLOOKUP('Données projet'!$B$9,Paramètres!$A$1:$I$89,5,0)</f>
        <v>331.88999999999993</v>
      </c>
      <c r="P71" s="14">
        <f t="shared" si="87"/>
        <v>77.822022056956186</v>
      </c>
      <c r="Q71" s="22">
        <f t="shared" si="54"/>
        <v>713.58177174919854</v>
      </c>
      <c r="R71" s="62">
        <f t="shared" si="55"/>
        <v>1006.9151050825319</v>
      </c>
      <c r="S71" s="62">
        <f ca="1">AVERAGE(OFFSET($R$3,0,0,'Données projet'!$E$9+1,1))-AVERAGE(OFFSET($H$3,0,0,'Données projet'!$E$9+1,1))</f>
        <v>348.62416478262719</v>
      </c>
      <c r="T71" s="62">
        <f t="shared" si="88"/>
        <v>371.70674704563288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41.361780298805257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0.34279872057578337</v>
      </c>
      <c r="AC71" s="24">
        <f t="shared" si="57"/>
        <v>41.704579019381043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65.838136484350741</v>
      </c>
      <c r="AO71" s="62">
        <f t="shared" si="90"/>
        <v>288.65503609903755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21.538202967807361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2.0249292478903254E-6</v>
      </c>
      <c r="AX71" s="23">
        <f t="shared" si="60"/>
        <v>21.53820499273661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554.99999999999989</v>
      </c>
      <c r="O72" s="14">
        <f>N72*VLOOKUP('Données projet'!$B$9,Paramètres!$A$1:$I$89,3,0)*VLOOKUP('Données projet'!$B$9,Paramètres!$A$1:$I$89,5,0)</f>
        <v>331.88999999999993</v>
      </c>
      <c r="P72" s="14">
        <f t="shared" si="87"/>
        <v>77.822022056956186</v>
      </c>
      <c r="Q72" s="22">
        <f t="shared" si="54"/>
        <v>713.58177174919854</v>
      </c>
      <c r="R72" s="62">
        <f t="shared" si="55"/>
        <v>1006.9151050825319</v>
      </c>
      <c r="S72" s="62">
        <f ca="1">AVERAGE(OFFSET($R$3,0,0,'Données projet'!$E$9+1,1))-AVERAGE(OFFSET($H$3,0,0,'Données projet'!$E$9+1,1))</f>
        <v>348.62416478262719</v>
      </c>
      <c r="T72" s="62">
        <f t="shared" si="88"/>
        <v>371.70674704563288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40.550701015340593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0.24239529990120892</v>
      </c>
      <c r="AC72" s="24">
        <f t="shared" si="57"/>
        <v>40.793096315241804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65.838136484350741</v>
      </c>
      <c r="AO72" s="62">
        <f t="shared" si="90"/>
        <v>288.65503609903755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21.115851944615297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1.4318412026062246E-6</v>
      </c>
      <c r="AX72" s="23">
        <f t="shared" si="60"/>
        <v>21.115853376456499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554.99999999999989</v>
      </c>
      <c r="O73" s="14">
        <f>N73*VLOOKUP('Données projet'!$B$9,Paramètres!$A$1:$I$89,3,0)*VLOOKUP('Données projet'!$B$9,Paramètres!$A$1:$I$89,5,0)</f>
        <v>331.88999999999993</v>
      </c>
      <c r="P73" s="14">
        <f t="shared" si="87"/>
        <v>77.822022056956186</v>
      </c>
      <c r="Q73" s="22">
        <f t="shared" si="54"/>
        <v>713.58177174919854</v>
      </c>
      <c r="R73" s="62">
        <f t="shared" si="55"/>
        <v>1006.9151050825319</v>
      </c>
      <c r="S73" s="62">
        <f ca="1">AVERAGE(OFFSET($R$3,0,0,'Données projet'!$E$9+1,1))-AVERAGE(OFFSET($H$3,0,0,'Données projet'!$E$9+1,1))</f>
        <v>348.62416478262719</v>
      </c>
      <c r="T73" s="62">
        <f t="shared" si="88"/>
        <v>371.70674704563288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39.755526501915156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0.17139936028789171</v>
      </c>
      <c r="AC73" s="24">
        <f t="shared" si="57"/>
        <v>39.926925862203049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65.838136484350741</v>
      </c>
      <c r="AO73" s="62">
        <f t="shared" si="90"/>
        <v>288.65503609903755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20.701782967379344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1.0124646239451627E-6</v>
      </c>
      <c r="AX73" s="23">
        <f t="shared" si="60"/>
        <v>20.701783979843967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554.99999999999989</v>
      </c>
      <c r="O74" s="14">
        <f>N74*VLOOKUP('Données projet'!$B$9,Paramètres!$A$1:$I$89,3,0)*VLOOKUP('Données projet'!$B$9,Paramètres!$A$1:$I$89,5,0)</f>
        <v>331.88999999999993</v>
      </c>
      <c r="P74" s="14">
        <f t="shared" si="87"/>
        <v>77.822022056956186</v>
      </c>
      <c r="Q74" s="22">
        <f t="shared" si="54"/>
        <v>713.58177174919854</v>
      </c>
      <c r="R74" s="62">
        <f t="shared" si="55"/>
        <v>1006.9151050825319</v>
      </c>
      <c r="S74" s="62">
        <f ca="1">AVERAGE(OFFSET($R$3,0,0,'Données projet'!$E$9+1,1))-AVERAGE(OFFSET($H$3,0,0,'Données projet'!$E$9+1,1))</f>
        <v>348.62416478262719</v>
      </c>
      <c r="T74" s="62">
        <f t="shared" si="88"/>
        <v>371.70674704563288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38.975944875689429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0.12119764995060447</v>
      </c>
      <c r="AC74" s="24">
        <f t="shared" si="57"/>
        <v>39.097142525640031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65.838136484350741</v>
      </c>
      <c r="AO74" s="62">
        <f t="shared" si="90"/>
        <v>288.65503609903755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20.295833630229847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7.1592060130311231E-7</v>
      </c>
      <c r="AX74" s="23">
        <f t="shared" si="60"/>
        <v>20.29583434615045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554.99999999999989</v>
      </c>
      <c r="O75" s="14">
        <f>N75*VLOOKUP('Données projet'!$B$9,Paramètres!$A$1:$I$89,3,0)*VLOOKUP('Données projet'!$B$9,Paramètres!$A$1:$I$89,5,0)</f>
        <v>331.88999999999993</v>
      </c>
      <c r="P75" s="14">
        <f t="shared" si="87"/>
        <v>77.822022056956186</v>
      </c>
      <c r="Q75" s="22">
        <f t="shared" si="54"/>
        <v>713.58177174919854</v>
      </c>
      <c r="R75" s="62">
        <f t="shared" si="55"/>
        <v>1006.9151050825319</v>
      </c>
      <c r="S75" s="62">
        <f ca="1">AVERAGE(OFFSET($R$3,0,0,'Données projet'!$E$9+1,1))-AVERAGE(OFFSET($H$3,0,0,'Données projet'!$E$9+1,1))</f>
        <v>348.62416478262719</v>
      </c>
      <c r="T75" s="62">
        <f t="shared" si="88"/>
        <v>371.70674704563288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38.211650369656148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8.5699680143945869E-2</v>
      </c>
      <c r="AC75" s="24">
        <f t="shared" si="57"/>
        <v>38.297350049800094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65.838136484350741</v>
      </c>
      <c r="AO75" s="62">
        <f t="shared" si="90"/>
        <v>288.65503609903755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19.897844711977207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5.0623231197258135E-7</v>
      </c>
      <c r="AX75" s="23">
        <f t="shared" si="60"/>
        <v>19.897845218209518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554.99999999999989</v>
      </c>
      <c r="O76" s="14">
        <f>N76*VLOOKUP('Données projet'!$B$9,Paramètres!$A$1:$I$89,3,0)*VLOOKUP('Données projet'!$B$9,Paramètres!$A$1:$I$89,5,0)</f>
        <v>331.88999999999993</v>
      </c>
      <c r="P76" s="14">
        <f t="shared" si="87"/>
        <v>77.822022056956186</v>
      </c>
      <c r="Q76" s="22">
        <f t="shared" si="54"/>
        <v>713.58177174919854</v>
      </c>
      <c r="R76" s="62">
        <f t="shared" si="55"/>
        <v>1006.9151050825319</v>
      </c>
      <c r="S76" s="62">
        <f ca="1">AVERAGE(OFFSET($R$3,0,0,'Données projet'!$E$9+1,1))-AVERAGE(OFFSET($H$3,0,0,'Données projet'!$E$9+1,1))</f>
        <v>348.62416478262719</v>
      </c>
      <c r="T76" s="62">
        <f t="shared" si="88"/>
        <v>371.70674704563288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37.462343212712561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6.0598824975302244E-2</v>
      </c>
      <c r="AC76" s="24">
        <f t="shared" si="57"/>
        <v>37.522942037687862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65.838136484350741</v>
      </c>
      <c r="AO76" s="62">
        <f t="shared" si="90"/>
        <v>288.65503609903755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19.507660113662229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3.5796030065155615E-7</v>
      </c>
      <c r="AX76" s="23">
        <f t="shared" si="60"/>
        <v>19.507660471622529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554.99999999999989</v>
      </c>
      <c r="O77" s="14">
        <f>N77*VLOOKUP('Données projet'!$B$9,Paramètres!$A$1:$I$89,3,0)*VLOOKUP('Données projet'!$B$9,Paramètres!$A$1:$I$89,5,0)</f>
        <v>331.88999999999993</v>
      </c>
      <c r="P77" s="14">
        <f t="shared" si="87"/>
        <v>77.822022056956186</v>
      </c>
      <c r="Q77" s="22">
        <f t="shared" si="54"/>
        <v>713.58177174919854</v>
      </c>
      <c r="R77" s="62">
        <f t="shared" si="55"/>
        <v>1006.9151050825319</v>
      </c>
      <c r="S77" s="62">
        <f ca="1">AVERAGE(OFFSET($R$3,0,0,'Données projet'!$E$9+1,1))-AVERAGE(OFFSET($H$3,0,0,'Données projet'!$E$9+1,1))</f>
        <v>348.62416478262719</v>
      </c>
      <c r="T77" s="62">
        <f t="shared" si="88"/>
        <v>371.70674704563288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36.727729512084402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4.2849840071972935E-2</v>
      </c>
      <c r="AC77" s="24">
        <f t="shared" si="57"/>
        <v>36.770579352156375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65.838136484350741</v>
      </c>
      <c r="AO77" s="62">
        <f t="shared" si="90"/>
        <v>288.65503609903755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19.125126797331102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2.5311615598629068E-7</v>
      </c>
      <c r="AX77" s="23">
        <f t="shared" si="60"/>
        <v>19.125127050447258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554.99999999999989</v>
      </c>
      <c r="O78" s="14">
        <f>N78*VLOOKUP('Données projet'!$B$9,Paramètres!$A$1:$I$89,3,0)*VLOOKUP('Données projet'!$B$9,Paramètres!$A$1:$I$89,5,0)</f>
        <v>331.88999999999993</v>
      </c>
      <c r="P78" s="14">
        <f t="shared" si="87"/>
        <v>77.822022056956186</v>
      </c>
      <c r="Q78" s="22">
        <f t="shared" si="54"/>
        <v>713.58177174919854</v>
      </c>
      <c r="R78" s="62">
        <f t="shared" si="55"/>
        <v>1006.9151050825319</v>
      </c>
      <c r="S78" s="62">
        <f ca="1">AVERAGE(OFFSET($R$3,0,0,'Données projet'!$E$9+1,1))-AVERAGE(OFFSET($H$3,0,0,'Données projet'!$E$9+1,1))</f>
        <v>348.62416478262719</v>
      </c>
      <c r="T78" s="62">
        <f t="shared" si="88"/>
        <v>371.70674704563288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36.007521138055445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3.0299412487651122E-2</v>
      </c>
      <c r="AC78" s="24">
        <f t="shared" si="57"/>
        <v>36.037820550543096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65.838136484350741</v>
      </c>
      <c r="AO78" s="62">
        <f t="shared" si="90"/>
        <v>288.65503609903755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18.750094726010946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1.7898015032577808E-7</v>
      </c>
      <c r="AX78" s="23">
        <f t="shared" si="60"/>
        <v>18.750094904991098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554.99999999999989</v>
      </c>
      <c r="O79" s="14">
        <f>N79*VLOOKUP('Données projet'!$B$9,Paramètres!$A$1:$I$89,3,0)*VLOOKUP('Données projet'!$B$9,Paramètres!$A$1:$I$89,5,0)</f>
        <v>331.88999999999993</v>
      </c>
      <c r="P79" s="14">
        <f t="shared" si="87"/>
        <v>77.822022056956186</v>
      </c>
      <c r="Q79" s="22">
        <f t="shared" si="54"/>
        <v>713.58177174919854</v>
      </c>
      <c r="R79" s="62">
        <f t="shared" si="55"/>
        <v>1006.9151050825319</v>
      </c>
      <c r="S79" s="62">
        <f ca="1">AVERAGE(OFFSET($R$3,0,0,'Données projet'!$E$9+1,1))-AVERAGE(OFFSET($H$3,0,0,'Données projet'!$E$9+1,1))</f>
        <v>348.62416478262719</v>
      </c>
      <c r="T79" s="62">
        <f t="shared" si="88"/>
        <v>371.70674704563288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35.301435610957462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2.1424920035986467E-2</v>
      </c>
      <c r="AC79" s="24">
        <f t="shared" si="57"/>
        <v>35.322860530993445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65.838136484350741</v>
      </c>
      <c r="AO79" s="62">
        <f t="shared" si="90"/>
        <v>288.65503609903755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18.382416804862402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1.2655807799314534E-7</v>
      </c>
      <c r="AX79" s="23">
        <f t="shared" si="60"/>
        <v>18.38241693142048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554.99999999999989</v>
      </c>
      <c r="O80" s="14">
        <f>N80*VLOOKUP('Données projet'!$B$9,Paramètres!$A$1:$I$89,3,0)*VLOOKUP('Données projet'!$B$9,Paramètres!$A$1:$I$89,5,0)</f>
        <v>331.88999999999993</v>
      </c>
      <c r="P80" s="14">
        <f t="shared" si="87"/>
        <v>77.822022056956186</v>
      </c>
      <c r="Q80" s="22">
        <f t="shared" si="54"/>
        <v>713.58177174919854</v>
      </c>
      <c r="R80" s="62">
        <f t="shared" si="55"/>
        <v>1006.9151050825319</v>
      </c>
      <c r="S80" s="62">
        <f ca="1">AVERAGE(OFFSET($R$3,0,0,'Données projet'!$E$9+1,1))-AVERAGE(OFFSET($H$3,0,0,'Données projet'!$E$9+1,1))</f>
        <v>348.62416478262719</v>
      </c>
      <c r="T80" s="62">
        <f t="shared" si="88"/>
        <v>371.70674704563288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34.609195990376229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1.5149706243825561E-2</v>
      </c>
      <c r="AC80" s="24">
        <f t="shared" si="57"/>
        <v>34.624345696620054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65.838136484350741</v>
      </c>
      <c r="AO80" s="62">
        <f t="shared" si="90"/>
        <v>288.65503609903755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18.021948823486191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8.9490075162889038E-8</v>
      </c>
      <c r="AX80" s="23">
        <f t="shared" si="60"/>
        <v>18.021948912976267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554.99999999999989</v>
      </c>
      <c r="O81" s="14">
        <f>N81*VLOOKUP('Données projet'!$B$9,Paramètres!$A$1:$I$89,3,0)*VLOOKUP('Données projet'!$B$9,Paramètres!$A$1:$I$89,5,0)</f>
        <v>331.88999999999993</v>
      </c>
      <c r="P81" s="14">
        <f t="shared" si="87"/>
        <v>77.822022056956186</v>
      </c>
      <c r="Q81" s="22">
        <f t="shared" si="54"/>
        <v>713.58177174919854</v>
      </c>
      <c r="R81" s="62">
        <f t="shared" si="55"/>
        <v>1006.9151050825319</v>
      </c>
      <c r="S81" s="62">
        <f ca="1">AVERAGE(OFFSET($R$3,0,0,'Données projet'!$E$9+1,1))-AVERAGE(OFFSET($H$3,0,0,'Données projet'!$E$9+1,1))</f>
        <v>348.62416478262719</v>
      </c>
      <c r="T81" s="62">
        <f t="shared" si="88"/>
        <v>371.70674704563288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33.930530766530111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1.0712460017993234E-2</v>
      </c>
      <c r="AC81" s="24">
        <f t="shared" si="57"/>
        <v>33.941243226548103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65.838136484350741</v>
      </c>
      <c r="AO81" s="62">
        <f t="shared" si="90"/>
        <v>288.65503609903755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17.668549399361009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6.3279038996572669E-8</v>
      </c>
      <c r="AX81" s="23">
        <f t="shared" si="60"/>
        <v>17.668549462640048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554.99999999999989</v>
      </c>
      <c r="O82" s="14">
        <f>N82*VLOOKUP('Données projet'!$B$9,Paramètres!$A$1:$I$89,3,0)*VLOOKUP('Données projet'!$B$9,Paramètres!$A$1:$I$89,5,0)</f>
        <v>331.88999999999993</v>
      </c>
      <c r="P82" s="14">
        <f t="shared" si="87"/>
        <v>77.822022056956186</v>
      </c>
      <c r="Q82" s="22">
        <f t="shared" si="54"/>
        <v>713.58177174919854</v>
      </c>
      <c r="R82" s="62">
        <f t="shared" si="55"/>
        <v>1006.9151050825319</v>
      </c>
      <c r="S82" s="62">
        <f ca="1">AVERAGE(OFFSET($R$3,0,0,'Données projet'!$E$9+1,1))-AVERAGE(OFFSET($H$3,0,0,'Données projet'!$E$9+1,1))</f>
        <v>348.62416478262719</v>
      </c>
      <c r="T82" s="62">
        <f t="shared" si="88"/>
        <v>371.70674704563288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33.265173753778704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7.5748531219127805E-3</v>
      </c>
      <c r="AC82" s="24">
        <f t="shared" si="57"/>
        <v>33.27274860690062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65.838136484350741</v>
      </c>
      <c r="AO82" s="62">
        <f t="shared" si="90"/>
        <v>288.65503609903755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17.322079922390557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4.4745037581444519E-8</v>
      </c>
      <c r="AX82" s="23">
        <f t="shared" si="60"/>
        <v>17.322079967135593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554.99999999999989</v>
      </c>
      <c r="O83" s="14">
        <f>N83*VLOOKUP('Données projet'!$B$9,Paramètres!$A$1:$I$89,3,0)*VLOOKUP('Données projet'!$B$9,Paramètres!$A$1:$I$89,5,0)</f>
        <v>331.88999999999993</v>
      </c>
      <c r="P83" s="14">
        <f t="shared" si="87"/>
        <v>77.822022056956186</v>
      </c>
      <c r="Q83" s="22">
        <f t="shared" si="54"/>
        <v>713.58177174919854</v>
      </c>
      <c r="R83" s="62">
        <f t="shared" si="55"/>
        <v>1006.9151050825319</v>
      </c>
      <c r="S83" s="62">
        <f ca="1">AVERAGE(OFFSET($R$3,0,0,'Données projet'!$E$9+1,1))-AVERAGE(OFFSET($H$3,0,0,'Données projet'!$E$9+1,1))</f>
        <v>348.62416478262719</v>
      </c>
      <c r="T83" s="62">
        <f t="shared" si="88"/>
        <v>371.70674704563288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32.612863986219644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5.3562300089966168E-3</v>
      </c>
      <c r="AC83" s="24">
        <f t="shared" si="57"/>
        <v>32.618220216228643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65.838136484350741</v>
      </c>
      <c r="AO83" s="62">
        <f t="shared" si="90"/>
        <v>288.65503609903755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16.982404500537982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3.1639519498286335E-8</v>
      </c>
      <c r="AX83" s="23">
        <f t="shared" si="60"/>
        <v>16.982404532177501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554.99999999999989</v>
      </c>
      <c r="O84" s="14">
        <f>N84*VLOOKUP('Données projet'!$B$9,Paramètres!$A$1:$I$89,3,0)*VLOOKUP('Données projet'!$B$9,Paramètres!$A$1:$I$89,5,0)</f>
        <v>331.88999999999993</v>
      </c>
      <c r="P84" s="14">
        <f t="shared" si="87"/>
        <v>77.822022056956186</v>
      </c>
      <c r="Q84" s="22">
        <f t="shared" si="54"/>
        <v>713.58177174919854</v>
      </c>
      <c r="R84" s="62">
        <f t="shared" si="55"/>
        <v>1006.9151050825319</v>
      </c>
      <c r="S84" s="62">
        <f ca="1">AVERAGE(OFFSET($R$3,0,0,'Données projet'!$E$9+1,1))-AVERAGE(OFFSET($H$3,0,0,'Données projet'!$E$9+1,1))</f>
        <v>348.62416478262719</v>
      </c>
      <c r="T84" s="62">
        <f t="shared" si="88"/>
        <v>371.70674704563288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31.973345615332747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3.7874265609563903E-3</v>
      </c>
      <c r="AC84" s="24">
        <f t="shared" si="57"/>
        <v>31.977133041893705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65.838136484350741</v>
      </c>
      <c r="AO84" s="62">
        <f t="shared" si="90"/>
        <v>288.65503609903755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16.649389906526384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2.237251879072226E-8</v>
      </c>
      <c r="AX84" s="23">
        <f t="shared" si="60"/>
        <v>16.649389928898902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554.99999999999989</v>
      </c>
      <c r="O85" s="14">
        <f>N85*VLOOKUP('Données projet'!$B$9,Paramètres!$A$1:$I$89,3,0)*VLOOKUP('Données projet'!$B$9,Paramètres!$A$1:$I$89,5,0)</f>
        <v>331.88999999999993</v>
      </c>
      <c r="P85" s="14">
        <f t="shared" si="87"/>
        <v>77.822022056956186</v>
      </c>
      <c r="Q85" s="22">
        <f t="shared" si="54"/>
        <v>713.58177174919854</v>
      </c>
      <c r="R85" s="62">
        <f t="shared" si="55"/>
        <v>1006.9151050825319</v>
      </c>
      <c r="S85" s="62">
        <f ca="1">AVERAGE(OFFSET($R$3,0,0,'Données projet'!$E$9+1,1))-AVERAGE(OFFSET($H$3,0,0,'Données projet'!$E$9+1,1))</f>
        <v>348.62416478262719</v>
      </c>
      <c r="T85" s="62">
        <f t="shared" si="88"/>
        <v>371.70674704563288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31.346367809631253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2.6781150044983084E-3</v>
      </c>
      <c r="AC85" s="24">
        <f t="shared" si="57"/>
        <v>31.349045924635753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65.838136484350741</v>
      </c>
      <c r="AO85" s="62">
        <f t="shared" si="90"/>
        <v>288.65503609903755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16.32290552558451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1.5819759749143167E-8</v>
      </c>
      <c r="AX85" s="23">
        <f t="shared" si="60"/>
        <v>16.322905541404271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554.99999999999989</v>
      </c>
      <c r="O86" s="14">
        <f>N86*VLOOKUP('Données projet'!$B$9,Paramètres!$A$1:$I$89,3,0)*VLOOKUP('Données projet'!$B$9,Paramètres!$A$1:$I$89,5,0)</f>
        <v>331.88999999999993</v>
      </c>
      <c r="P86" s="14">
        <f t="shared" si="87"/>
        <v>77.822022056956186</v>
      </c>
      <c r="Q86" s="22">
        <f t="shared" si="54"/>
        <v>713.58177174919854</v>
      </c>
      <c r="R86" s="62">
        <f t="shared" si="55"/>
        <v>1006.9151050825319</v>
      </c>
      <c r="S86" s="62">
        <f ca="1">AVERAGE(OFFSET($R$3,0,0,'Données projet'!$E$9+1,1))-AVERAGE(OFFSET($H$3,0,0,'Données projet'!$E$9+1,1))</f>
        <v>348.62416478262719</v>
      </c>
      <c r="T86" s="62">
        <f t="shared" si="88"/>
        <v>371.70674704563288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30.731684656280866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1.8937132804781951E-3</v>
      </c>
      <c r="AC86" s="24">
        <f t="shared" si="57"/>
        <v>30.733578369561343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65.838136484350741</v>
      </c>
      <c r="AO86" s="62">
        <f t="shared" si="90"/>
        <v>288.65503609903755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16.002823304217095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1.118625939536113E-8</v>
      </c>
      <c r="AX86" s="23">
        <f t="shared" si="60"/>
        <v>16.002823315403354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554.99999999999989</v>
      </c>
      <c r="O87" s="14">
        <f>N87*VLOOKUP('Données projet'!$B$9,Paramètres!$A$1:$I$89,3,0)*VLOOKUP('Données projet'!$B$9,Paramètres!$A$1:$I$89,5,0)</f>
        <v>331.88999999999993</v>
      </c>
      <c r="P87" s="14">
        <f t="shared" si="87"/>
        <v>77.822022056956186</v>
      </c>
      <c r="Q87" s="22">
        <f t="shared" si="54"/>
        <v>713.58177174919854</v>
      </c>
      <c r="R87" s="62">
        <f t="shared" si="55"/>
        <v>1006.9151050825319</v>
      </c>
      <c r="S87" s="62">
        <f ca="1">AVERAGE(OFFSET($R$3,0,0,'Données projet'!$E$9+1,1))-AVERAGE(OFFSET($H$3,0,0,'Données projet'!$E$9+1,1))</f>
        <v>348.62416478262719</v>
      </c>
      <c r="T87" s="62">
        <f t="shared" si="88"/>
        <v>371.70674704563288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30.129055064647975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1.3390575022491542E-3</v>
      </c>
      <c r="AC87" s="24">
        <f t="shared" si="57"/>
        <v>30.130394122150225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65.838136484350741</v>
      </c>
      <c r="AO87" s="62">
        <f t="shared" si="90"/>
        <v>288.65503609903755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15.68901769997982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7.9098798745715837E-9</v>
      </c>
      <c r="AX87" s="23">
        <f t="shared" si="60"/>
        <v>15.6890177078897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554.99999999999989</v>
      </c>
      <c r="O88" s="14">
        <f>N88*VLOOKUP('Données projet'!$B$9,Paramètres!$A$1:$I$89,3,0)*VLOOKUP('Données projet'!$B$9,Paramètres!$A$1:$I$89,5,0)</f>
        <v>331.88999999999993</v>
      </c>
      <c r="P88" s="14">
        <f t="shared" si="87"/>
        <v>77.822022056956186</v>
      </c>
      <c r="Q88" s="22">
        <f t="shared" si="54"/>
        <v>713.58177174919854</v>
      </c>
      <c r="R88" s="62">
        <f t="shared" si="55"/>
        <v>1006.9151050825319</v>
      </c>
      <c r="S88" s="62">
        <f ca="1">AVERAGE(OFFSET($R$3,0,0,'Données projet'!$E$9+1,1))-AVERAGE(OFFSET($H$3,0,0,'Données projet'!$E$9+1,1))</f>
        <v>348.62416478262719</v>
      </c>
      <c r="T88" s="62">
        <f t="shared" si="88"/>
        <v>371.70674704563288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29.538242671739248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9.4685664023909757E-4</v>
      </c>
      <c r="AC88" s="24">
        <f t="shared" si="57"/>
        <v>29.539189528379488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65.838136484350741</v>
      </c>
      <c r="AO88" s="62">
        <f t="shared" si="90"/>
        <v>288.65503609903755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15.381365632239117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5.5931296976805649E-9</v>
      </c>
      <c r="AX88" s="23">
        <f t="shared" si="60"/>
        <v>15.381365637832246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554.99999999999989</v>
      </c>
      <c r="O89" s="14">
        <f>N89*VLOOKUP('Données projet'!$B$9,Paramètres!$A$1:$I$89,3,0)*VLOOKUP('Données projet'!$B$9,Paramètres!$A$1:$I$89,5,0)</f>
        <v>331.88999999999993</v>
      </c>
      <c r="P89" s="14">
        <f t="shared" si="87"/>
        <v>77.822022056956186</v>
      </c>
      <c r="Q89" s="22">
        <f t="shared" si="54"/>
        <v>713.58177174919854</v>
      </c>
      <c r="R89" s="62">
        <f t="shared" si="55"/>
        <v>1006.9151050825319</v>
      </c>
      <c r="S89" s="62">
        <f ca="1">AVERAGE(OFFSET($R$3,0,0,'Données projet'!$E$9+1,1))-AVERAGE(OFFSET($H$3,0,0,'Données projet'!$E$9+1,1))</f>
        <v>348.62416478262719</v>
      </c>
      <c r="T89" s="62">
        <f t="shared" si="88"/>
        <v>371.70674704563288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28.959015749495485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6.695287511245771E-4</v>
      </c>
      <c r="AC89" s="24">
        <f t="shared" si="57"/>
        <v>28.95968527824661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65.838136484350741</v>
      </c>
      <c r="AO89" s="62">
        <f t="shared" si="90"/>
        <v>288.65503609903755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15.079746433897578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3.9549399372857918E-9</v>
      </c>
      <c r="AX89" s="23">
        <f t="shared" si="60"/>
        <v>15.079746437852517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554.99999999999989</v>
      </c>
      <c r="O90" s="14">
        <f>N90*VLOOKUP('Données projet'!$B$9,Paramètres!$A$1:$I$89,3,0)*VLOOKUP('Données projet'!$B$9,Paramètres!$A$1:$I$89,5,0)</f>
        <v>331.88999999999993</v>
      </c>
      <c r="P90" s="14">
        <f t="shared" si="87"/>
        <v>77.822022056956186</v>
      </c>
      <c r="Q90" s="22">
        <f t="shared" si="54"/>
        <v>713.58177174919854</v>
      </c>
      <c r="R90" s="62">
        <f t="shared" si="55"/>
        <v>1006.9151050825319</v>
      </c>
      <c r="S90" s="62">
        <f ca="1">AVERAGE(OFFSET($R$3,0,0,'Données projet'!$E$9+1,1))-AVERAGE(OFFSET($H$3,0,0,'Données projet'!$E$9+1,1))</f>
        <v>348.62416478262719</v>
      </c>
      <c r="T90" s="62">
        <f t="shared" si="88"/>
        <v>371.70674704563288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28.391147113903383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4.7342832011954878E-4</v>
      </c>
      <c r="AC90" s="24">
        <f t="shared" si="57"/>
        <v>28.391620542223503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65.838136484350741</v>
      </c>
      <c r="AO90" s="62">
        <f t="shared" si="90"/>
        <v>288.65503609903755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14.78404180406597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2.7965648488402824E-9</v>
      </c>
      <c r="AX90" s="23">
        <f t="shared" si="60"/>
        <v>14.784041806862534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554.99999999999989</v>
      </c>
      <c r="O91" s="14">
        <f>N91*VLOOKUP('Données projet'!$B$9,Paramètres!$A$1:$I$89,3,0)*VLOOKUP('Données projet'!$B$9,Paramètres!$A$1:$I$89,5,0)</f>
        <v>331.88999999999993</v>
      </c>
      <c r="P91" s="14">
        <f t="shared" si="87"/>
        <v>77.822022056956186</v>
      </c>
      <c r="Q91" s="22">
        <f t="shared" si="54"/>
        <v>713.58177174919854</v>
      </c>
      <c r="R91" s="62">
        <f t="shared" si="55"/>
        <v>1006.9151050825319</v>
      </c>
      <c r="S91" s="62">
        <f ca="1">AVERAGE(OFFSET($R$3,0,0,'Données projet'!$E$9+1,1))-AVERAGE(OFFSET($H$3,0,0,'Données projet'!$E$9+1,1))</f>
        <v>348.62416478262719</v>
      </c>
      <c r="T91" s="62">
        <f t="shared" si="88"/>
        <v>371.70674704563288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27.834414035889576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3.3476437556228855E-4</v>
      </c>
      <c r="AC91" s="24">
        <f t="shared" si="57"/>
        <v>27.834748800265139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65.838136484350741</v>
      </c>
      <c r="AO91" s="62">
        <f t="shared" si="90"/>
        <v>288.65503609903755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14.494135761663344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1.9774699686428959E-9</v>
      </c>
      <c r="AX91" s="23">
        <f t="shared" si="60"/>
        <v>14.494135763640815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554.99999999999989</v>
      </c>
      <c r="O92" s="14">
        <f>N92*VLOOKUP('Données projet'!$B$9,Paramètres!$A$1:$I$89,3,0)*VLOOKUP('Données projet'!$B$9,Paramètres!$A$1:$I$89,5,0)</f>
        <v>331.88999999999993</v>
      </c>
      <c r="P92" s="14">
        <f t="shared" si="87"/>
        <v>77.822022056956186</v>
      </c>
      <c r="Q92" s="22">
        <f t="shared" si="54"/>
        <v>713.58177174919854</v>
      </c>
      <c r="R92" s="62">
        <f t="shared" si="55"/>
        <v>1006.9151050825319</v>
      </c>
      <c r="S92" s="62">
        <f ca="1">AVERAGE(OFFSET($R$3,0,0,'Données projet'!$E$9+1,1))-AVERAGE(OFFSET($H$3,0,0,'Données projet'!$E$9+1,1))</f>
        <v>348.62416478262719</v>
      </c>
      <c r="T92" s="62">
        <f t="shared" si="88"/>
        <v>371.70674704563288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27.288598153961974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2.3671416005977439E-4</v>
      </c>
      <c r="AC92" s="24">
        <f t="shared" si="57"/>
        <v>27.288834868122034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65.838136484350741</v>
      </c>
      <c r="AO92" s="62">
        <f t="shared" si="90"/>
        <v>288.65503609903755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14.209914599927009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1.3982824244201412E-9</v>
      </c>
      <c r="AX92" s="23">
        <f t="shared" si="60"/>
        <v>14.209914601325291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554.99999999999989</v>
      </c>
      <c r="O93" s="14">
        <f>N93*VLOOKUP('Données projet'!$B$9,Paramètres!$A$1:$I$89,3,0)*VLOOKUP('Données projet'!$B$9,Paramètres!$A$1:$I$89,5,0)</f>
        <v>331.88999999999993</v>
      </c>
      <c r="P93" s="14">
        <f t="shared" si="87"/>
        <v>77.822022056956186</v>
      </c>
      <c r="Q93" s="22">
        <f t="shared" si="54"/>
        <v>713.58177174919854</v>
      </c>
      <c r="R93" s="62">
        <f t="shared" si="55"/>
        <v>1006.9151050825319</v>
      </c>
      <c r="S93" s="62">
        <f ca="1">AVERAGE(OFFSET($R$3,0,0,'Données projet'!$E$9+1,1))-AVERAGE(OFFSET($H$3,0,0,'Données projet'!$E$9+1,1))</f>
        <v>348.62416478262719</v>
      </c>
      <c r="T93" s="62">
        <f t="shared" si="88"/>
        <v>371.70674704563288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26.753485388564155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1.6738218778114428E-4</v>
      </c>
      <c r="AC93" s="24">
        <f t="shared" si="57"/>
        <v>26.753652770751934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65.838136484350741</v>
      </c>
      <c r="AO93" s="62">
        <f t="shared" si="90"/>
        <v>288.65503609903755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13.931266841814532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9.8873498432144796E-10</v>
      </c>
      <c r="AX93" s="23">
        <f t="shared" si="60"/>
        <v>13.931266842803266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554.99999999999989</v>
      </c>
      <c r="O94" s="14">
        <f>N94*VLOOKUP('Données projet'!$B$9,Paramètres!$A$1:$I$89,3,0)*VLOOKUP('Données projet'!$B$9,Paramètres!$A$1:$I$89,5,0)</f>
        <v>331.88999999999993</v>
      </c>
      <c r="P94" s="14">
        <f t="shared" si="87"/>
        <v>77.822022056956186</v>
      </c>
      <c r="Q94" s="22">
        <f t="shared" si="54"/>
        <v>713.58177174919854</v>
      </c>
      <c r="R94" s="62">
        <f t="shared" si="55"/>
        <v>1006.9151050825319</v>
      </c>
      <c r="S94" s="62">
        <f ca="1">AVERAGE(OFFSET($R$3,0,0,'Données projet'!$E$9+1,1))-AVERAGE(OFFSET($H$3,0,0,'Données projet'!$E$9+1,1))</f>
        <v>348.62416478262719</v>
      </c>
      <c r="T94" s="62">
        <f t="shared" si="88"/>
        <v>371.70674704563288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26.228865858109227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1.183570800298872E-4</v>
      </c>
      <c r="AC94" s="24">
        <f t="shared" si="57"/>
        <v>26.228984215189257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65.838136484350741</v>
      </c>
      <c r="AO94" s="62">
        <f t="shared" si="90"/>
        <v>288.65503609903755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13.658083196280289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6.9914121221007061E-10</v>
      </c>
      <c r="AX94" s="23">
        <f t="shared" si="60"/>
        <v>13.658083196979431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554.99999999999989</v>
      </c>
      <c r="O95" s="14">
        <f>N95*VLOOKUP('Données projet'!$B$9,Paramètres!$A$1:$I$89,3,0)*VLOOKUP('Données projet'!$B$9,Paramètres!$A$1:$I$89,5,0)</f>
        <v>331.88999999999993</v>
      </c>
      <c r="P95" s="14">
        <f t="shared" si="87"/>
        <v>77.822022056956186</v>
      </c>
      <c r="Q95" s="22">
        <f t="shared" si="54"/>
        <v>713.58177174919854</v>
      </c>
      <c r="R95" s="62">
        <f t="shared" si="55"/>
        <v>1006.9151050825319</v>
      </c>
      <c r="S95" s="62">
        <f ca="1">AVERAGE(OFFSET($R$3,0,0,'Données projet'!$E$9+1,1))-AVERAGE(OFFSET($H$3,0,0,'Données projet'!$E$9+1,1))</f>
        <v>348.62416478262719</v>
      </c>
      <c r="T95" s="62">
        <f t="shared" si="88"/>
        <v>371.70674704563288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25.714533796660206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8.3691093890572138E-5</v>
      </c>
      <c r="AC95" s="24">
        <f t="shared" si="57"/>
        <v>25.714617487754097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65.838136484350741</v>
      </c>
      <c r="AO95" s="62">
        <f t="shared" si="90"/>
        <v>288.65503609903755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13.390256515409403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4.9436749216072398E-10</v>
      </c>
      <c r="AX95" s="23">
        <f t="shared" si="60"/>
        <v>13.39025651590377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554.99999999999989</v>
      </c>
      <c r="O96" s="14">
        <f>N96*VLOOKUP('Données projet'!$B$9,Paramètres!$A$1:$I$89,3,0)*VLOOKUP('Données projet'!$B$9,Paramètres!$A$1:$I$89,5,0)</f>
        <v>331.88999999999993</v>
      </c>
      <c r="P96" s="14">
        <f t="shared" si="87"/>
        <v>77.822022056956186</v>
      </c>
      <c r="Q96" s="22">
        <f t="shared" si="54"/>
        <v>713.58177174919854</v>
      </c>
      <c r="R96" s="62">
        <f t="shared" si="55"/>
        <v>1006.9151050825319</v>
      </c>
      <c r="S96" s="62">
        <f ca="1">AVERAGE(OFFSET($R$3,0,0,'Données projet'!$E$9+1,1))-AVERAGE(OFFSET($H$3,0,0,'Données projet'!$E$9+1,1))</f>
        <v>348.62416478262719</v>
      </c>
      <c r="T96" s="62">
        <f t="shared" si="88"/>
        <v>371.70674704563288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25.210287473224618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5.9178540014943598E-5</v>
      </c>
      <c r="AC96" s="24">
        <f t="shared" si="57"/>
        <v>25.210346651764631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65.838136484350741</v>
      </c>
      <c r="AO96" s="62">
        <f t="shared" si="90"/>
        <v>288.65503609903755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13.127681752392251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3.4957060610503531E-10</v>
      </c>
      <c r="AX96" s="23">
        <f t="shared" si="60"/>
        <v>13.127681752741822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554.99999999999989</v>
      </c>
      <c r="O97" s="14">
        <f>N97*VLOOKUP('Données projet'!$B$9,Paramètres!$A$1:$I$89,3,0)*VLOOKUP('Données projet'!$B$9,Paramètres!$A$1:$I$89,5,0)</f>
        <v>331.88999999999993</v>
      </c>
      <c r="P97" s="14">
        <f t="shared" si="87"/>
        <v>77.822022056956186</v>
      </c>
      <c r="Q97" s="22">
        <f t="shared" si="54"/>
        <v>713.58177174919854</v>
      </c>
      <c r="R97" s="62">
        <f t="shared" si="55"/>
        <v>1006.9151050825319</v>
      </c>
      <c r="S97" s="62">
        <f ca="1">AVERAGE(OFFSET($R$3,0,0,'Données projet'!$E$9+1,1))-AVERAGE(OFFSET($H$3,0,0,'Données projet'!$E$9+1,1))</f>
        <v>348.62416478262719</v>
      </c>
      <c r="T97" s="62">
        <f t="shared" si="88"/>
        <v>371.70674704563288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24.715929112631713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4.1845546945286069E-5</v>
      </c>
      <c r="AC97" s="24">
        <f t="shared" si="57"/>
        <v>24.715970958178659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65.838136484350741</v>
      </c>
      <c r="AO97" s="62">
        <f t="shared" si="90"/>
        <v>288.65503609903755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12.870255920323073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2.4718374608036199E-10</v>
      </c>
      <c r="AX97" s="23">
        <f t="shared" si="60"/>
        <v>12.870255920570257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554.99999999999989</v>
      </c>
      <c r="O98" s="14">
        <f>N98*VLOOKUP('Données projet'!$B$9,Paramètres!$A$1:$I$89,3,0)*VLOOKUP('Données projet'!$B$9,Paramètres!$A$1:$I$89,5,0)</f>
        <v>331.88999999999993</v>
      </c>
      <c r="P98" s="14">
        <f t="shared" si="87"/>
        <v>77.822022056956186</v>
      </c>
      <c r="Q98" s="22">
        <f t="shared" si="54"/>
        <v>713.58177174919854</v>
      </c>
      <c r="R98" s="62">
        <f t="shared" si="55"/>
        <v>1006.9151050825319</v>
      </c>
      <c r="S98" s="62">
        <f ca="1">AVERAGE(OFFSET($R$3,0,0,'Données projet'!$E$9+1,1))-AVERAGE(OFFSET($H$3,0,0,'Données projet'!$E$9+1,1))</f>
        <v>348.62416478262719</v>
      </c>
      <c r="T98" s="62">
        <f t="shared" si="88"/>
        <v>371.70674704563288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24.231264817961208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2.9589270007471799E-5</v>
      </c>
      <c r="AC98" s="24">
        <f t="shared" si="57"/>
        <v>24.231294407231214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65.838136484350741</v>
      </c>
      <c r="AO98" s="62">
        <f t="shared" si="90"/>
        <v>288.65503609903755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12.617878051806517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1.7478530305251765E-10</v>
      </c>
      <c r="AX98" s="23">
        <f t="shared" si="60"/>
        <v>12.617878051981302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554.99999999999989</v>
      </c>
      <c r="O99" s="14">
        <f>N99*VLOOKUP('Données projet'!$B$9,Paramètres!$A$1:$I$89,3,0)*VLOOKUP('Données projet'!$B$9,Paramètres!$A$1:$I$89,5,0)</f>
        <v>331.88999999999993</v>
      </c>
      <c r="P99" s="14">
        <f t="shared" si="87"/>
        <v>77.822022056956186</v>
      </c>
      <c r="Q99" s="22">
        <f t="shared" ref="Q99:Q130" si="107">(O99+P99)*0.475*44/12</f>
        <v>713.58177174919854</v>
      </c>
      <c r="R99" s="62">
        <f t="shared" si="55"/>
        <v>1006.9151050825319</v>
      </c>
      <c r="S99" s="62">
        <f ca="1">AVERAGE(OFFSET($R$3,0,0,'Données projet'!$E$9+1,1))-AVERAGE(OFFSET($H$3,0,0,'Données projet'!$E$9+1,1))</f>
        <v>348.62416478262719</v>
      </c>
      <c r="T99" s="62">
        <f t="shared" si="88"/>
        <v>371.70674704563288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23.756104494493162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2.0922773472643035E-5</v>
      </c>
      <c r="AC99" s="24">
        <f t="shared" si="57"/>
        <v>23.756125417266635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65.838136484350741</v>
      </c>
      <c r="AO99" s="62">
        <f t="shared" si="90"/>
        <v>288.65503609903755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12.370449159356271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1.2359187304018099E-10</v>
      </c>
      <c r="AX99" s="23">
        <f t="shared" si="60"/>
        <v>12.370449159479863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554.99999999999989</v>
      </c>
      <c r="O100" s="14">
        <f>N100*VLOOKUP('Données projet'!$B$9,Paramètres!$A$1:$I$89,3,0)*VLOOKUP('Données projet'!$B$9,Paramètres!$A$1:$I$89,5,0)</f>
        <v>331.88999999999993</v>
      </c>
      <c r="P100" s="14">
        <f t="shared" si="87"/>
        <v>77.822022056956186</v>
      </c>
      <c r="Q100" s="22">
        <f t="shared" si="107"/>
        <v>713.58177174919854</v>
      </c>
      <c r="R100" s="62">
        <f t="shared" si="55"/>
        <v>1006.9151050825319</v>
      </c>
      <c r="S100" s="62">
        <f ca="1">AVERAGE(OFFSET($R$3,0,0,'Données projet'!$E$9+1,1))-AVERAGE(OFFSET($H$3,0,0,'Données projet'!$E$9+1,1))</f>
        <v>348.62416478262719</v>
      </c>
      <c r="T100" s="62">
        <f t="shared" si="88"/>
        <v>371.70674704563288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23.290261775149144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1.4794635003735899E-5</v>
      </c>
      <c r="AC100" s="24">
        <f t="shared" si="57"/>
        <v>23.290276569784147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65.838136484350741</v>
      </c>
      <c r="AO100" s="62">
        <f t="shared" si="90"/>
        <v>288.65503609903755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12.127872196570252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8.7392651526258826E-11</v>
      </c>
      <c r="AX100" s="23">
        <f t="shared" si="60"/>
        <v>12.127872196657645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554.99999999999989</v>
      </c>
      <c r="O101" s="14">
        <f>N101*VLOOKUP('Données projet'!$B$9,Paramètres!$A$1:$I$89,3,0)*VLOOKUP('Données projet'!$B$9,Paramètres!$A$1:$I$89,5,0)</f>
        <v>331.88999999999993</v>
      </c>
      <c r="P101" s="14">
        <f t="shared" si="87"/>
        <v>77.822022056956186</v>
      </c>
      <c r="Q101" s="22">
        <f t="shared" si="107"/>
        <v>713.58177174919854</v>
      </c>
      <c r="R101" s="62">
        <f t="shared" si="55"/>
        <v>1006.9151050825319</v>
      </c>
      <c r="S101" s="62">
        <f ca="1">AVERAGE(OFFSET($R$3,0,0,'Données projet'!$E$9+1,1))-AVERAGE(OFFSET($H$3,0,0,'Données projet'!$E$9+1,1))</f>
        <v>348.62416478262719</v>
      </c>
      <c r="T101" s="62">
        <f t="shared" si="88"/>
        <v>371.70674704563288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22.833553947395462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1.0461386736321517E-5</v>
      </c>
      <c r="AC101" s="24">
        <f t="shared" si="57"/>
        <v>22.833564408782198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65.838136484350741</v>
      </c>
      <c r="AO101" s="62">
        <f t="shared" si="90"/>
        <v>288.65503609903755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11.890052020067129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6.1795936520090497E-11</v>
      </c>
      <c r="AX101" s="23">
        <f t="shared" si="60"/>
        <v>11.890052020128925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554.99999999999989</v>
      </c>
      <c r="O102" s="14">
        <f>N102*VLOOKUP('Données projet'!$B$9,Paramètres!$A$1:$I$89,3,0)*VLOOKUP('Données projet'!$B$9,Paramètres!$A$1:$I$89,5,0)</f>
        <v>331.88999999999993</v>
      </c>
      <c r="P102" s="14">
        <f t="shared" si="87"/>
        <v>77.822022056956186</v>
      </c>
      <c r="Q102" s="22">
        <f t="shared" si="107"/>
        <v>713.58177174919854</v>
      </c>
      <c r="R102" s="62">
        <f t="shared" si="55"/>
        <v>1006.9151050825319</v>
      </c>
      <c r="S102" s="62">
        <f ca="1">AVERAGE(OFFSET($R$3,0,0,'Données projet'!$E$9+1,1))-AVERAGE(OFFSET($H$3,0,0,'Données projet'!$E$9+1,1))</f>
        <v>348.62416478262719</v>
      </c>
      <c r="T102" s="62">
        <f t="shared" si="88"/>
        <v>371.70674704563288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22.385801881579759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7.3973175018679497E-6</v>
      </c>
      <c r="AC102" s="24">
        <f t="shared" si="57"/>
        <v>22.385809278897263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65.838136484350741</v>
      </c>
      <c r="AO102" s="62">
        <f t="shared" si="90"/>
        <v>288.65503609903755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11.656895352169249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4.3696325763129413E-11</v>
      </c>
      <c r="AX102" s="23">
        <f t="shared" si="60"/>
        <v>11.656895352212945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554.99999999999989</v>
      </c>
      <c r="O103" s="14">
        <f>N103*VLOOKUP('Données projet'!$B$9,Paramètres!$A$1:$I$89,3,0)*VLOOKUP('Données projet'!$B$9,Paramètres!$A$1:$I$89,5,0)</f>
        <v>331.88999999999993</v>
      </c>
      <c r="P103" s="14">
        <f t="shared" si="87"/>
        <v>77.822022056956186</v>
      </c>
      <c r="Q103" s="22">
        <f t="shared" si="107"/>
        <v>713.58177174919854</v>
      </c>
      <c r="R103" s="62">
        <f t="shared" si="55"/>
        <v>1006.9151050825319</v>
      </c>
      <c r="S103" s="62">
        <f ca="1">AVERAGE(OFFSET($R$3,0,0,'Données projet'!$E$9+1,1))-AVERAGE(OFFSET($H$3,0,0,'Données projet'!$E$9+1,1))</f>
        <v>348.62416478262719</v>
      </c>
      <c r="T103" s="62">
        <f t="shared" si="88"/>
        <v>371.70674704563288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21.946829960672908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5.2306933681607586E-6</v>
      </c>
      <c r="AC103" s="24">
        <f t="shared" si="57"/>
        <v>21.946835191366276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65.838136484350741</v>
      </c>
      <c r="AO103" s="62">
        <f t="shared" si="90"/>
        <v>288.65503609903755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11.42831074431732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3.0897968260045249E-11</v>
      </c>
      <c r="AX103" s="23">
        <f t="shared" si="60"/>
        <v>11.428310744348218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554.99999999999989</v>
      </c>
      <c r="O104" s="14">
        <f>N104*VLOOKUP('Données projet'!$B$9,Paramètres!$A$1:$I$89,3,0)*VLOOKUP('Données projet'!$B$9,Paramètres!$A$1:$I$89,5,0)</f>
        <v>331.88999999999993</v>
      </c>
      <c r="P104" s="14">
        <f t="shared" si="87"/>
        <v>77.822022056956186</v>
      </c>
      <c r="Q104" s="22">
        <f t="shared" si="107"/>
        <v>713.58177174919854</v>
      </c>
      <c r="R104" s="62">
        <f t="shared" si="55"/>
        <v>1006.9151050825319</v>
      </c>
      <c r="S104" s="62">
        <f ca="1">AVERAGE(OFFSET($R$3,0,0,'Données projet'!$E$9+1,1))-AVERAGE(OFFSET($H$3,0,0,'Données projet'!$E$9+1,1))</f>
        <v>348.62416478262719</v>
      </c>
      <c r="T104" s="62">
        <f t="shared" si="88"/>
        <v>371.70674704563288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21.516466011388605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3.6986587509339749E-6</v>
      </c>
      <c r="AC104" s="24">
        <f t="shared" si="57"/>
        <v>21.516469710047357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65.838136484350741</v>
      </c>
      <c r="AO104" s="62">
        <f t="shared" si="90"/>
        <v>288.65503609903755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11.204208541202524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2.1848162881564707E-11</v>
      </c>
      <c r="AX104" s="23">
        <f t="shared" si="60"/>
        <v>11.204208541224371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554.99999999999989</v>
      </c>
      <c r="O105" s="14">
        <f>N105*VLOOKUP('Données projet'!$B$9,Paramètres!$A$1:$I$89,3,0)*VLOOKUP('Données projet'!$B$9,Paramètres!$A$1:$I$89,5,0)</f>
        <v>331.88999999999993</v>
      </c>
      <c r="P105" s="14">
        <f t="shared" si="87"/>
        <v>77.822022056956186</v>
      </c>
      <c r="Q105" s="22">
        <f t="shared" si="107"/>
        <v>713.58177174919854</v>
      </c>
      <c r="R105" s="62">
        <f t="shared" si="55"/>
        <v>1006.9151050825319</v>
      </c>
      <c r="S105" s="62">
        <f ca="1">AVERAGE(OFFSET($R$3,0,0,'Données projet'!$E$9+1,1))-AVERAGE(OFFSET($H$3,0,0,'Données projet'!$E$9+1,1))</f>
        <v>348.62416478262719</v>
      </c>
      <c r="T105" s="62">
        <f t="shared" si="88"/>
        <v>371.70674704563288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21.094541236653679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2.6153466840803793E-6</v>
      </c>
      <c r="AC105" s="24">
        <f t="shared" si="57"/>
        <v>21.094543852000363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65.838136484350741</v>
      </c>
      <c r="AO105" s="62">
        <f t="shared" si="90"/>
        <v>288.65503609903755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10.984500845601962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1.5448984130022624E-11</v>
      </c>
      <c r="AX105" s="23">
        <f t="shared" si="60"/>
        <v>10.984500845617411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554.99999999999989</v>
      </c>
      <c r="O106" s="14">
        <f>N106*VLOOKUP('Données projet'!$B$9,Paramètres!$A$1:$I$89,3,0)*VLOOKUP('Données projet'!$B$9,Paramètres!$A$1:$I$89,5,0)</f>
        <v>331.88999999999993</v>
      </c>
      <c r="P106" s="14">
        <f t="shared" si="87"/>
        <v>77.822022056956186</v>
      </c>
      <c r="Q106" s="22">
        <f t="shared" si="107"/>
        <v>713.58177174919854</v>
      </c>
      <c r="R106" s="62">
        <f t="shared" si="55"/>
        <v>1006.9151050825319</v>
      </c>
      <c r="S106" s="62">
        <f ca="1">AVERAGE(OFFSET($R$3,0,0,'Données projet'!$E$9+1,1))-AVERAGE(OFFSET($H$3,0,0,'Données projet'!$E$9+1,1))</f>
        <v>348.62416478262719</v>
      </c>
      <c r="T106" s="62">
        <f t="shared" si="88"/>
        <v>371.70674704563288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20.680890149402604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1.8493293754669874E-6</v>
      </c>
      <c r="AC106" s="24">
        <f t="shared" si="57"/>
        <v>20.68089199873198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65.838136484350741</v>
      </c>
      <c r="AO106" s="62">
        <f t="shared" si="90"/>
        <v>288.65503609903755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10.769101483903665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1.0924081440782353E-11</v>
      </c>
      <c r="AX106" s="23">
        <f t="shared" si="60"/>
        <v>10.769101483914589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554.99999999999989</v>
      </c>
      <c r="O107" s="14">
        <f>N107*VLOOKUP('Données projet'!$B$9,Paramètres!$A$1:$I$89,3,0)*VLOOKUP('Données projet'!$B$9,Paramètres!$A$1:$I$89,5,0)</f>
        <v>331.88999999999993</v>
      </c>
      <c r="P107" s="14">
        <f t="shared" si="87"/>
        <v>77.822022056956186</v>
      </c>
      <c r="Q107" s="22">
        <f t="shared" si="107"/>
        <v>713.58177174919854</v>
      </c>
      <c r="R107" s="62">
        <f t="shared" si="55"/>
        <v>1006.9151050825319</v>
      </c>
      <c r="S107" s="62">
        <f ca="1">AVERAGE(OFFSET($R$3,0,0,'Données projet'!$E$9+1,1))-AVERAGE(OFFSET($H$3,0,0,'Données projet'!$E$9+1,1))</f>
        <v>348.62416478262719</v>
      </c>
      <c r="T107" s="62">
        <f t="shared" si="88"/>
        <v>371.70674704563288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20.275350507670272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1.3076733420401897E-6</v>
      </c>
      <c r="AC107" s="24">
        <f t="shared" si="57"/>
        <v>20.275351815343612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65.838136484350741</v>
      </c>
      <c r="AO107" s="62">
        <f t="shared" si="90"/>
        <v>288.65503609903755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10.557925972307633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7.7244920650113122E-12</v>
      </c>
      <c r="AX107" s="23">
        <f t="shared" si="60"/>
        <v>10.557925972315358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554.99999999999989</v>
      </c>
      <c r="O108" s="14">
        <f>N108*VLOOKUP('Données projet'!$B$9,Paramètres!$A$1:$I$89,3,0)*VLOOKUP('Données projet'!$B$9,Paramètres!$A$1:$I$89,5,0)</f>
        <v>331.88999999999993</v>
      </c>
      <c r="P108" s="14">
        <f t="shared" si="87"/>
        <v>77.822022056956186</v>
      </c>
      <c r="Q108" s="22">
        <f t="shared" si="107"/>
        <v>713.58177174919854</v>
      </c>
      <c r="R108" s="62">
        <f t="shared" si="55"/>
        <v>1006.9151050825319</v>
      </c>
      <c r="S108" s="62">
        <f ca="1">AVERAGE(OFFSET($R$3,0,0,'Données projet'!$E$9+1,1))-AVERAGE(OFFSET($H$3,0,0,'Données projet'!$E$9+1,1))</f>
        <v>348.62416478262719</v>
      </c>
      <c r="T108" s="62">
        <f t="shared" si="88"/>
        <v>371.70674704563288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19.877763250957553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9.2466468773349372E-7</v>
      </c>
      <c r="AC108" s="24">
        <f t="shared" si="57"/>
        <v>19.877764175622239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65.838136484350741</v>
      </c>
      <c r="AO108" s="62">
        <f t="shared" si="90"/>
        <v>288.65503609903755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10.350891483689656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5.4620407203911767E-12</v>
      </c>
      <c r="AX108" s="23">
        <f t="shared" si="60"/>
        <v>10.350891483695118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554.99999999999989</v>
      </c>
      <c r="O109" s="14">
        <f>N109*VLOOKUP('Données projet'!$B$9,Paramètres!$A$1:$I$89,3,0)*VLOOKUP('Données projet'!$B$9,Paramètres!$A$1:$I$89,5,0)</f>
        <v>331.88999999999993</v>
      </c>
      <c r="P109" s="14">
        <f t="shared" si="87"/>
        <v>77.822022056956186</v>
      </c>
      <c r="Q109" s="22">
        <f t="shared" si="107"/>
        <v>713.58177174919854</v>
      </c>
      <c r="R109" s="62">
        <f t="shared" si="55"/>
        <v>1006.9151050825319</v>
      </c>
      <c r="S109" s="62">
        <f ca="1">AVERAGE(OFFSET($R$3,0,0,'Données projet'!$E$9+1,1))-AVERAGE(OFFSET($H$3,0,0,'Données projet'!$E$9+1,1))</f>
        <v>348.62416478262719</v>
      </c>
      <c r="T109" s="62">
        <f t="shared" si="88"/>
        <v>371.70674704563288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19.487972437844689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6.5383667102009483E-7</v>
      </c>
      <c r="AC109" s="24">
        <f t="shared" si="57"/>
        <v>19.487973091681361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65.838136484350741</v>
      </c>
      <c r="AO109" s="62">
        <f t="shared" si="90"/>
        <v>288.65503609903755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10.147916815114909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3.8622460325056561E-12</v>
      </c>
      <c r="AX109" s="23">
        <f t="shared" si="60"/>
        <v>10.147916815118771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554.99999999999989</v>
      </c>
      <c r="O110" s="14">
        <f>N110*VLOOKUP('Données projet'!$B$9,Paramètres!$A$1:$I$89,3,0)*VLOOKUP('Données projet'!$B$9,Paramètres!$A$1:$I$89,5,0)</f>
        <v>331.88999999999993</v>
      </c>
      <c r="P110" s="14">
        <f t="shared" si="87"/>
        <v>77.822022056956186</v>
      </c>
      <c r="Q110" s="22">
        <f t="shared" si="107"/>
        <v>713.58177174919854</v>
      </c>
      <c r="R110" s="62">
        <f t="shared" si="55"/>
        <v>1006.9151050825319</v>
      </c>
      <c r="S110" s="62">
        <f ca="1">AVERAGE(OFFSET($R$3,0,0,'Données projet'!$E$9+1,1))-AVERAGE(OFFSET($H$3,0,0,'Données projet'!$E$9+1,1))</f>
        <v>348.62416478262719</v>
      </c>
      <c r="T110" s="62">
        <f t="shared" si="88"/>
        <v>371.70674704563288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19.105825184828049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4.6233234386674686E-7</v>
      </c>
      <c r="AC110" s="24">
        <f t="shared" si="57"/>
        <v>19.105825647160394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65.838136484350741</v>
      </c>
      <c r="AO110" s="62">
        <f t="shared" si="90"/>
        <v>288.65503609903755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9.9489223559885893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2.7310203601955883E-12</v>
      </c>
      <c r="AX110" s="23">
        <f t="shared" si="60"/>
        <v>9.9489223559913196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554.99999999999989</v>
      </c>
      <c r="O111" s="14">
        <f>N111*VLOOKUP('Données projet'!$B$9,Paramètres!$A$1:$I$89,3,0)*VLOOKUP('Données projet'!$B$9,Paramètres!$A$1:$I$89,5,0)</f>
        <v>331.88999999999993</v>
      </c>
      <c r="P111" s="14">
        <f t="shared" si="87"/>
        <v>77.822022056956186</v>
      </c>
      <c r="Q111" s="22">
        <f t="shared" si="107"/>
        <v>713.58177174919854</v>
      </c>
      <c r="R111" s="62">
        <f t="shared" si="55"/>
        <v>1006.9151050825319</v>
      </c>
      <c r="S111" s="62">
        <f ca="1">AVERAGE(OFFSET($R$3,0,0,'Données projet'!$E$9+1,1))-AVERAGE(OFFSET($H$3,0,0,'Données projet'!$E$9+1,1))</f>
        <v>348.62416478262719</v>
      </c>
      <c r="T111" s="62">
        <f t="shared" si="88"/>
        <v>371.70674704563288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18.731171606356256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3.2691833551004741E-7</v>
      </c>
      <c r="AC111" s="24">
        <f t="shared" si="57"/>
        <v>18.731171933274592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65.838136484350741</v>
      </c>
      <c r="AO111" s="62">
        <f t="shared" si="90"/>
        <v>288.65503609903755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9.7538300568311005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1.931123016252828E-12</v>
      </c>
      <c r="AX111" s="23">
        <f t="shared" si="60"/>
        <v>9.7538300568330314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554.99999999999989</v>
      </c>
      <c r="O112" s="14">
        <f>N112*VLOOKUP('Données projet'!$B$9,Paramètres!$A$1:$I$89,3,0)*VLOOKUP('Données projet'!$B$9,Paramètres!$A$1:$I$89,5,0)</f>
        <v>331.88999999999993</v>
      </c>
      <c r="P112" s="14">
        <f t="shared" si="87"/>
        <v>77.822022056956186</v>
      </c>
      <c r="Q112" s="22">
        <f t="shared" si="107"/>
        <v>713.58177174919854</v>
      </c>
      <c r="R112" s="62">
        <f t="shared" si="55"/>
        <v>1006.9151050825319</v>
      </c>
      <c r="S112" s="62">
        <f ca="1">AVERAGE(OFFSET($R$3,0,0,'Données projet'!$E$9+1,1))-AVERAGE(OFFSET($H$3,0,0,'Données projet'!$E$9+1,1))</f>
        <v>348.62416478262719</v>
      </c>
      <c r="T112" s="62">
        <f t="shared" si="88"/>
        <v>371.70674704563288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18.363864756042176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2.3116617193337343E-7</v>
      </c>
      <c r="AC112" s="24">
        <f t="shared" si="57"/>
        <v>18.363864987208348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65.838136484350741</v>
      </c>
      <c r="AO112" s="62">
        <f t="shared" si="90"/>
        <v>288.65503609903755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9.562563398665537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1.3655101800977942E-12</v>
      </c>
      <c r="AX112" s="23">
        <f t="shared" si="60"/>
        <v>9.562563398666903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554.99999999999989</v>
      </c>
      <c r="O113" s="14">
        <f>N113*VLOOKUP('Données projet'!$B$9,Paramètres!$A$1:$I$89,3,0)*VLOOKUP('Données projet'!$B$9,Paramètres!$A$1:$I$89,5,0)</f>
        <v>331.88999999999993</v>
      </c>
      <c r="P113" s="14">
        <f t="shared" si="87"/>
        <v>77.822022056956186</v>
      </c>
      <c r="Q113" s="22">
        <f t="shared" si="107"/>
        <v>713.58177174919854</v>
      </c>
      <c r="R113" s="62">
        <f t="shared" si="55"/>
        <v>1006.9151050825319</v>
      </c>
      <c r="S113" s="62">
        <f ca="1">AVERAGE(OFFSET($R$3,0,0,'Données projet'!$E$9+1,1))-AVERAGE(OFFSET($H$3,0,0,'Données projet'!$E$9+1,1))</f>
        <v>348.62416478262719</v>
      </c>
      <c r="T113" s="62">
        <f t="shared" si="88"/>
        <v>371.70674704563288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18.003760569027698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1.6345916775502371E-7</v>
      </c>
      <c r="AC113" s="24">
        <f t="shared" si="57"/>
        <v>18.003760732486864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65.838136484350741</v>
      </c>
      <c r="AO113" s="62">
        <f t="shared" si="90"/>
        <v>288.65503609903755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9.3750473630054589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9.6556150812641402E-13</v>
      </c>
      <c r="AX113" s="23">
        <f t="shared" si="60"/>
        <v>9.3750473630064253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554.99999999999989</v>
      </c>
      <c r="O114" s="14">
        <f>N114*VLOOKUP('Données projet'!$B$9,Paramètres!$A$1:$I$89,3,0)*VLOOKUP('Données projet'!$B$9,Paramètres!$A$1:$I$89,5,0)</f>
        <v>331.88999999999993</v>
      </c>
      <c r="P114" s="14">
        <f t="shared" si="87"/>
        <v>77.822022056956186</v>
      </c>
      <c r="Q114" s="22">
        <f t="shared" si="107"/>
        <v>713.58177174919854</v>
      </c>
      <c r="R114" s="62">
        <f t="shared" si="55"/>
        <v>1006.9151050825319</v>
      </c>
      <c r="S114" s="62">
        <f ca="1">AVERAGE(OFFSET($R$3,0,0,'Données projet'!$E$9+1,1))-AVERAGE(OFFSET($H$3,0,0,'Données projet'!$E$9+1,1))</f>
        <v>348.62416478262719</v>
      </c>
      <c r="T114" s="62">
        <f t="shared" si="88"/>
        <v>371.70674704563288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17.650717805478706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1.1558308596668671E-7</v>
      </c>
      <c r="AC114" s="24">
        <f t="shared" si="57"/>
        <v>17.650717921061791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65.838136484350741</v>
      </c>
      <c r="AO114" s="62">
        <f t="shared" si="90"/>
        <v>288.65503609903755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9.1912084024311866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6.8275509004889708E-13</v>
      </c>
      <c r="AX114" s="23">
        <f t="shared" si="60"/>
        <v>9.1912084024318688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554.99999999999989</v>
      </c>
      <c r="O115" s="14">
        <f>N115*VLOOKUP('Données projet'!$B$9,Paramètres!$A$1:$I$89,3,0)*VLOOKUP('Données projet'!$B$9,Paramètres!$A$1:$I$89,5,0)</f>
        <v>331.88999999999993</v>
      </c>
      <c r="P115" s="14">
        <f t="shared" si="87"/>
        <v>77.822022056956186</v>
      </c>
      <c r="Q115" s="22">
        <f t="shared" si="107"/>
        <v>713.58177174919854</v>
      </c>
      <c r="R115" s="62">
        <f t="shared" si="55"/>
        <v>1006.9151050825319</v>
      </c>
      <c r="S115" s="62">
        <f ca="1">AVERAGE(OFFSET($R$3,0,0,'Données projet'!$E$9+1,1))-AVERAGE(OFFSET($H$3,0,0,'Données projet'!$E$9+1,1))</f>
        <v>348.62416478262719</v>
      </c>
      <c r="T115" s="62">
        <f t="shared" si="88"/>
        <v>371.70674704563288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17.304597995188089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8.1729583877511854E-8</v>
      </c>
      <c r="AC115" s="24">
        <f t="shared" si="57"/>
        <v>17.304598076917674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65.838136484350741</v>
      </c>
      <c r="AO115" s="62">
        <f t="shared" si="90"/>
        <v>288.65503609903755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9.0109744117430814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4.8278075406320701E-13</v>
      </c>
      <c r="AX115" s="23">
        <f t="shared" si="60"/>
        <v>9.0109744117435646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554.99999999999989</v>
      </c>
      <c r="O116" s="14">
        <f>N116*VLOOKUP('Données projet'!$B$9,Paramètres!$A$1:$I$89,3,0)*VLOOKUP('Données projet'!$B$9,Paramètres!$A$1:$I$89,5,0)</f>
        <v>331.88999999999993</v>
      </c>
      <c r="P116" s="14">
        <f t="shared" si="87"/>
        <v>77.822022056956186</v>
      </c>
      <c r="Q116" s="22">
        <f t="shared" si="107"/>
        <v>713.58177174919854</v>
      </c>
      <c r="R116" s="62">
        <f t="shared" si="55"/>
        <v>1006.9151050825319</v>
      </c>
      <c r="S116" s="62">
        <f ca="1">AVERAGE(OFFSET($R$3,0,0,'Données projet'!$E$9+1,1))-AVERAGE(OFFSET($H$3,0,0,'Données projet'!$E$9+1,1))</f>
        <v>348.62416478262719</v>
      </c>
      <c r="T116" s="62">
        <f t="shared" si="88"/>
        <v>371.70674704563288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16.965265383265031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5.7791542983343357E-8</v>
      </c>
      <c r="AC116" s="24">
        <f t="shared" si="57"/>
        <v>16.965265441056573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65.838136484350741</v>
      </c>
      <c r="AO116" s="62">
        <f t="shared" si="90"/>
        <v>288.65503609903755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8.8342746996804902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3.4137754502444854E-13</v>
      </c>
      <c r="AX116" s="23">
        <f t="shared" si="60"/>
        <v>8.8342746996808312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554.99999999999989</v>
      </c>
      <c r="O117" s="14">
        <f>N117*VLOOKUP('Données projet'!$B$9,Paramètres!$A$1:$I$89,3,0)*VLOOKUP('Données projet'!$B$9,Paramètres!$A$1:$I$89,5,0)</f>
        <v>331.88999999999993</v>
      </c>
      <c r="P117" s="14">
        <f t="shared" si="87"/>
        <v>77.822022056956186</v>
      </c>
      <c r="Q117" s="22">
        <f t="shared" si="107"/>
        <v>713.58177174919854</v>
      </c>
      <c r="R117" s="62">
        <f t="shared" si="55"/>
        <v>1006.9151050825319</v>
      </c>
      <c r="S117" s="62">
        <f ca="1">AVERAGE(OFFSET($R$3,0,0,'Données projet'!$E$9+1,1))-AVERAGE(OFFSET($H$3,0,0,'Données projet'!$E$9+1,1))</f>
        <v>348.62416478262719</v>
      </c>
      <c r="T117" s="62">
        <f t="shared" si="88"/>
        <v>371.70674704563288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16.632586876889327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4.0864791938755927E-8</v>
      </c>
      <c r="AC117" s="24">
        <f t="shared" si="57"/>
        <v>16.632586917754118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65.838136484350741</v>
      </c>
      <c r="AO117" s="62">
        <f t="shared" si="90"/>
        <v>288.65503609903755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8.6610399611952644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2.4139037703160351E-13</v>
      </c>
      <c r="AX117" s="23">
        <f t="shared" si="60"/>
        <v>8.661039961195506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554.99999999999989</v>
      </c>
      <c r="O118" s="14">
        <f>N118*VLOOKUP('Données projet'!$B$9,Paramètres!$A$1:$I$89,3,0)*VLOOKUP('Données projet'!$B$9,Paramètres!$A$1:$I$89,5,0)</f>
        <v>331.88999999999993</v>
      </c>
      <c r="P118" s="14">
        <f t="shared" si="87"/>
        <v>77.822022056956186</v>
      </c>
      <c r="Q118" s="22">
        <f t="shared" si="107"/>
        <v>713.58177174919854</v>
      </c>
      <c r="R118" s="62">
        <f t="shared" si="55"/>
        <v>1006.9151050825319</v>
      </c>
      <c r="S118" s="62">
        <f ca="1">AVERAGE(OFFSET($R$3,0,0,'Données projet'!$E$9+1,1))-AVERAGE(OFFSET($H$3,0,0,'Données projet'!$E$9+1,1))</f>
        <v>348.62416478262719</v>
      </c>
      <c r="T118" s="62">
        <f t="shared" si="88"/>
        <v>371.70674704563288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16.306431993109801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2.8895771491671679E-8</v>
      </c>
      <c r="AC118" s="24">
        <f t="shared" si="57"/>
        <v>16.306432022005573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65.838136484350741</v>
      </c>
      <c r="AO118" s="62">
        <f t="shared" si="90"/>
        <v>288.65503609903755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8.4912022502689766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1.7068877251222427E-13</v>
      </c>
      <c r="AX118" s="23">
        <f t="shared" si="60"/>
        <v>8.4912022502691471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554.99999999999989</v>
      </c>
      <c r="O119" s="14">
        <f>N119*VLOOKUP('Données projet'!$B$9,Paramètres!$A$1:$I$89,3,0)*VLOOKUP('Données projet'!$B$9,Paramètres!$A$1:$I$89,5,0)</f>
        <v>331.88999999999993</v>
      </c>
      <c r="P119" s="14">
        <f t="shared" si="87"/>
        <v>77.822022056956186</v>
      </c>
      <c r="Q119" s="22">
        <f t="shared" si="107"/>
        <v>713.58177174919854</v>
      </c>
      <c r="R119" s="62">
        <f t="shared" si="55"/>
        <v>1006.9151050825319</v>
      </c>
      <c r="S119" s="62">
        <f ca="1">AVERAGE(OFFSET($R$3,0,0,'Données projet'!$E$9+1,1))-AVERAGE(OFFSET($H$3,0,0,'Données projet'!$E$9+1,1))</f>
        <v>348.62416478262719</v>
      </c>
      <c r="T119" s="62">
        <f t="shared" si="88"/>
        <v>371.70674704563288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15.986672807666354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2.0432395969377963E-8</v>
      </c>
      <c r="AC119" s="24">
        <f t="shared" si="57"/>
        <v>15.986672828098749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65.838136484350741</v>
      </c>
      <c r="AO119" s="62">
        <f t="shared" si="90"/>
        <v>288.65503609903755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8.3246949532631795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1.2069518851580175E-13</v>
      </c>
      <c r="AX119" s="23">
        <f t="shared" si="60"/>
        <v>8.3246949532633003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554.99999999999989</v>
      </c>
      <c r="O120" s="14">
        <f>N120*VLOOKUP('Données projet'!$B$9,Paramètres!$A$1:$I$89,3,0)*VLOOKUP('Données projet'!$B$9,Paramètres!$A$1:$I$89,5,0)</f>
        <v>331.88999999999993</v>
      </c>
      <c r="P120" s="14">
        <f t="shared" si="87"/>
        <v>77.822022056956186</v>
      </c>
      <c r="Q120" s="22">
        <f t="shared" si="107"/>
        <v>713.58177174919854</v>
      </c>
      <c r="R120" s="62">
        <f t="shared" si="55"/>
        <v>1006.9151050825319</v>
      </c>
      <c r="S120" s="62">
        <f ca="1">AVERAGE(OFFSET($R$3,0,0,'Données projet'!$E$9+1,1))-AVERAGE(OFFSET($H$3,0,0,'Données projet'!$E$9+1,1))</f>
        <v>348.62416478262719</v>
      </c>
      <c r="T120" s="62">
        <f t="shared" si="88"/>
        <v>371.70674704563288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15.673183904815607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1.4447885745835839E-8</v>
      </c>
      <c r="AC120" s="24">
        <f t="shared" si="57"/>
        <v>15.673183919263494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65.838136484350741</v>
      </c>
      <c r="AO120" s="62">
        <f t="shared" si="90"/>
        <v>288.65503609903755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8.1614527627922424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8.5344386256112135E-14</v>
      </c>
      <c r="AX120" s="23">
        <f t="shared" si="60"/>
        <v>8.1614527627923277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554.99999999999989</v>
      </c>
      <c r="O121" s="14">
        <f>N121*VLOOKUP('Données projet'!$B$9,Paramètres!$A$1:$I$89,3,0)*VLOOKUP('Données projet'!$B$9,Paramètres!$A$1:$I$89,5,0)</f>
        <v>331.88999999999993</v>
      </c>
      <c r="P121" s="14">
        <f t="shared" si="87"/>
        <v>77.822022056956186</v>
      </c>
      <c r="Q121" s="22">
        <f t="shared" si="107"/>
        <v>713.58177174919854</v>
      </c>
      <c r="R121" s="62">
        <f t="shared" si="55"/>
        <v>1006.9151050825319</v>
      </c>
      <c r="S121" s="62">
        <f ca="1">AVERAGE(OFFSET($R$3,0,0,'Données projet'!$E$9+1,1))-AVERAGE(OFFSET($H$3,0,0,'Données projet'!$E$9+1,1))</f>
        <v>348.62416478262719</v>
      </c>
      <c r="T121" s="62">
        <f t="shared" si="88"/>
        <v>371.70674704563288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15.365842328140413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1.0216197984688982E-8</v>
      </c>
      <c r="AC121" s="24">
        <f t="shared" si="57"/>
        <v>15.365842338356611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65.838136484350741</v>
      </c>
      <c r="AO121" s="62">
        <f t="shared" si="90"/>
        <v>288.65503609903755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8.0014116521085352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6.0347594257900876E-14</v>
      </c>
      <c r="AX121" s="23">
        <f t="shared" si="60"/>
        <v>8.0014116521085956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554.99999999999989</v>
      </c>
      <c r="O122" s="14">
        <f>N122*VLOOKUP('Données projet'!$B$9,Paramètres!$A$1:$I$89,3,0)*VLOOKUP('Données projet'!$B$9,Paramètres!$A$1:$I$89,5,0)</f>
        <v>331.88999999999993</v>
      </c>
      <c r="P122" s="14">
        <f t="shared" si="87"/>
        <v>77.822022056956186</v>
      </c>
      <c r="Q122" s="22">
        <f t="shared" si="107"/>
        <v>713.58177174919854</v>
      </c>
      <c r="R122" s="62">
        <f t="shared" si="55"/>
        <v>1006.9151050825319</v>
      </c>
      <c r="S122" s="62">
        <f ca="1">AVERAGE(OFFSET($R$3,0,0,'Données projet'!$E$9+1,1))-AVERAGE(OFFSET($H$3,0,0,'Données projet'!$E$9+1,1))</f>
        <v>348.62416478262719</v>
      </c>
      <c r="T122" s="62">
        <f t="shared" si="88"/>
        <v>371.70674704563288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15.064527532323968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7.2239428729179197E-9</v>
      </c>
      <c r="AC122" s="24">
        <f t="shared" si="57"/>
        <v>15.06452753954791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65.838136484350741</v>
      </c>
      <c r="AO122" s="62">
        <f t="shared" si="90"/>
        <v>288.65503609903755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7.8445088499898974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4.2672193128056068E-14</v>
      </c>
      <c r="AX122" s="23">
        <f t="shared" si="60"/>
        <v>7.84450884998994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554.99999999999989</v>
      </c>
      <c r="O123" s="14">
        <f>N123*VLOOKUP('Données projet'!$B$9,Paramètres!$A$1:$I$89,3,0)*VLOOKUP('Données projet'!$B$9,Paramètres!$A$1:$I$89,5,0)</f>
        <v>331.88999999999993</v>
      </c>
      <c r="P123" s="14">
        <f t="shared" si="87"/>
        <v>77.822022056956186</v>
      </c>
      <c r="Q123" s="22">
        <f t="shared" si="107"/>
        <v>713.58177174919854</v>
      </c>
      <c r="R123" s="62">
        <f t="shared" si="55"/>
        <v>1006.9151050825319</v>
      </c>
      <c r="S123" s="62">
        <f ca="1">AVERAGE(OFFSET($R$3,0,0,'Données projet'!$E$9+1,1))-AVERAGE(OFFSET($H$3,0,0,'Données projet'!$E$9+1,1))</f>
        <v>348.62416478262719</v>
      </c>
      <c r="T123" s="62">
        <f t="shared" si="88"/>
        <v>371.70674704563288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14.769121335869606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5.1080989923444909E-9</v>
      </c>
      <c r="AC123" s="24">
        <f t="shared" si="57"/>
        <v>14.769121340977705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65.838136484350741</v>
      </c>
      <c r="AO123" s="62">
        <f t="shared" si="90"/>
        <v>288.65503609903755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7.690682816119546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3.0173797128950438E-14</v>
      </c>
      <c r="AX123" s="23">
        <f t="shared" si="60"/>
        <v>7.6906828161195762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554.99999999999989</v>
      </c>
      <c r="O124" s="14">
        <f>N124*VLOOKUP('Données projet'!$B$9,Paramètres!$A$1:$I$89,3,0)*VLOOKUP('Données projet'!$B$9,Paramètres!$A$1:$I$89,5,0)</f>
        <v>331.88999999999993</v>
      </c>
      <c r="P124" s="14">
        <f t="shared" si="87"/>
        <v>77.822022056956186</v>
      </c>
      <c r="Q124" s="22">
        <f t="shared" si="107"/>
        <v>713.58177174919854</v>
      </c>
      <c r="R124" s="62">
        <f t="shared" si="55"/>
        <v>1006.9151050825319</v>
      </c>
      <c r="S124" s="62">
        <f ca="1">AVERAGE(OFFSET($R$3,0,0,'Données projet'!$E$9+1,1))-AVERAGE(OFFSET($H$3,0,0,'Données projet'!$E$9+1,1))</f>
        <v>348.62416478262719</v>
      </c>
      <c r="T124" s="62">
        <f t="shared" si="88"/>
        <v>371.70674704563288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14.479507874747725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3.6119714364589598E-9</v>
      </c>
      <c r="AC124" s="24">
        <f t="shared" si="57"/>
        <v>14.479507878359696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65.838136484350741</v>
      </c>
      <c r="AO124" s="62">
        <f t="shared" si="90"/>
        <v>288.65503609903755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7.5398732169487763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2.1336096564028034E-14</v>
      </c>
      <c r="AX124" s="23">
        <f t="shared" si="60"/>
        <v>7.5398732169487976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554.99999999999989</v>
      </c>
      <c r="O125" s="14">
        <f>N125*VLOOKUP('Données projet'!$B$9,Paramètres!$A$1:$I$89,3,0)*VLOOKUP('Données projet'!$B$9,Paramètres!$A$1:$I$89,5,0)</f>
        <v>331.88999999999993</v>
      </c>
      <c r="P125" s="14">
        <f t="shared" si="87"/>
        <v>77.822022056956186</v>
      </c>
      <c r="Q125" s="22">
        <f t="shared" si="107"/>
        <v>713.58177174919854</v>
      </c>
      <c r="R125" s="62">
        <f t="shared" si="55"/>
        <v>1006.9151050825319</v>
      </c>
      <c r="S125" s="62">
        <f ca="1">AVERAGE(OFFSET($R$3,0,0,'Données projet'!$E$9+1,1))-AVERAGE(OFFSET($H$3,0,0,'Données projet'!$E$9+1,1))</f>
        <v>348.62416478262719</v>
      </c>
      <c r="T125" s="62">
        <f t="shared" si="88"/>
        <v>371.70674704563288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14.195573556951675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2.5540494961722454E-9</v>
      </c>
      <c r="AC125" s="24">
        <f t="shared" si="57"/>
        <v>14.195573559505725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65.838136484350741</v>
      </c>
      <c r="AO125" s="62">
        <f t="shared" si="90"/>
        <v>288.65503609903755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7.3920209020329724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1.5086898564475219E-14</v>
      </c>
      <c r="AX125" s="23">
        <f t="shared" si="60"/>
        <v>7.3920209020329875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554.99999999999989</v>
      </c>
      <c r="O126" s="14">
        <f>N126*VLOOKUP('Données projet'!$B$9,Paramètres!$A$1:$I$89,3,0)*VLOOKUP('Données projet'!$B$9,Paramètres!$A$1:$I$89,5,0)</f>
        <v>331.88999999999993</v>
      </c>
      <c r="P126" s="14">
        <f t="shared" si="87"/>
        <v>77.822022056956186</v>
      </c>
      <c r="Q126" s="22">
        <f t="shared" si="107"/>
        <v>713.58177174919854</v>
      </c>
      <c r="R126" s="62">
        <f t="shared" si="55"/>
        <v>1006.9151050825319</v>
      </c>
      <c r="S126" s="62">
        <f ca="1">AVERAGE(OFFSET($R$3,0,0,'Données projet'!$E$9+1,1))-AVERAGE(OFFSET($H$3,0,0,'Données projet'!$E$9+1,1))</f>
        <v>348.62416478262719</v>
      </c>
      <c r="T126" s="62">
        <f t="shared" si="88"/>
        <v>371.70674704563288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13.917207017944772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1.8059857182294799E-9</v>
      </c>
      <c r="AC126" s="24">
        <f t="shared" si="57"/>
        <v>13.917207019750759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65.838136484350741</v>
      </c>
      <c r="AO126" s="62">
        <f t="shared" si="90"/>
        <v>288.65503609903755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7.2470678808316604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1.0668048282014017E-14</v>
      </c>
      <c r="AX126" s="23">
        <f t="shared" si="60"/>
        <v>7.2470678808316711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554.99999999999989</v>
      </c>
      <c r="O127" s="14">
        <f>N127*VLOOKUP('Données projet'!$B$9,Paramètres!$A$1:$I$89,3,0)*VLOOKUP('Données projet'!$B$9,Paramètres!$A$1:$I$89,5,0)</f>
        <v>331.88999999999993</v>
      </c>
      <c r="P127" s="14">
        <f t="shared" si="87"/>
        <v>77.822022056956186</v>
      </c>
      <c r="Q127" s="22">
        <f t="shared" si="107"/>
        <v>713.58177174919854</v>
      </c>
      <c r="R127" s="62">
        <f t="shared" si="55"/>
        <v>1006.9151050825319</v>
      </c>
      <c r="S127" s="62">
        <f ca="1">AVERAGE(OFFSET($R$3,0,0,'Données projet'!$E$9+1,1))-AVERAGE(OFFSET($H$3,0,0,'Données projet'!$E$9+1,1))</f>
        <v>348.62416478262719</v>
      </c>
      <c r="T127" s="62">
        <f t="shared" si="88"/>
        <v>371.70674704563288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13.644299076980971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1.2770247480861227E-9</v>
      </c>
      <c r="AC127" s="24">
        <f t="shared" si="57"/>
        <v>13.644299078257996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65.838136484350741</v>
      </c>
      <c r="AO127" s="62">
        <f t="shared" si="90"/>
        <v>288.65503609903755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7.1049572999634929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7.5434492822376095E-15</v>
      </c>
      <c r="AX127" s="23">
        <f t="shared" si="60"/>
        <v>7.1049572999635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554.99999999999989</v>
      </c>
      <c r="O128" s="14">
        <f>N128*VLOOKUP('Données projet'!$B$9,Paramètres!$A$1:$I$89,3,0)*VLOOKUP('Données projet'!$B$9,Paramètres!$A$1:$I$89,5,0)</f>
        <v>331.88999999999993</v>
      </c>
      <c r="P128" s="14">
        <f t="shared" si="87"/>
        <v>77.822022056956186</v>
      </c>
      <c r="Q128" s="22">
        <f t="shared" si="107"/>
        <v>713.58177174919854</v>
      </c>
      <c r="R128" s="62">
        <f t="shared" si="55"/>
        <v>1006.9151050825319</v>
      </c>
      <c r="S128" s="62">
        <f ca="1">AVERAGE(OFFSET($R$3,0,0,'Données projet'!$E$9+1,1))-AVERAGE(OFFSET($H$3,0,0,'Données projet'!$E$9+1,1))</f>
        <v>348.62416478262719</v>
      </c>
      <c r="T128" s="62">
        <f t="shared" si="88"/>
        <v>371.70674704563288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13.376742694282061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9.0299285911473996E-10</v>
      </c>
      <c r="AC128" s="24">
        <f t="shared" si="57"/>
        <v>13.376742695185055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65.838136484350741</v>
      </c>
      <c r="AO128" s="62">
        <f t="shared" si="90"/>
        <v>288.65503609903755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6.9656334209072543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5.3340241410070084E-15</v>
      </c>
      <c r="AX128" s="23">
        <f t="shared" si="60"/>
        <v>6.9656334209072597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554.99999999999989</v>
      </c>
      <c r="O129" s="14">
        <f>N129*VLOOKUP('Données projet'!$B$9,Paramètres!$A$1:$I$89,3,0)*VLOOKUP('Données projet'!$B$9,Paramètres!$A$1:$I$89,5,0)</f>
        <v>331.88999999999993</v>
      </c>
      <c r="P129" s="14">
        <f t="shared" si="87"/>
        <v>77.822022056956186</v>
      </c>
      <c r="Q129" s="22">
        <f t="shared" si="107"/>
        <v>713.58177174919854</v>
      </c>
      <c r="R129" s="62">
        <f t="shared" si="55"/>
        <v>1006.9151050825319</v>
      </c>
      <c r="S129" s="62">
        <f ca="1">AVERAGE(OFFSET($R$3,0,0,'Données projet'!$E$9+1,1))-AVERAGE(OFFSET($H$3,0,0,'Données projet'!$E$9+1,1))</f>
        <v>348.62416478262719</v>
      </c>
      <c r="T129" s="62">
        <f t="shared" si="88"/>
        <v>371.70674704563288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13.114432929054599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6.3851237404306136E-10</v>
      </c>
      <c r="AC129" s="24">
        <f t="shared" si="57"/>
        <v>13.114432929693113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65.838136484350741</v>
      </c>
      <c r="AO129" s="62">
        <f t="shared" si="90"/>
        <v>288.65503609903755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6.829041598140134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3.7717246411188048E-15</v>
      </c>
      <c r="AX129" s="23">
        <f t="shared" si="60"/>
        <v>6.8290415981401376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554.99999999999989</v>
      </c>
      <c r="O130" s="14">
        <f>N130*VLOOKUP('Données projet'!$B$9,Paramètres!$A$1:$I$89,3,0)*VLOOKUP('Données projet'!$B$9,Paramètres!$A$1:$I$89,5,0)</f>
        <v>331.88999999999993</v>
      </c>
      <c r="P130" s="14">
        <f t="shared" si="87"/>
        <v>77.822022056956186</v>
      </c>
      <c r="Q130" s="22">
        <f t="shared" si="107"/>
        <v>713.58177174919854</v>
      </c>
      <c r="R130" s="62">
        <f t="shared" si="55"/>
        <v>1006.9151050825319</v>
      </c>
      <c r="S130" s="62">
        <f ca="1">AVERAGE(OFFSET($R$3,0,0,'Données projet'!$E$9+1,1))-AVERAGE(OFFSET($H$3,0,0,'Données projet'!$E$9+1,1))</f>
        <v>348.62416478262719</v>
      </c>
      <c r="T130" s="62">
        <f t="shared" si="88"/>
        <v>371.70674704563288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12.857266898330089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4.5149642955736998E-10</v>
      </c>
      <c r="AC130" s="24">
        <f t="shared" si="57"/>
        <v>12.857266898781585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65.838136484350741</v>
      </c>
      <c r="AO130" s="62">
        <f t="shared" si="90"/>
        <v>288.65503609903755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6.6951282577046909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2.6670120705035042E-15</v>
      </c>
      <c r="AX130" s="23">
        <f t="shared" si="60"/>
        <v>6.6951282577046936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554.99999999999989</v>
      </c>
      <c r="O131" s="14">
        <f>N131*VLOOKUP('Données projet'!$B$9,Paramètres!$A$1:$I$89,3,0)*VLOOKUP('Données projet'!$B$9,Paramètres!$A$1:$I$89,5,0)</f>
        <v>331.88999999999993</v>
      </c>
      <c r="P131" s="14">
        <f t="shared" si="87"/>
        <v>77.822022056956186</v>
      </c>
      <c r="Q131" s="22">
        <f t="shared" ref="Q131:Q153" si="108">(O131+P131)*0.475*44/12</f>
        <v>713.58177174919854</v>
      </c>
      <c r="R131" s="62">
        <f t="shared" ref="R131:R194" si="109">Q131+(I131+J131)*44/12</f>
        <v>1006.9151050825319</v>
      </c>
      <c r="S131" s="62">
        <f ca="1">AVERAGE(OFFSET($R$3,0,0,'Données projet'!$E$9+1,1))-AVERAGE(OFFSET($H$3,0,0,'Données projet'!$E$9+1,1))</f>
        <v>348.62416478262719</v>
      </c>
      <c r="T131" s="62">
        <f t="shared" si="88"/>
        <v>371.70674704563288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12.605143736612295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3.1925618702153068E-10</v>
      </c>
      <c r="AC131" s="24">
        <f t="shared" si="57"/>
        <v>12.60514373693155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65.838136484350741</v>
      </c>
      <c r="AO131" s="62">
        <f t="shared" si="90"/>
        <v>288.65503609903755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6.5638408761961147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1.8858623205594024E-15</v>
      </c>
      <c r="AX131" s="23">
        <f t="shared" si="60"/>
        <v>6.5638408761961164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554.99999999999989</v>
      </c>
      <c r="O132" s="14">
        <f>N132*VLOOKUP('Données projet'!$B$9,Paramètres!$A$1:$I$89,3,0)*VLOOKUP('Données projet'!$B$9,Paramètres!$A$1:$I$89,5,0)</f>
        <v>331.88999999999993</v>
      </c>
      <c r="P132" s="14">
        <f t="shared" si="87"/>
        <v>77.822022056956186</v>
      </c>
      <c r="Q132" s="22">
        <f t="shared" si="108"/>
        <v>713.58177174919854</v>
      </c>
      <c r="R132" s="62">
        <f t="shared" si="109"/>
        <v>1006.9151050825319</v>
      </c>
      <c r="S132" s="62">
        <f ca="1">AVERAGE(OFFSET($R$3,0,0,'Données projet'!$E$9+1,1))-AVERAGE(OFFSET($H$3,0,0,'Données projet'!$E$9+1,1))</f>
        <v>348.62416478262719</v>
      </c>
      <c r="T132" s="62">
        <f t="shared" si="88"/>
        <v>371.70674704563288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12.357964556315842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2.2574821477868499E-10</v>
      </c>
      <c r="AC132" s="24">
        <f t="shared" ref="AC132:AC153" si="111">SUM(Z132:AB132)</f>
        <v>12.357964556541591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65.838136484350741</v>
      </c>
      <c r="AO132" s="62">
        <f t="shared" si="90"/>
        <v>288.65503609903755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6.4351279601615259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1.3335060352517521E-15</v>
      </c>
      <c r="AX132" s="23">
        <f t="shared" ref="AX132:AX153" si="114">SUM(AU132:AW132)</f>
        <v>6.4351279601615277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554.99999999999989</v>
      </c>
      <c r="O133" s="14">
        <f>N133*VLOOKUP('Données projet'!$B$9,Paramètres!$A$1:$I$89,3,0)*VLOOKUP('Données projet'!$B$9,Paramètres!$A$1:$I$89,5,0)</f>
        <v>331.88999999999993</v>
      </c>
      <c r="P133" s="14">
        <f t="shared" ref="P133:P196" si="141">EXP(-1.0587+0.8836*LN(O133)+0.284)</f>
        <v>77.822022056956186</v>
      </c>
      <c r="Q133" s="22">
        <f t="shared" si="108"/>
        <v>713.58177174919854</v>
      </c>
      <c r="R133" s="62">
        <f t="shared" si="109"/>
        <v>1006.9151050825319</v>
      </c>
      <c r="S133" s="62">
        <f ca="1">AVERAGE(OFFSET($R$3,0,0,'Données projet'!$E$9+1,1))-AVERAGE(OFFSET($H$3,0,0,'Données projet'!$E$9+1,1))</f>
        <v>348.62416478262719</v>
      </c>
      <c r="T133" s="62">
        <f t="shared" ref="T133:T196" si="142">$T$3</f>
        <v>371.70674704563288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12.11563240898059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1.5962809351076534E-10</v>
      </c>
      <c r="AC133" s="24">
        <f t="shared" si="111"/>
        <v>12.115632409140218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65.838136484350741</v>
      </c>
      <c r="AO133" s="62">
        <f t="shared" ref="AO133:AO196" si="144">$AO$3</f>
        <v>288.65503609903755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6.3089390259032481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9.4293116027970119E-16</v>
      </c>
      <c r="AX133" s="23">
        <f t="shared" si="114"/>
        <v>6.308939025903249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554.99999999999989</v>
      </c>
      <c r="O134" s="14">
        <f>N134*VLOOKUP('Données projet'!$B$9,Paramètres!$A$1:$I$89,3,0)*VLOOKUP('Données projet'!$B$9,Paramètres!$A$1:$I$89,5,0)</f>
        <v>331.88999999999993</v>
      </c>
      <c r="P134" s="14">
        <f t="shared" si="141"/>
        <v>77.822022056956186</v>
      </c>
      <c r="Q134" s="22">
        <f t="shared" si="108"/>
        <v>713.58177174919854</v>
      </c>
      <c r="R134" s="62">
        <f t="shared" si="109"/>
        <v>1006.9151050825319</v>
      </c>
      <c r="S134" s="62">
        <f ca="1">AVERAGE(OFFSET($R$3,0,0,'Données projet'!$E$9+1,1))-AVERAGE(OFFSET($H$3,0,0,'Données projet'!$E$9+1,1))</f>
        <v>348.62416478262719</v>
      </c>
      <c r="T134" s="62">
        <f t="shared" si="142"/>
        <v>371.70674704563288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11.878052247246567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1.1287410738934249E-10</v>
      </c>
      <c r="AC134" s="24">
        <f t="shared" si="111"/>
        <v>11.87805224735944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65.838136484350741</v>
      </c>
      <c r="AO134" s="62">
        <f t="shared" si="144"/>
        <v>288.65503609903755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6.1852245796781258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6.6675301762587606E-16</v>
      </c>
      <c r="AX134" s="23">
        <f t="shared" si="114"/>
        <v>6.1852245796781267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554.99999999999989</v>
      </c>
      <c r="O135" s="14">
        <f>N135*VLOOKUP('Données projet'!$B$9,Paramètres!$A$1:$I$89,3,0)*VLOOKUP('Données projet'!$B$9,Paramètres!$A$1:$I$89,5,0)</f>
        <v>331.88999999999993</v>
      </c>
      <c r="P135" s="14">
        <f t="shared" si="141"/>
        <v>77.822022056956186</v>
      </c>
      <c r="Q135" s="22">
        <f t="shared" si="108"/>
        <v>713.58177174919854</v>
      </c>
      <c r="R135" s="62">
        <f t="shared" si="109"/>
        <v>1006.9151050825319</v>
      </c>
      <c r="S135" s="62">
        <f ca="1">AVERAGE(OFFSET($R$3,0,0,'Données projet'!$E$9+1,1))-AVERAGE(OFFSET($H$3,0,0,'Données projet'!$E$9+1,1))</f>
        <v>348.62416478262719</v>
      </c>
      <c r="T135" s="62">
        <f t="shared" si="142"/>
        <v>371.70674704563288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11.645130887574558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7.981404675538267E-11</v>
      </c>
      <c r="AC135" s="24">
        <f t="shared" si="111"/>
        <v>11.645130887654371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65.838136484350741</v>
      </c>
      <c r="AO135" s="62">
        <f t="shared" si="144"/>
        <v>288.65503609903755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6.0639360982851169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4.714655801398506E-16</v>
      </c>
      <c r="AX135" s="23">
        <f t="shared" si="114"/>
        <v>6.0639360982851178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554.99999999999989</v>
      </c>
      <c r="O136" s="14">
        <f>N136*VLOOKUP('Données projet'!$B$9,Paramètres!$A$1:$I$89,3,0)*VLOOKUP('Données projet'!$B$9,Paramètres!$A$1:$I$89,5,0)</f>
        <v>331.88999999999993</v>
      </c>
      <c r="P136" s="14">
        <f t="shared" si="141"/>
        <v>77.822022056956186</v>
      </c>
      <c r="Q136" s="22">
        <f t="shared" si="108"/>
        <v>713.58177174919854</v>
      </c>
      <c r="R136" s="62">
        <f t="shared" si="109"/>
        <v>1006.9151050825319</v>
      </c>
      <c r="S136" s="62">
        <f ca="1">AVERAGE(OFFSET($R$3,0,0,'Données projet'!$E$9+1,1))-AVERAGE(OFFSET($H$3,0,0,'Données projet'!$E$9+1,1))</f>
        <v>348.62416478262719</v>
      </c>
      <c r="T136" s="62">
        <f t="shared" si="142"/>
        <v>371.70674704563288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11.416776973697717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5.6437053694671247E-11</v>
      </c>
      <c r="AC136" s="24">
        <f t="shared" si="111"/>
        <v>11.416776973754153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65.838136484350741</v>
      </c>
      <c r="AO136" s="62">
        <f t="shared" si="144"/>
        <v>288.65503609903755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5.9450260100335557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3.3337650881293803E-16</v>
      </c>
      <c r="AX136" s="23">
        <f t="shared" si="114"/>
        <v>5.9450260100335557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554.99999999999989</v>
      </c>
      <c r="O137" s="14">
        <f>N137*VLOOKUP('Données projet'!$B$9,Paramètres!$A$1:$I$89,3,0)*VLOOKUP('Données projet'!$B$9,Paramètres!$A$1:$I$89,5,0)</f>
        <v>331.88999999999993</v>
      </c>
      <c r="P137" s="14">
        <f t="shared" si="141"/>
        <v>77.822022056956186</v>
      </c>
      <c r="Q137" s="22">
        <f t="shared" si="108"/>
        <v>713.58177174919854</v>
      </c>
      <c r="R137" s="62">
        <f t="shared" si="109"/>
        <v>1006.9151050825319</v>
      </c>
      <c r="S137" s="62">
        <f ca="1">AVERAGE(OFFSET($R$3,0,0,'Données projet'!$E$9+1,1))-AVERAGE(OFFSET($H$3,0,0,'Données projet'!$E$9+1,1))</f>
        <v>348.62416478262719</v>
      </c>
      <c r="T137" s="62">
        <f t="shared" si="142"/>
        <v>371.70674704563288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11.192900940789865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3.9907023377691335E-11</v>
      </c>
      <c r="AC137" s="24">
        <f t="shared" si="111"/>
        <v>11.192900940829773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65.838136484350741</v>
      </c>
      <c r="AO137" s="62">
        <f t="shared" si="144"/>
        <v>288.65503609903755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5.8284476760846156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2.357327900699253E-16</v>
      </c>
      <c r="AX137" s="23">
        <f t="shared" si="114"/>
        <v>5.8284476760846156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554.99999999999989</v>
      </c>
      <c r="O138" s="14">
        <f>N138*VLOOKUP('Données projet'!$B$9,Paramètres!$A$1:$I$89,3,0)*VLOOKUP('Données projet'!$B$9,Paramètres!$A$1:$I$89,5,0)</f>
        <v>331.88999999999993</v>
      </c>
      <c r="P138" s="14">
        <f t="shared" si="141"/>
        <v>77.822022056956186</v>
      </c>
      <c r="Q138" s="22">
        <f t="shared" si="108"/>
        <v>713.58177174919854</v>
      </c>
      <c r="R138" s="62">
        <f t="shared" si="109"/>
        <v>1006.9151050825319</v>
      </c>
      <c r="S138" s="62">
        <f ca="1">AVERAGE(OFFSET($R$3,0,0,'Données projet'!$E$9+1,1))-AVERAGE(OFFSET($H$3,0,0,'Données projet'!$E$9+1,1))</f>
        <v>348.62416478262719</v>
      </c>
      <c r="T138" s="62">
        <f t="shared" si="142"/>
        <v>371.70674704563288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10.97341498033644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2.8218526847335624E-11</v>
      </c>
      <c r="AC138" s="24">
        <f t="shared" si="111"/>
        <v>10.973414980364659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65.838136484350741</v>
      </c>
      <c r="AO138" s="62">
        <f t="shared" si="144"/>
        <v>288.65503609903755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5.7141553721586513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1.6668825440646901E-16</v>
      </c>
      <c r="AX138" s="23">
        <f t="shared" si="114"/>
        <v>5.7141553721586513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554.99999999999989</v>
      </c>
      <c r="O139" s="14">
        <f>N139*VLOOKUP('Données projet'!$B$9,Paramètres!$A$1:$I$89,3,0)*VLOOKUP('Données projet'!$B$9,Paramètres!$A$1:$I$89,5,0)</f>
        <v>331.88999999999993</v>
      </c>
      <c r="P139" s="14">
        <f t="shared" si="141"/>
        <v>77.822022056956186</v>
      </c>
      <c r="Q139" s="22">
        <f t="shared" si="108"/>
        <v>713.58177174919854</v>
      </c>
      <c r="R139" s="62">
        <f t="shared" si="109"/>
        <v>1006.9151050825319</v>
      </c>
      <c r="S139" s="62">
        <f ca="1">AVERAGE(OFFSET($R$3,0,0,'Données projet'!$E$9+1,1))-AVERAGE(OFFSET($H$3,0,0,'Données projet'!$E$9+1,1))</f>
        <v>348.62416478262719</v>
      </c>
      <c r="T139" s="62">
        <f t="shared" si="142"/>
        <v>371.70674704563288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10.758233005694288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1.9953511688845667E-11</v>
      </c>
      <c r="AC139" s="24">
        <f t="shared" si="111"/>
        <v>10.758233005714242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65.838136484350741</v>
      </c>
      <c r="AO139" s="62">
        <f t="shared" si="144"/>
        <v>288.65503609903755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5.6021042706012532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1.1786639503496265E-16</v>
      </c>
      <c r="AX139" s="23">
        <f t="shared" si="114"/>
        <v>5.6021042706012532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554.99999999999989</v>
      </c>
      <c r="O140" s="14">
        <f>N140*VLOOKUP('Données projet'!$B$9,Paramètres!$A$1:$I$89,3,0)*VLOOKUP('Données projet'!$B$9,Paramètres!$A$1:$I$89,5,0)</f>
        <v>331.88999999999993</v>
      </c>
      <c r="P140" s="14">
        <f t="shared" si="141"/>
        <v>77.822022056956186</v>
      </c>
      <c r="Q140" s="22">
        <f t="shared" si="108"/>
        <v>713.58177174919854</v>
      </c>
      <c r="R140" s="62">
        <f t="shared" si="109"/>
        <v>1006.9151050825319</v>
      </c>
      <c r="S140" s="62">
        <f ca="1">AVERAGE(OFFSET($R$3,0,0,'Données projet'!$E$9+1,1))-AVERAGE(OFFSET($H$3,0,0,'Données projet'!$E$9+1,1))</f>
        <v>348.62416478262719</v>
      </c>
      <c r="T140" s="62">
        <f t="shared" si="142"/>
        <v>371.70674704563288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10.547270618326825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1.4109263423667812E-11</v>
      </c>
      <c r="AC140" s="24">
        <f t="shared" si="111"/>
        <v>10.547270618340935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65.838136484350741</v>
      </c>
      <c r="AO140" s="62">
        <f t="shared" si="144"/>
        <v>288.65503609903755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5.4922504228009723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8.3344127203234507E-17</v>
      </c>
      <c r="AX140" s="23">
        <f t="shared" si="114"/>
        <v>5.4922504228009723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554.99999999999989</v>
      </c>
      <c r="O141" s="14">
        <f>N141*VLOOKUP('Données projet'!$B$9,Paramètres!$A$1:$I$89,3,0)*VLOOKUP('Données projet'!$B$9,Paramètres!$A$1:$I$89,5,0)</f>
        <v>331.88999999999993</v>
      </c>
      <c r="P141" s="14">
        <f t="shared" si="141"/>
        <v>77.822022056956186</v>
      </c>
      <c r="Q141" s="22">
        <f t="shared" si="108"/>
        <v>713.58177174919854</v>
      </c>
      <c r="R141" s="62">
        <f t="shared" si="109"/>
        <v>1006.9151050825319</v>
      </c>
      <c r="S141" s="62">
        <f ca="1">AVERAGE(OFFSET($R$3,0,0,'Données projet'!$E$9+1,1))-AVERAGE(OFFSET($H$3,0,0,'Données projet'!$E$9+1,1))</f>
        <v>348.62416478262719</v>
      </c>
      <c r="T141" s="62">
        <f t="shared" si="142"/>
        <v>371.70674704563288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10.340445074701288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9.9767558444228337E-12</v>
      </c>
      <c r="AC141" s="24">
        <f t="shared" si="111"/>
        <v>10.340445074711264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65.838136484350741</v>
      </c>
      <c r="AO141" s="62">
        <f t="shared" si="144"/>
        <v>288.65503609903755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5.3845507419518235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5.8933197517481325E-17</v>
      </c>
      <c r="AX141" s="23">
        <f t="shared" si="114"/>
        <v>5.3845507419518235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554.99999999999989</v>
      </c>
      <c r="O142" s="14">
        <f>N142*VLOOKUP('Données projet'!$B$9,Paramètres!$A$1:$I$89,3,0)*VLOOKUP('Données projet'!$B$9,Paramètres!$A$1:$I$89,5,0)</f>
        <v>331.88999999999993</v>
      </c>
      <c r="P142" s="14">
        <f t="shared" si="141"/>
        <v>77.822022056956186</v>
      </c>
      <c r="Q142" s="22">
        <f t="shared" si="108"/>
        <v>713.58177174919854</v>
      </c>
      <c r="R142" s="62">
        <f t="shared" si="109"/>
        <v>1006.9151050825319</v>
      </c>
      <c r="S142" s="62">
        <f ca="1">AVERAGE(OFFSET($R$3,0,0,'Données projet'!$E$9+1,1))-AVERAGE(OFFSET($H$3,0,0,'Données projet'!$E$9+1,1))</f>
        <v>348.62416478262719</v>
      </c>
      <c r="T142" s="62">
        <f t="shared" si="142"/>
        <v>371.70674704563288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10.137675253835122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7.0546317118339059E-12</v>
      </c>
      <c r="AC142" s="24">
        <f t="shared" si="111"/>
        <v>10.137675253842175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65.838136484350741</v>
      </c>
      <c r="AO142" s="62">
        <f t="shared" si="144"/>
        <v>288.65503609903755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5.2789629861538083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4.1672063601617253E-17</v>
      </c>
      <c r="AX142" s="23">
        <f t="shared" si="114"/>
        <v>5.2789629861538083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554.99999999999989</v>
      </c>
      <c r="O143" s="14">
        <f>N143*VLOOKUP('Données projet'!$B$9,Paramètres!$A$1:$I$89,3,0)*VLOOKUP('Données projet'!$B$9,Paramètres!$A$1:$I$89,5,0)</f>
        <v>331.88999999999993</v>
      </c>
      <c r="P143" s="14">
        <f t="shared" si="141"/>
        <v>77.822022056956186</v>
      </c>
      <c r="Q143" s="22">
        <f t="shared" si="108"/>
        <v>713.58177174919854</v>
      </c>
      <c r="R143" s="62">
        <f t="shared" si="109"/>
        <v>1006.9151050825319</v>
      </c>
      <c r="S143" s="62">
        <f ca="1">AVERAGE(OFFSET($R$3,0,0,'Données projet'!$E$9+1,1))-AVERAGE(OFFSET($H$3,0,0,'Données projet'!$E$9+1,1))</f>
        <v>348.62416478262719</v>
      </c>
      <c r="T143" s="62">
        <f t="shared" si="142"/>
        <v>371.70674704563288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9.9388816254787624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4.9883779222114168E-12</v>
      </c>
      <c r="AC143" s="24">
        <f t="shared" si="111"/>
        <v>9.9388816254837504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65.838136484350741</v>
      </c>
      <c r="AO143" s="62">
        <f t="shared" si="144"/>
        <v>288.65503609903755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5.1754457418448201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2.9466598758740662E-17</v>
      </c>
      <c r="AX143" s="23">
        <f t="shared" si="114"/>
        <v>5.1754457418448201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554.99999999999989</v>
      </c>
      <c r="O144" s="14">
        <f>N144*VLOOKUP('Données projet'!$B$9,Paramètres!$A$1:$I$89,3,0)*VLOOKUP('Données projet'!$B$9,Paramètres!$A$1:$I$89,5,0)</f>
        <v>331.88999999999993</v>
      </c>
      <c r="P144" s="14">
        <f t="shared" si="141"/>
        <v>77.822022056956186</v>
      </c>
      <c r="Q144" s="22">
        <f t="shared" si="108"/>
        <v>713.58177174919854</v>
      </c>
      <c r="R144" s="62">
        <f t="shared" si="109"/>
        <v>1006.9151050825319</v>
      </c>
      <c r="S144" s="62">
        <f ca="1">AVERAGE(OFFSET($R$3,0,0,'Données projet'!$E$9+1,1))-AVERAGE(OFFSET($H$3,0,0,'Données projet'!$E$9+1,1))</f>
        <v>348.62416478262719</v>
      </c>
      <c r="T144" s="62">
        <f t="shared" si="142"/>
        <v>371.70674704563288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9.7439862189223305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3.527315855916953E-12</v>
      </c>
      <c r="AC144" s="24">
        <f t="shared" si="111"/>
        <v>9.7439862189258584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65.838136484350741</v>
      </c>
      <c r="AO144" s="62">
        <f t="shared" si="144"/>
        <v>288.65503609903755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5.0739584075574466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2.0836031800808627E-17</v>
      </c>
      <c r="AX144" s="23">
        <f t="shared" si="114"/>
        <v>5.0739584075574466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554.99999999999989</v>
      </c>
      <c r="O145" s="14">
        <f>N145*VLOOKUP('Données projet'!$B$9,Paramètres!$A$1:$I$89,3,0)*VLOOKUP('Données projet'!$B$9,Paramètres!$A$1:$I$89,5,0)</f>
        <v>331.88999999999993</v>
      </c>
      <c r="P145" s="14">
        <f t="shared" si="141"/>
        <v>77.822022056956186</v>
      </c>
      <c r="Q145" s="22">
        <f t="shared" si="108"/>
        <v>713.58177174919854</v>
      </c>
      <c r="R145" s="62">
        <f t="shared" si="109"/>
        <v>1006.9151050825319</v>
      </c>
      <c r="S145" s="62">
        <f ca="1">AVERAGE(OFFSET($R$3,0,0,'Données projet'!$E$9+1,1))-AVERAGE(OFFSET($H$3,0,0,'Données projet'!$E$9+1,1))</f>
        <v>348.62416478262719</v>
      </c>
      <c r="T145" s="62">
        <f t="shared" si="142"/>
        <v>371.70674704563288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9.5529125924140104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2.4941889611057084E-12</v>
      </c>
      <c r="AC145" s="24">
        <f t="shared" si="111"/>
        <v>9.5529125924165044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65.838136484350741</v>
      </c>
      <c r="AO145" s="62">
        <f t="shared" si="144"/>
        <v>288.65503609903755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4.9744611779942867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1.4733299379370331E-17</v>
      </c>
      <c r="AX145" s="23">
        <f t="shared" si="114"/>
        <v>4.9744611779942867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554.99999999999989</v>
      </c>
      <c r="O146" s="14">
        <f>N146*VLOOKUP('Données projet'!$B$9,Paramètres!$A$1:$I$89,3,0)*VLOOKUP('Données projet'!$B$9,Paramètres!$A$1:$I$89,5,0)</f>
        <v>331.88999999999993</v>
      </c>
      <c r="P146" s="14">
        <f t="shared" si="141"/>
        <v>77.822022056956186</v>
      </c>
      <c r="Q146" s="22">
        <f t="shared" si="108"/>
        <v>713.58177174919854</v>
      </c>
      <c r="R146" s="62">
        <f t="shared" si="109"/>
        <v>1006.9151050825319</v>
      </c>
      <c r="S146" s="62">
        <f ca="1">AVERAGE(OFFSET($R$3,0,0,'Données projet'!$E$9+1,1))-AVERAGE(OFFSET($H$3,0,0,'Données projet'!$E$9+1,1))</f>
        <v>348.62416478262719</v>
      </c>
      <c r="T146" s="62">
        <f t="shared" si="142"/>
        <v>371.70674704563288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9.3655858031781136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1.7636579279584765E-12</v>
      </c>
      <c r="AC146" s="24">
        <f t="shared" si="111"/>
        <v>9.3655858031798775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65.838136484350741</v>
      </c>
      <c r="AO146" s="62">
        <f t="shared" si="144"/>
        <v>288.65503609903755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4.8769150284155423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1.0418015900404313E-17</v>
      </c>
      <c r="AX146" s="23">
        <f t="shared" si="114"/>
        <v>4.8769150284155423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554.99999999999989</v>
      </c>
      <c r="O147" s="14">
        <f>N147*VLOOKUP('Données projet'!$B$9,Paramètres!$A$1:$I$89,3,0)*VLOOKUP('Données projet'!$B$9,Paramètres!$A$1:$I$89,5,0)</f>
        <v>331.88999999999993</v>
      </c>
      <c r="P147" s="14">
        <f t="shared" si="141"/>
        <v>77.822022056956186</v>
      </c>
      <c r="Q147" s="22">
        <f t="shared" si="108"/>
        <v>713.58177174919854</v>
      </c>
      <c r="R147" s="62">
        <f t="shared" si="109"/>
        <v>1006.9151050825319</v>
      </c>
      <c r="S147" s="62">
        <f ca="1">AVERAGE(OFFSET($R$3,0,0,'Données projet'!$E$9+1,1))-AVERAGE(OFFSET($H$3,0,0,'Données projet'!$E$9+1,1))</f>
        <v>348.62416478262719</v>
      </c>
      <c r="T147" s="62">
        <f t="shared" si="142"/>
        <v>371.70674704563288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9.1819323780210738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1.2470944805528542E-12</v>
      </c>
      <c r="AC147" s="24">
        <f t="shared" si="111"/>
        <v>9.1819323780223208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65.838136484350741</v>
      </c>
      <c r="AO147" s="62">
        <f t="shared" si="144"/>
        <v>288.65503609903755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4.7812816993327614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7.3666496896851656E-18</v>
      </c>
      <c r="AX147" s="23">
        <f t="shared" si="114"/>
        <v>4.7812816993327614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554.99999999999989</v>
      </c>
      <c r="O148" s="14">
        <f>N148*VLOOKUP('Données projet'!$B$9,Paramètres!$A$1:$I$89,3,0)*VLOOKUP('Données projet'!$B$9,Paramètres!$A$1:$I$89,5,0)</f>
        <v>331.88999999999993</v>
      </c>
      <c r="P148" s="14">
        <f t="shared" si="141"/>
        <v>77.822022056956186</v>
      </c>
      <c r="Q148" s="22">
        <f t="shared" si="108"/>
        <v>713.58177174919854</v>
      </c>
      <c r="R148" s="62">
        <f t="shared" si="109"/>
        <v>1006.9151050825319</v>
      </c>
      <c r="S148" s="62">
        <f ca="1">AVERAGE(OFFSET($R$3,0,0,'Données projet'!$E$9+1,1))-AVERAGE(OFFSET($H$3,0,0,'Données projet'!$E$9+1,1))</f>
        <v>348.62416478262719</v>
      </c>
      <c r="T148" s="62">
        <f t="shared" si="142"/>
        <v>371.70674704563288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9.0018802845138346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8.8182896397923824E-13</v>
      </c>
      <c r="AC148" s="24">
        <f t="shared" si="111"/>
        <v>9.0018802845147157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65.838136484350741</v>
      </c>
      <c r="AO148" s="62">
        <f t="shared" si="144"/>
        <v>288.65503609903755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4.6875236815027224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5.2090079502021567E-18</v>
      </c>
      <c r="AX148" s="23">
        <f t="shared" si="114"/>
        <v>4.6875236815027224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554.99999999999989</v>
      </c>
      <c r="O149" s="14">
        <f>N149*VLOOKUP('Données projet'!$B$9,Paramètres!$A$1:$I$89,3,0)*VLOOKUP('Données projet'!$B$9,Paramètres!$A$1:$I$89,5,0)</f>
        <v>331.88999999999993</v>
      </c>
      <c r="P149" s="14">
        <f t="shared" si="141"/>
        <v>77.822022056956186</v>
      </c>
      <c r="Q149" s="22">
        <f t="shared" si="108"/>
        <v>713.58177174919854</v>
      </c>
      <c r="R149" s="62">
        <f t="shared" si="109"/>
        <v>1006.9151050825319</v>
      </c>
      <c r="S149" s="62">
        <f ca="1">AVERAGE(OFFSET($R$3,0,0,'Données projet'!$E$9+1,1))-AVERAGE(OFFSET($H$3,0,0,'Données projet'!$E$9+1,1))</f>
        <v>348.62416478262719</v>
      </c>
      <c r="T149" s="62">
        <f t="shared" si="142"/>
        <v>371.70674704563288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8.8253589027393389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6.2354724027642711E-13</v>
      </c>
      <c r="AC149" s="24">
        <f t="shared" si="111"/>
        <v>8.8253589027399624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65.838136484350741</v>
      </c>
      <c r="AO149" s="62">
        <f t="shared" si="144"/>
        <v>288.65503609903755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4.5956042012155862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3.6833248448425828E-18</v>
      </c>
      <c r="AX149" s="23">
        <f t="shared" si="114"/>
        <v>4.5956042012155862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554.99999999999989</v>
      </c>
      <c r="O150" s="14">
        <f>N150*VLOOKUP('Données projet'!$B$9,Paramètres!$A$1:$I$89,3,0)*VLOOKUP('Données projet'!$B$9,Paramètres!$A$1:$I$89,5,0)</f>
        <v>331.88999999999993</v>
      </c>
      <c r="P150" s="14">
        <f t="shared" si="141"/>
        <v>77.822022056956186</v>
      </c>
      <c r="Q150" s="22">
        <f t="shared" si="108"/>
        <v>713.58177174919854</v>
      </c>
      <c r="R150" s="62">
        <f t="shared" si="109"/>
        <v>1006.9151050825319</v>
      </c>
      <c r="S150" s="62">
        <f ca="1">AVERAGE(OFFSET($R$3,0,0,'Données projet'!$E$9+1,1))-AVERAGE(OFFSET($H$3,0,0,'Données projet'!$E$9+1,1))</f>
        <v>348.62416478262719</v>
      </c>
      <c r="T150" s="62">
        <f t="shared" si="142"/>
        <v>371.70674704563288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8.6522989975940305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4.4091448198961912E-13</v>
      </c>
      <c r="AC150" s="24">
        <f t="shared" si="111"/>
        <v>8.6522989975944711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65.838136484350741</v>
      </c>
      <c r="AO150" s="62">
        <f t="shared" si="144"/>
        <v>288.65503609903755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4.5054872058715336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2.6045039751010783E-18</v>
      </c>
      <c r="AX150" s="23">
        <f t="shared" si="114"/>
        <v>4.5054872058715336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554.99999999999989</v>
      </c>
      <c r="O151" s="14">
        <f>N151*VLOOKUP('Données projet'!$B$9,Paramètres!$A$1:$I$89,3,0)*VLOOKUP('Données projet'!$B$9,Paramètres!$A$1:$I$89,5,0)</f>
        <v>331.88999999999993</v>
      </c>
      <c r="P151" s="14">
        <f t="shared" si="141"/>
        <v>77.822022056956186</v>
      </c>
      <c r="Q151" s="22">
        <f t="shared" si="108"/>
        <v>713.58177174919854</v>
      </c>
      <c r="R151" s="62">
        <f t="shared" si="109"/>
        <v>1006.9151050825319</v>
      </c>
      <c r="S151" s="62">
        <f ca="1">AVERAGE(OFFSET($R$3,0,0,'Données projet'!$E$9+1,1))-AVERAGE(OFFSET($H$3,0,0,'Données projet'!$E$9+1,1))</f>
        <v>348.62416478262719</v>
      </c>
      <c r="T151" s="62">
        <f t="shared" si="142"/>
        <v>371.70674704563288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8.4826326916325012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3.1177362013821355E-13</v>
      </c>
      <c r="AC151" s="24">
        <f t="shared" si="111"/>
        <v>8.4826326916328139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65.838136484350741</v>
      </c>
      <c r="AO151" s="62">
        <f t="shared" si="144"/>
        <v>288.65503609903755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4.4171373498402389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1.8416624224212914E-18</v>
      </c>
      <c r="AX151" s="23">
        <f t="shared" si="114"/>
        <v>4.4171373498402389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554.99999999999989</v>
      </c>
      <c r="O152" s="14">
        <f>N152*VLOOKUP('Données projet'!$B$9,Paramètres!$A$1:$I$89,3,0)*VLOOKUP('Données projet'!$B$9,Paramètres!$A$1:$I$89,5,0)</f>
        <v>331.88999999999993</v>
      </c>
      <c r="P152" s="14">
        <f t="shared" si="141"/>
        <v>77.822022056956186</v>
      </c>
      <c r="Q152" s="22">
        <f t="shared" si="108"/>
        <v>713.58177174919854</v>
      </c>
      <c r="R152" s="62">
        <f t="shared" si="109"/>
        <v>1006.9151050825319</v>
      </c>
      <c r="S152" s="62">
        <f ca="1">AVERAGE(OFFSET($R$3,0,0,'Données projet'!$E$9+1,1))-AVERAGE(OFFSET($H$3,0,0,'Données projet'!$E$9+1,1))</f>
        <v>348.62416478262719</v>
      </c>
      <c r="T152" s="62">
        <f t="shared" si="142"/>
        <v>371.70674704563288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8.3162934384446494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2.2045724099480956E-13</v>
      </c>
      <c r="AC152" s="24">
        <f t="shared" si="111"/>
        <v>8.3162934384448697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65.838136484350741</v>
      </c>
      <c r="AO152" s="62">
        <f t="shared" si="144"/>
        <v>288.65503609903755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4.330519980597626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1.3022519875505392E-18</v>
      </c>
      <c r="AX152" s="23">
        <f t="shared" si="114"/>
        <v>4.330519980597626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554.99999999999989</v>
      </c>
      <c r="O153" s="14">
        <f>N153*VLOOKUP('Données projet'!$B$9,Paramètres!$A$1:$I$89,3,0)*VLOOKUP('Données projet'!$B$9,Paramètres!$A$1:$I$89,5,0)</f>
        <v>331.88999999999993</v>
      </c>
      <c r="P153" s="14">
        <f t="shared" si="141"/>
        <v>77.822022056956186</v>
      </c>
      <c r="Q153" s="22">
        <f t="shared" si="108"/>
        <v>713.58177174919854</v>
      </c>
      <c r="R153" s="62">
        <f t="shared" si="109"/>
        <v>1006.9151050825319</v>
      </c>
      <c r="S153" s="62">
        <f ca="1">AVERAGE(OFFSET($R$3,0,0,'Données projet'!$E$9+1,1))-AVERAGE(OFFSET($H$3,0,0,'Données projet'!$E$9+1,1))</f>
        <v>348.62416478262719</v>
      </c>
      <c r="T153" s="62">
        <f t="shared" si="142"/>
        <v>371.70674704563288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8.153215996554886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1.5588681006910678E-13</v>
      </c>
      <c r="AC153" s="24">
        <f t="shared" si="111"/>
        <v>8.1532159965550424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65.838136484350741</v>
      </c>
      <c r="AO153" s="62">
        <f t="shared" si="144"/>
        <v>288.65503609903755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4.2456011251344821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9.208312112106457E-19</v>
      </c>
      <c r="AX153" s="23">
        <f t="shared" si="114"/>
        <v>4.2456011251344821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554.99999999999989</v>
      </c>
      <c r="O154" s="14">
        <f>N154*VLOOKUP('Données projet'!$B$9,Paramètres!$A$1:$I$89,3,0)*VLOOKUP('Données projet'!$B$9,Paramètres!$A$1:$I$89,5,0)</f>
        <v>331.88999999999993</v>
      </c>
      <c r="P154" s="14">
        <f t="shared" si="141"/>
        <v>77.822022056956186</v>
      </c>
      <c r="Q154" s="22">
        <f t="shared" ref="Q154:Q203" si="162">(O154+P154)*0.475*44/12</f>
        <v>713.58177174919854</v>
      </c>
      <c r="R154" s="62">
        <f t="shared" si="109"/>
        <v>1006.9151050825319</v>
      </c>
      <c r="S154" s="62">
        <f ca="1">AVERAGE(OFFSET($R$3,0,0,'Données projet'!$E$9+1,1))-AVERAGE(OFFSET($H$3,0,0,'Données projet'!$E$9+1,1))</f>
        <v>348.62416478262719</v>
      </c>
      <c r="T154" s="62">
        <f t="shared" si="142"/>
        <v>371.70674704563288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7.9933364038331627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1.1022862049740478E-13</v>
      </c>
      <c r="AC154" s="24">
        <f t="shared" ref="AC154:AC203" si="163">SUM(Z154:AB154)</f>
        <v>7.9933364038332728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65.838136484350741</v>
      </c>
      <c r="AO154" s="62">
        <f t="shared" si="144"/>
        <v>288.65503609903755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4.1623474766315836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6.5112599377526959E-19</v>
      </c>
      <c r="AX154" s="23">
        <f t="shared" ref="AX154:AX203" si="166">SUM(AU154:AW154)</f>
        <v>4.1623474766315836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554.99999999999989</v>
      </c>
      <c r="O155" s="14">
        <f>N155*VLOOKUP('Données projet'!$B$9,Paramètres!$A$1:$I$89,3,0)*VLOOKUP('Données projet'!$B$9,Paramètres!$A$1:$I$89,5,0)</f>
        <v>331.88999999999993</v>
      </c>
      <c r="P155" s="14">
        <f t="shared" si="141"/>
        <v>77.822022056956186</v>
      </c>
      <c r="Q155" s="22">
        <f t="shared" si="162"/>
        <v>713.58177174919854</v>
      </c>
      <c r="R155" s="62">
        <f t="shared" si="109"/>
        <v>1006.9151050825319</v>
      </c>
      <c r="S155" s="62">
        <f ca="1">AVERAGE(OFFSET($R$3,0,0,'Données projet'!$E$9+1,1))-AVERAGE(OFFSET($H$3,0,0,'Données projet'!$E$9+1,1))</f>
        <v>348.62416478262719</v>
      </c>
      <c r="T155" s="62">
        <f t="shared" si="142"/>
        <v>371.70674704563288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7.8365919524077894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7.7943405034553388E-14</v>
      </c>
      <c r="AC155" s="24">
        <f t="shared" si="163"/>
        <v>7.8365919524078675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65.838136484350741</v>
      </c>
      <c r="AO155" s="62">
        <f t="shared" si="144"/>
        <v>288.65503609903755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4.080726381396115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4.6041560560532285E-19</v>
      </c>
      <c r="AX155" s="23">
        <f t="shared" si="166"/>
        <v>4.080726381396115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554.99999999999989</v>
      </c>
      <c r="O156" s="14">
        <f>N156*VLOOKUP('Données projet'!$B$9,Paramètres!$A$1:$I$89,3,0)*VLOOKUP('Données projet'!$B$9,Paramètres!$A$1:$I$89,5,0)</f>
        <v>331.88999999999993</v>
      </c>
      <c r="P156" s="14">
        <f t="shared" si="141"/>
        <v>77.822022056956186</v>
      </c>
      <c r="Q156" s="22">
        <f t="shared" si="162"/>
        <v>713.58177174919854</v>
      </c>
      <c r="R156" s="62">
        <f t="shared" si="109"/>
        <v>1006.9151050825319</v>
      </c>
      <c r="S156" s="62">
        <f ca="1">AVERAGE(OFFSET($R$3,0,0,'Données projet'!$E$9+1,1))-AVERAGE(OFFSET($H$3,0,0,'Données projet'!$E$9+1,1))</f>
        <v>348.62416478262719</v>
      </c>
      <c r="T156" s="62">
        <f t="shared" si="142"/>
        <v>371.70674704563288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7.6829211640701924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5.511431024870239E-14</v>
      </c>
      <c r="AC156" s="24">
        <f t="shared" si="163"/>
        <v>7.6829211640702475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65.838136484350741</v>
      </c>
      <c r="AO156" s="62">
        <f t="shared" si="144"/>
        <v>288.65503609903755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4.0007058260542614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3.2556299688763479E-19</v>
      </c>
      <c r="AX156" s="23">
        <f t="shared" si="166"/>
        <v>4.0007058260542614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554.99999999999989</v>
      </c>
      <c r="O157" s="14">
        <f>N157*VLOOKUP('Données projet'!$B$9,Paramètres!$A$1:$I$89,3,0)*VLOOKUP('Données projet'!$B$9,Paramètres!$A$1:$I$89,5,0)</f>
        <v>331.88999999999993</v>
      </c>
      <c r="P157" s="14">
        <f t="shared" si="141"/>
        <v>77.822022056956186</v>
      </c>
      <c r="Q157" s="22">
        <f t="shared" si="162"/>
        <v>713.58177174919854</v>
      </c>
      <c r="R157" s="62">
        <f t="shared" si="109"/>
        <v>1006.9151050825319</v>
      </c>
      <c r="S157" s="62">
        <f ca="1">AVERAGE(OFFSET($R$3,0,0,'Données projet'!$E$9+1,1))-AVERAGE(OFFSET($H$3,0,0,'Données projet'!$E$9+1,1))</f>
        <v>348.62416478262719</v>
      </c>
      <c r="T157" s="62">
        <f t="shared" si="142"/>
        <v>371.70674704563288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7.5322637661619698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3.8971702517276694E-14</v>
      </c>
      <c r="AC157" s="24">
        <f t="shared" si="163"/>
        <v>7.5322637661620089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65.838136484350741</v>
      </c>
      <c r="AO157" s="62">
        <f t="shared" si="144"/>
        <v>288.65503609903755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3.9222544249949425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2.3020780280266142E-19</v>
      </c>
      <c r="AX157" s="23">
        <f t="shared" si="166"/>
        <v>3.9222544249949425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554.99999999999989</v>
      </c>
      <c r="O158" s="14">
        <f>N158*VLOOKUP('Données projet'!$B$9,Paramètres!$A$1:$I$89,3,0)*VLOOKUP('Données projet'!$B$9,Paramètres!$A$1:$I$89,5,0)</f>
        <v>331.88999999999993</v>
      </c>
      <c r="P158" s="14">
        <f t="shared" si="141"/>
        <v>77.822022056956186</v>
      </c>
      <c r="Q158" s="22">
        <f t="shared" si="162"/>
        <v>713.58177174919854</v>
      </c>
      <c r="R158" s="62">
        <f t="shared" si="109"/>
        <v>1006.9151050825319</v>
      </c>
      <c r="S158" s="62">
        <f ca="1">AVERAGE(OFFSET($R$3,0,0,'Données projet'!$E$9+1,1))-AVERAGE(OFFSET($H$3,0,0,'Données projet'!$E$9+1,1))</f>
        <v>348.62416478262719</v>
      </c>
      <c r="T158" s="62">
        <f t="shared" si="142"/>
        <v>371.70674704563288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7.3845606679347888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2.7557155124351195E-14</v>
      </c>
      <c r="AC158" s="24">
        <f t="shared" si="163"/>
        <v>7.3845606679348164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65.838136484350741</v>
      </c>
      <c r="AO158" s="62">
        <f t="shared" si="144"/>
        <v>288.65503609903755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3.8453414080597672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1.627814984438174E-19</v>
      </c>
      <c r="AX158" s="23">
        <f t="shared" si="166"/>
        <v>3.8453414080597672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554.99999999999989</v>
      </c>
      <c r="O159" s="14">
        <f>N159*VLOOKUP('Données projet'!$B$9,Paramètres!$A$1:$I$89,3,0)*VLOOKUP('Données projet'!$B$9,Paramètres!$A$1:$I$89,5,0)</f>
        <v>331.88999999999993</v>
      </c>
      <c r="P159" s="14">
        <f t="shared" si="141"/>
        <v>77.822022056956186</v>
      </c>
      <c r="Q159" s="22">
        <f t="shared" si="162"/>
        <v>713.58177174919854</v>
      </c>
      <c r="R159" s="62">
        <f t="shared" si="109"/>
        <v>1006.9151050825319</v>
      </c>
      <c r="S159" s="62">
        <f ca="1">AVERAGE(OFFSET($R$3,0,0,'Données projet'!$E$9+1,1))-AVERAGE(OFFSET($H$3,0,0,'Données projet'!$E$9+1,1))</f>
        <v>348.62416478262719</v>
      </c>
      <c r="T159" s="62">
        <f t="shared" si="142"/>
        <v>371.70674704563288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7.2397539373738482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1.9485851258638347E-14</v>
      </c>
      <c r="AC159" s="24">
        <f t="shared" si="163"/>
        <v>7.2397539373738677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65.838136484350741</v>
      </c>
      <c r="AO159" s="62">
        <f t="shared" si="144"/>
        <v>288.65503609903755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3.7699366084743824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1.1510390140133071E-19</v>
      </c>
      <c r="AX159" s="23">
        <f t="shared" si="166"/>
        <v>3.7699366084743824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554.99999999999989</v>
      </c>
      <c r="O160" s="14">
        <f>N160*VLOOKUP('Données projet'!$B$9,Paramètres!$A$1:$I$89,3,0)*VLOOKUP('Données projet'!$B$9,Paramètres!$A$1:$I$89,5,0)</f>
        <v>331.88999999999993</v>
      </c>
      <c r="P160" s="14">
        <f t="shared" si="141"/>
        <v>77.822022056956186</v>
      </c>
      <c r="Q160" s="22">
        <f t="shared" si="162"/>
        <v>713.58177174919854</v>
      </c>
      <c r="R160" s="62">
        <f t="shared" si="109"/>
        <v>1006.9151050825319</v>
      </c>
      <c r="S160" s="62">
        <f ca="1">AVERAGE(OFFSET($R$3,0,0,'Données projet'!$E$9+1,1))-AVERAGE(OFFSET($H$3,0,0,'Données projet'!$E$9+1,1))</f>
        <v>348.62416478262719</v>
      </c>
      <c r="T160" s="62">
        <f t="shared" si="142"/>
        <v>371.70674704563288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7.0977867784758235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1.3778577562175598E-14</v>
      </c>
      <c r="AC160" s="24">
        <f t="shared" si="163"/>
        <v>7.0977867784758377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65.838136484350741</v>
      </c>
      <c r="AO160" s="62">
        <f t="shared" si="144"/>
        <v>288.65503609903755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3.6960104510164808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8.1390749221908698E-20</v>
      </c>
      <c r="AX160" s="23">
        <f t="shared" si="166"/>
        <v>3.6960104510164808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554.99999999999989</v>
      </c>
      <c r="O161" s="14">
        <f>N161*VLOOKUP('Données projet'!$B$9,Paramètres!$A$1:$I$89,3,0)*VLOOKUP('Données projet'!$B$9,Paramètres!$A$1:$I$89,5,0)</f>
        <v>331.88999999999993</v>
      </c>
      <c r="P161" s="14">
        <f t="shared" si="141"/>
        <v>77.822022056956186</v>
      </c>
      <c r="Q161" s="22">
        <f t="shared" si="162"/>
        <v>713.58177174919854</v>
      </c>
      <c r="R161" s="62">
        <f t="shared" si="109"/>
        <v>1006.9151050825319</v>
      </c>
      <c r="S161" s="62">
        <f ca="1">AVERAGE(OFFSET($R$3,0,0,'Données projet'!$E$9+1,1))-AVERAGE(OFFSET($H$3,0,0,'Données projet'!$E$9+1,1))</f>
        <v>348.62416478262719</v>
      </c>
      <c r="T161" s="62">
        <f t="shared" si="142"/>
        <v>371.70674704563288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6.9586035089723719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9.7429256293191735E-15</v>
      </c>
      <c r="AC161" s="24">
        <f t="shared" si="163"/>
        <v>6.9586035089723817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65.838136484350741</v>
      </c>
      <c r="AO161" s="62">
        <f t="shared" si="144"/>
        <v>288.65503609903755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3.6235339404158249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5.7551950700665356E-20</v>
      </c>
      <c r="AX161" s="23">
        <f t="shared" si="166"/>
        <v>3.6235339404158249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554.99999999999989</v>
      </c>
      <c r="O162" s="14">
        <f>N162*VLOOKUP('Données projet'!$B$9,Paramètres!$A$1:$I$89,3,0)*VLOOKUP('Données projet'!$B$9,Paramètres!$A$1:$I$89,5,0)</f>
        <v>331.88999999999993</v>
      </c>
      <c r="P162" s="14">
        <f t="shared" si="141"/>
        <v>77.822022056956186</v>
      </c>
      <c r="Q162" s="22">
        <f t="shared" si="162"/>
        <v>713.58177174919854</v>
      </c>
      <c r="R162" s="62">
        <f t="shared" si="109"/>
        <v>1006.9151050825319</v>
      </c>
      <c r="S162" s="62">
        <f ca="1">AVERAGE(OFFSET($R$3,0,0,'Données projet'!$E$9+1,1))-AVERAGE(OFFSET($H$3,0,0,'Données projet'!$E$9+1,1))</f>
        <v>348.62416478262719</v>
      </c>
      <c r="T162" s="62">
        <f t="shared" si="142"/>
        <v>371.70674704563288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6.8221495384904713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6.8892887810877988E-15</v>
      </c>
      <c r="AC162" s="24">
        <f t="shared" si="163"/>
        <v>6.8221495384904784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65.838136484350741</v>
      </c>
      <c r="AO162" s="62">
        <f t="shared" si="144"/>
        <v>288.65503609903755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3.5524786499817411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4.0695374610954349E-20</v>
      </c>
      <c r="AX162" s="23">
        <f t="shared" si="166"/>
        <v>3.5524786499817411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554.99999999999989</v>
      </c>
      <c r="O163" s="14">
        <f>N163*VLOOKUP('Données projet'!$B$9,Paramètres!$A$1:$I$89,3,0)*VLOOKUP('Données projet'!$B$9,Paramètres!$A$1:$I$89,5,0)</f>
        <v>331.88999999999993</v>
      </c>
      <c r="P163" s="14">
        <f t="shared" si="141"/>
        <v>77.822022056956186</v>
      </c>
      <c r="Q163" s="22">
        <f t="shared" si="162"/>
        <v>713.58177174919854</v>
      </c>
      <c r="R163" s="62">
        <f t="shared" si="109"/>
        <v>1006.9151050825319</v>
      </c>
      <c r="S163" s="62">
        <f ca="1">AVERAGE(OFFSET($R$3,0,0,'Données projet'!$E$9+1,1))-AVERAGE(OFFSET($H$3,0,0,'Données projet'!$E$9+1,1))</f>
        <v>348.62416478262719</v>
      </c>
      <c r="T163" s="62">
        <f t="shared" si="142"/>
        <v>371.70674704563288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6.6883713471410173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4.8714628146595868E-15</v>
      </c>
      <c r="AC163" s="24">
        <f t="shared" si="163"/>
        <v>6.6883713471410218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65.838136484350741</v>
      </c>
      <c r="AO163" s="62">
        <f t="shared" si="144"/>
        <v>288.65503609903755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3.4828167104536223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2.8775975350332678E-20</v>
      </c>
      <c r="AX163" s="23">
        <f t="shared" si="166"/>
        <v>3.4828167104536223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554.99999999999989</v>
      </c>
      <c r="O164" s="14">
        <f>N164*VLOOKUP('Données projet'!$B$9,Paramètres!$A$1:$I$89,3,0)*VLOOKUP('Données projet'!$B$9,Paramètres!$A$1:$I$89,5,0)</f>
        <v>331.88999999999993</v>
      </c>
      <c r="P164" s="14">
        <f t="shared" si="141"/>
        <v>77.822022056956186</v>
      </c>
      <c r="Q164" s="22">
        <f t="shared" si="162"/>
        <v>713.58177174919854</v>
      </c>
      <c r="R164" s="62">
        <f t="shared" si="109"/>
        <v>1006.9151050825319</v>
      </c>
      <c r="S164" s="62">
        <f ca="1">AVERAGE(OFFSET($R$3,0,0,'Données projet'!$E$9+1,1))-AVERAGE(OFFSET($H$3,0,0,'Données projet'!$E$9+1,1))</f>
        <v>348.62416478262719</v>
      </c>
      <c r="T164" s="62">
        <f t="shared" si="142"/>
        <v>371.70674704563288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6.5572164645272863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3.4446443905438994E-15</v>
      </c>
      <c r="AC164" s="24">
        <f t="shared" si="163"/>
        <v>6.5572164645272899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65.838136484350741</v>
      </c>
      <c r="AO164" s="62">
        <f t="shared" si="144"/>
        <v>288.65503609903755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3.4145207990700621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2.0347687305477175E-20</v>
      </c>
      <c r="AX164" s="23">
        <f t="shared" si="166"/>
        <v>3.4145207990700621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554.99999999999989</v>
      </c>
      <c r="O165" s="14">
        <f>N165*VLOOKUP('Données projet'!$B$9,Paramètres!$A$1:$I$89,3,0)*VLOOKUP('Données projet'!$B$9,Paramètres!$A$1:$I$89,5,0)</f>
        <v>331.88999999999993</v>
      </c>
      <c r="P165" s="14">
        <f t="shared" si="141"/>
        <v>77.822022056956186</v>
      </c>
      <c r="Q165" s="22">
        <f t="shared" si="162"/>
        <v>713.58177174919854</v>
      </c>
      <c r="R165" s="62">
        <f t="shared" si="109"/>
        <v>1006.9151050825319</v>
      </c>
      <c r="S165" s="62">
        <f ca="1">AVERAGE(OFFSET($R$3,0,0,'Données projet'!$E$9+1,1))-AVERAGE(OFFSET($H$3,0,0,'Données projet'!$E$9+1,1))</f>
        <v>348.62416478262719</v>
      </c>
      <c r="T165" s="62">
        <f t="shared" si="142"/>
        <v>371.70674704563288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6.428633449165031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2.4357314073297934E-15</v>
      </c>
      <c r="AC165" s="24">
        <f t="shared" si="163"/>
        <v>6.4286334491650337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65.838136484350741</v>
      </c>
      <c r="AO165" s="62">
        <f t="shared" si="144"/>
        <v>288.65503609903755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3.347564128852341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1.4387987675166339E-20</v>
      </c>
      <c r="AX165" s="23">
        <f t="shared" si="166"/>
        <v>3.347564128852341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554.99999999999989</v>
      </c>
      <c r="O166" s="14">
        <f>N166*VLOOKUP('Données projet'!$B$9,Paramètres!$A$1:$I$89,3,0)*VLOOKUP('Données projet'!$B$9,Paramètres!$A$1:$I$89,5,0)</f>
        <v>331.88999999999993</v>
      </c>
      <c r="P166" s="14">
        <f t="shared" si="141"/>
        <v>77.822022056956186</v>
      </c>
      <c r="Q166" s="22">
        <f t="shared" si="162"/>
        <v>713.58177174919854</v>
      </c>
      <c r="R166" s="62">
        <f t="shared" si="109"/>
        <v>1006.9151050825319</v>
      </c>
      <c r="S166" s="62">
        <f ca="1">AVERAGE(OFFSET($R$3,0,0,'Données projet'!$E$9+1,1))-AVERAGE(OFFSET($H$3,0,0,'Données projet'!$E$9+1,1))</f>
        <v>348.62416478262719</v>
      </c>
      <c r="T166" s="62">
        <f t="shared" si="142"/>
        <v>371.70674704563288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6.302571868306134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1.7223221952719497E-15</v>
      </c>
      <c r="AC166" s="24">
        <f t="shared" si="163"/>
        <v>6.3025718683061358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65.838136484350741</v>
      </c>
      <c r="AO166" s="62">
        <f t="shared" si="144"/>
        <v>288.65503609903755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3.2819204380980529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1.0173843652738587E-20</v>
      </c>
      <c r="AX166" s="23">
        <f t="shared" si="166"/>
        <v>3.2819204380980529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554.99999999999989</v>
      </c>
      <c r="O167" s="14">
        <f>N167*VLOOKUP('Données projet'!$B$9,Paramètres!$A$1:$I$89,3,0)*VLOOKUP('Données projet'!$B$9,Paramètres!$A$1:$I$89,5,0)</f>
        <v>331.88999999999993</v>
      </c>
      <c r="P167" s="14">
        <f t="shared" si="141"/>
        <v>77.822022056956186</v>
      </c>
      <c r="Q167" s="22">
        <f t="shared" si="162"/>
        <v>713.58177174919854</v>
      </c>
      <c r="R167" s="62">
        <f t="shared" si="109"/>
        <v>1006.9151050825319</v>
      </c>
      <c r="S167" s="62">
        <f ca="1">AVERAGE(OFFSET($R$3,0,0,'Données projet'!$E$9+1,1))-AVERAGE(OFFSET($H$3,0,0,'Données projet'!$E$9+1,1))</f>
        <v>348.62416478262719</v>
      </c>
      <c r="T167" s="62">
        <f t="shared" si="142"/>
        <v>371.70674704563288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6.1789822781579087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1.2178657036648967E-15</v>
      </c>
      <c r="AC167" s="24">
        <f t="shared" si="163"/>
        <v>6.1789822781579096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65.838136484350741</v>
      </c>
      <c r="AO167" s="62">
        <f t="shared" si="144"/>
        <v>288.65503609903755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3.2175639800807585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7.1939938375831695E-21</v>
      </c>
      <c r="AX167" s="23">
        <f t="shared" si="166"/>
        <v>3.2175639800807585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554.99999999999989</v>
      </c>
      <c r="O168" s="14">
        <f>N168*VLOOKUP('Données projet'!$B$9,Paramètres!$A$1:$I$89,3,0)*VLOOKUP('Données projet'!$B$9,Paramètres!$A$1:$I$89,5,0)</f>
        <v>331.88999999999993</v>
      </c>
      <c r="P168" s="14">
        <f t="shared" si="141"/>
        <v>77.822022056956186</v>
      </c>
      <c r="Q168" s="22">
        <f t="shared" si="162"/>
        <v>713.58177174919854</v>
      </c>
      <c r="R168" s="62">
        <f t="shared" si="109"/>
        <v>1006.9151050825319</v>
      </c>
      <c r="S168" s="62">
        <f ca="1">AVERAGE(OFFSET($R$3,0,0,'Données projet'!$E$9+1,1))-AVERAGE(OFFSET($H$3,0,0,'Données projet'!$E$9+1,1))</f>
        <v>348.62416478262719</v>
      </c>
      <c r="T168" s="62">
        <f t="shared" si="142"/>
        <v>371.70674704563288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6.0578162044902832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8.6116109763597484E-16</v>
      </c>
      <c r="AC168" s="24">
        <f t="shared" si="163"/>
        <v>6.0578162044902841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65.838136484350741</v>
      </c>
      <c r="AO168" s="62">
        <f t="shared" si="144"/>
        <v>288.65503609903755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3.15446951295162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5.0869218263692936E-21</v>
      </c>
      <c r="AX168" s="23">
        <f t="shared" si="166"/>
        <v>3.15446951295162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554.99999999999989</v>
      </c>
      <c r="O169" s="14">
        <f>N169*VLOOKUP('Données projet'!$B$9,Paramètres!$A$1:$I$89,3,0)*VLOOKUP('Données projet'!$B$9,Paramètres!$A$1:$I$89,5,0)</f>
        <v>331.88999999999993</v>
      </c>
      <c r="P169" s="14">
        <f t="shared" si="141"/>
        <v>77.822022056956186</v>
      </c>
      <c r="Q169" s="22">
        <f t="shared" si="162"/>
        <v>713.58177174919854</v>
      </c>
      <c r="R169" s="62">
        <f t="shared" si="109"/>
        <v>1006.9151050825319</v>
      </c>
      <c r="S169" s="62">
        <f ca="1">AVERAGE(OFFSET($R$3,0,0,'Données projet'!$E$9+1,1))-AVERAGE(OFFSET($H$3,0,0,'Données projet'!$E$9+1,1))</f>
        <v>348.62416478262719</v>
      </c>
      <c r="T169" s="62">
        <f t="shared" si="142"/>
        <v>371.70674704563288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5.9390261236232718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6.0893285183244835E-16</v>
      </c>
      <c r="AC169" s="24">
        <f t="shared" si="163"/>
        <v>5.9390261236232726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65.838136484350741</v>
      </c>
      <c r="AO169" s="62">
        <f t="shared" si="144"/>
        <v>288.65503609903755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3.0926122898390589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3.5969969187915848E-21</v>
      </c>
      <c r="AX169" s="23">
        <f t="shared" si="166"/>
        <v>3.0926122898390589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554.99999999999989</v>
      </c>
      <c r="O170" s="14">
        <f>N170*VLOOKUP('Données projet'!$B$9,Paramètres!$A$1:$I$89,3,0)*VLOOKUP('Données projet'!$B$9,Paramètres!$A$1:$I$89,5,0)</f>
        <v>331.88999999999993</v>
      </c>
      <c r="P170" s="14">
        <f t="shared" si="141"/>
        <v>77.822022056956186</v>
      </c>
      <c r="Q170" s="22">
        <f t="shared" si="162"/>
        <v>713.58177174919854</v>
      </c>
      <c r="R170" s="62">
        <f t="shared" si="109"/>
        <v>1006.9151050825319</v>
      </c>
      <c r="S170" s="62">
        <f ca="1">AVERAGE(OFFSET($R$3,0,0,'Données projet'!$E$9+1,1))-AVERAGE(OFFSET($H$3,0,0,'Données projet'!$E$9+1,1))</f>
        <v>348.62416478262719</v>
      </c>
      <c r="T170" s="62">
        <f t="shared" si="142"/>
        <v>371.70674704563288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5.8225654437872674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4.3058054881798742E-16</v>
      </c>
      <c r="AC170" s="24">
        <f t="shared" si="163"/>
        <v>5.8225654437872674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65.838136484350741</v>
      </c>
      <c r="AO170" s="62">
        <f t="shared" si="144"/>
        <v>288.65503609903755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3.0319680491425545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2.5434609131846468E-21</v>
      </c>
      <c r="AX170" s="23">
        <f t="shared" si="166"/>
        <v>3.0319680491425545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554.99999999999989</v>
      </c>
      <c r="O171" s="14">
        <f>N171*VLOOKUP('Données projet'!$B$9,Paramètres!$A$1:$I$89,3,0)*VLOOKUP('Données projet'!$B$9,Paramètres!$A$1:$I$89,5,0)</f>
        <v>331.88999999999993</v>
      </c>
      <c r="P171" s="14">
        <f t="shared" si="141"/>
        <v>77.822022056956186</v>
      </c>
      <c r="Q171" s="22">
        <f t="shared" si="162"/>
        <v>713.58177174919854</v>
      </c>
      <c r="R171" s="62">
        <f t="shared" si="109"/>
        <v>1006.9151050825319</v>
      </c>
      <c r="S171" s="62">
        <f ca="1">AVERAGE(OFFSET($R$3,0,0,'Données projet'!$E$9+1,1))-AVERAGE(OFFSET($H$3,0,0,'Données projet'!$E$9+1,1))</f>
        <v>348.62416478262719</v>
      </c>
      <c r="T171" s="62">
        <f t="shared" si="142"/>
        <v>371.70674704563288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5.7083884868488468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3.0446642591622417E-16</v>
      </c>
      <c r="AC171" s="24">
        <f t="shared" si="163"/>
        <v>5.7083884868488468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65.838136484350741</v>
      </c>
      <c r="AO171" s="62">
        <f t="shared" si="144"/>
        <v>288.65503609903755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2.9725130050167738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1.7984984593957924E-21</v>
      </c>
      <c r="AX171" s="23">
        <f t="shared" si="166"/>
        <v>2.9725130050167738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554.99999999999989</v>
      </c>
      <c r="O172" s="14">
        <f>N172*VLOOKUP('Données projet'!$B$9,Paramètres!$A$1:$I$89,3,0)*VLOOKUP('Données projet'!$B$9,Paramètres!$A$1:$I$89,5,0)</f>
        <v>331.88999999999993</v>
      </c>
      <c r="P172" s="14">
        <f t="shared" si="141"/>
        <v>77.822022056956186</v>
      </c>
      <c r="Q172" s="22">
        <f t="shared" si="162"/>
        <v>713.58177174919854</v>
      </c>
      <c r="R172" s="62">
        <f t="shared" si="109"/>
        <v>1006.9151050825319</v>
      </c>
      <c r="S172" s="62">
        <f ca="1">AVERAGE(OFFSET($R$3,0,0,'Données projet'!$E$9+1,1))-AVERAGE(OFFSET($H$3,0,0,'Données projet'!$E$9+1,1))</f>
        <v>348.62416478262719</v>
      </c>
      <c r="T172" s="62">
        <f t="shared" si="142"/>
        <v>371.70674704563288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5.5964504703949212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2.1529027440899371E-16</v>
      </c>
      <c r="AC172" s="24">
        <f t="shared" si="163"/>
        <v>5.5964504703949212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65.838136484350741</v>
      </c>
      <c r="AO172" s="62">
        <f t="shared" si="144"/>
        <v>288.65503609903755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2.9142238380423038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1.2717304565923234E-21</v>
      </c>
      <c r="AX172" s="23">
        <f t="shared" si="166"/>
        <v>2.9142238380423038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554.99999999999989</v>
      </c>
      <c r="O173" s="14">
        <f>N173*VLOOKUP('Données projet'!$B$9,Paramètres!$A$1:$I$89,3,0)*VLOOKUP('Données projet'!$B$9,Paramètres!$A$1:$I$89,5,0)</f>
        <v>331.88999999999993</v>
      </c>
      <c r="P173" s="14">
        <f t="shared" si="141"/>
        <v>77.822022056956186</v>
      </c>
      <c r="Q173" s="22">
        <f t="shared" si="162"/>
        <v>713.58177174919854</v>
      </c>
      <c r="R173" s="62">
        <f t="shared" si="109"/>
        <v>1006.9151050825319</v>
      </c>
      <c r="S173" s="62">
        <f ca="1">AVERAGE(OFFSET($R$3,0,0,'Données projet'!$E$9+1,1))-AVERAGE(OFFSET($H$3,0,0,'Données projet'!$E$9+1,1))</f>
        <v>348.62416478262719</v>
      </c>
      <c r="T173" s="62">
        <f t="shared" si="142"/>
        <v>371.70674704563288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5.4867074901682091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1.5223321295811209E-16</v>
      </c>
      <c r="AC173" s="24">
        <f t="shared" si="163"/>
        <v>5.4867074901682091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65.838136484350741</v>
      </c>
      <c r="AO173" s="62">
        <f t="shared" si="144"/>
        <v>288.65503609903755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2.8570776860793217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8.9924922969789619E-22</v>
      </c>
      <c r="AX173" s="23">
        <f t="shared" si="166"/>
        <v>2.8570776860793217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554.99999999999989</v>
      </c>
      <c r="O174" s="14">
        <f>N174*VLOOKUP('Données projet'!$B$9,Paramètres!$A$1:$I$89,3,0)*VLOOKUP('Données projet'!$B$9,Paramètres!$A$1:$I$89,5,0)</f>
        <v>331.88999999999993</v>
      </c>
      <c r="P174" s="14">
        <f t="shared" si="141"/>
        <v>77.822022056956186</v>
      </c>
      <c r="Q174" s="22">
        <f t="shared" si="162"/>
        <v>713.58177174919854</v>
      </c>
      <c r="R174" s="62">
        <f t="shared" si="109"/>
        <v>1006.9151050825319</v>
      </c>
      <c r="S174" s="62">
        <f ca="1">AVERAGE(OFFSET($R$3,0,0,'Données projet'!$E$9+1,1))-AVERAGE(OFFSET($H$3,0,0,'Données projet'!$E$9+1,1))</f>
        <v>348.62416478262719</v>
      </c>
      <c r="T174" s="62">
        <f t="shared" si="142"/>
        <v>371.70674704563288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5.3791165028471344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1.0764513720449686E-16</v>
      </c>
      <c r="AC174" s="24">
        <f t="shared" si="163"/>
        <v>5.3791165028471344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65.838136484350741</v>
      </c>
      <c r="AO174" s="62">
        <f t="shared" si="144"/>
        <v>288.65503609903755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2.8010521353006226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6.358652282961617E-22</v>
      </c>
      <c r="AX174" s="23">
        <f t="shared" si="166"/>
        <v>2.8010521353006226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554.99999999999989</v>
      </c>
      <c r="O175" s="14">
        <f>N175*VLOOKUP('Données projet'!$B$9,Paramètres!$A$1:$I$89,3,0)*VLOOKUP('Données projet'!$B$9,Paramètres!$A$1:$I$89,5,0)</f>
        <v>331.88999999999993</v>
      </c>
      <c r="P175" s="14">
        <f t="shared" si="141"/>
        <v>77.822022056956186</v>
      </c>
      <c r="Q175" s="22">
        <f t="shared" si="162"/>
        <v>713.58177174919854</v>
      </c>
      <c r="R175" s="62">
        <f t="shared" si="109"/>
        <v>1006.9151050825319</v>
      </c>
      <c r="S175" s="62">
        <f ca="1">AVERAGE(OFFSET($R$3,0,0,'Données projet'!$E$9+1,1))-AVERAGE(OFFSET($H$3,0,0,'Données projet'!$E$9+1,1))</f>
        <v>348.62416478262719</v>
      </c>
      <c r="T175" s="62">
        <f t="shared" si="142"/>
        <v>371.70674704563288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5.273635309163403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7.6116606479056043E-17</v>
      </c>
      <c r="AC175" s="24">
        <f t="shared" si="163"/>
        <v>5.273635309163403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65.838136484350741</v>
      </c>
      <c r="AO175" s="62">
        <f t="shared" si="144"/>
        <v>288.65503609903755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2.7461252114004822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4.4962461484894809E-22</v>
      </c>
      <c r="AX175" s="23">
        <f t="shared" si="166"/>
        <v>2.7461252114004822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554.99999999999989</v>
      </c>
      <c r="O176" s="14">
        <f>N176*VLOOKUP('Données projet'!$B$9,Paramètres!$A$1:$I$89,3,0)*VLOOKUP('Données projet'!$B$9,Paramètres!$A$1:$I$89,5,0)</f>
        <v>331.88999999999993</v>
      </c>
      <c r="P176" s="14">
        <f t="shared" si="141"/>
        <v>77.822022056956186</v>
      </c>
      <c r="Q176" s="22">
        <f t="shared" si="162"/>
        <v>713.58177174919854</v>
      </c>
      <c r="R176" s="62">
        <f t="shared" si="109"/>
        <v>1006.9151050825319</v>
      </c>
      <c r="S176" s="62">
        <f ca="1">AVERAGE(OFFSET($R$3,0,0,'Données projet'!$E$9+1,1))-AVERAGE(OFFSET($H$3,0,0,'Données projet'!$E$9+1,1))</f>
        <v>348.62416478262719</v>
      </c>
      <c r="T176" s="62">
        <f t="shared" si="142"/>
        <v>371.70674704563288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5.1702225373506341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5.3822568602248428E-17</v>
      </c>
      <c r="AC176" s="24">
        <f t="shared" si="163"/>
        <v>5.1702225373506341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65.838136484350741</v>
      </c>
      <c r="AO176" s="62">
        <f t="shared" si="144"/>
        <v>288.65503609903755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2.6922753709759082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3.1793261414808085E-22</v>
      </c>
      <c r="AX176" s="23">
        <f t="shared" si="166"/>
        <v>2.6922753709759082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554.99999999999989</v>
      </c>
      <c r="O177" s="14">
        <f>N177*VLOOKUP('Données projet'!$B$9,Paramètres!$A$1:$I$89,3,0)*VLOOKUP('Données projet'!$B$9,Paramètres!$A$1:$I$89,5,0)</f>
        <v>331.88999999999993</v>
      </c>
      <c r="P177" s="14">
        <f t="shared" si="141"/>
        <v>77.822022056956186</v>
      </c>
      <c r="Q177" s="22">
        <f t="shared" si="162"/>
        <v>713.58177174919854</v>
      </c>
      <c r="R177" s="62">
        <f t="shared" si="109"/>
        <v>1006.9151050825319</v>
      </c>
      <c r="S177" s="62">
        <f ca="1">AVERAGE(OFFSET($R$3,0,0,'Données projet'!$E$9+1,1))-AVERAGE(OFFSET($H$3,0,0,'Données projet'!$E$9+1,1))</f>
        <v>348.62416478262719</v>
      </c>
      <c r="T177" s="62">
        <f t="shared" si="142"/>
        <v>371.70674704563288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5.068837626917551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3.8058303239528022E-17</v>
      </c>
      <c r="AC177" s="24">
        <f t="shared" si="163"/>
        <v>5.068837626917551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65.838136484350741</v>
      </c>
      <c r="AO177" s="62">
        <f t="shared" si="144"/>
        <v>288.65503609903755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2.6394814930769006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2.2481230742447405E-22</v>
      </c>
      <c r="AX177" s="23">
        <f t="shared" si="166"/>
        <v>2.6394814930769006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554.99999999999989</v>
      </c>
      <c r="O178" s="14">
        <f>N178*VLOOKUP('Données projet'!$B$9,Paramètres!$A$1:$I$89,3,0)*VLOOKUP('Données projet'!$B$9,Paramètres!$A$1:$I$89,5,0)</f>
        <v>331.88999999999993</v>
      </c>
      <c r="P178" s="14">
        <f t="shared" si="141"/>
        <v>77.822022056956186</v>
      </c>
      <c r="Q178" s="22">
        <f t="shared" si="162"/>
        <v>713.58177174919854</v>
      </c>
      <c r="R178" s="62">
        <f t="shared" si="109"/>
        <v>1006.9151050825319</v>
      </c>
      <c r="S178" s="62">
        <f ca="1">AVERAGE(OFFSET($R$3,0,0,'Données projet'!$E$9+1,1))-AVERAGE(OFFSET($H$3,0,0,'Données projet'!$E$9+1,1))</f>
        <v>348.62416478262719</v>
      </c>
      <c r="T178" s="62">
        <f t="shared" si="142"/>
        <v>371.70674704563288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4.9694408127393714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2.6911284301124214E-17</v>
      </c>
      <c r="AC178" s="24">
        <f t="shared" si="163"/>
        <v>4.9694408127393714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65.838136484350741</v>
      </c>
      <c r="AO178" s="62">
        <f t="shared" si="144"/>
        <v>288.65503609903755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2.5877228709224065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1.5896630707404043E-22</v>
      </c>
      <c r="AX178" s="23">
        <f t="shared" si="166"/>
        <v>2.5877228709224065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554.99999999999989</v>
      </c>
      <c r="O179" s="14">
        <f>N179*VLOOKUP('Données projet'!$B$9,Paramètres!$A$1:$I$89,3,0)*VLOOKUP('Données projet'!$B$9,Paramètres!$A$1:$I$89,5,0)</f>
        <v>331.88999999999993</v>
      </c>
      <c r="P179" s="14">
        <f t="shared" si="141"/>
        <v>77.822022056956186</v>
      </c>
      <c r="Q179" s="22">
        <f t="shared" si="162"/>
        <v>713.58177174919854</v>
      </c>
      <c r="R179" s="62">
        <f t="shared" si="109"/>
        <v>1006.9151050825319</v>
      </c>
      <c r="S179" s="62">
        <f ca="1">AVERAGE(OFFSET($R$3,0,0,'Données projet'!$E$9+1,1))-AVERAGE(OFFSET($H$3,0,0,'Données projet'!$E$9+1,1))</f>
        <v>348.62416478262719</v>
      </c>
      <c r="T179" s="62">
        <f t="shared" si="142"/>
        <v>371.70674704563288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4.8719931094611555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1.9029151619764011E-17</v>
      </c>
      <c r="AC179" s="24">
        <f t="shared" si="163"/>
        <v>4.8719931094611555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65.838136484350741</v>
      </c>
      <c r="AO179" s="62">
        <f t="shared" si="144"/>
        <v>288.65503609903755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2.5369792037787198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1.1240615371223702E-22</v>
      </c>
      <c r="AX179" s="23">
        <f t="shared" si="166"/>
        <v>2.5369792037787198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554.99999999999989</v>
      </c>
      <c r="O180" s="14">
        <f>N180*VLOOKUP('Données projet'!$B$9,Paramètres!$A$1:$I$89,3,0)*VLOOKUP('Données projet'!$B$9,Paramètres!$A$1:$I$89,5,0)</f>
        <v>331.88999999999993</v>
      </c>
      <c r="P180" s="14">
        <f t="shared" si="141"/>
        <v>77.822022056956186</v>
      </c>
      <c r="Q180" s="22">
        <f t="shared" si="162"/>
        <v>713.58177174919854</v>
      </c>
      <c r="R180" s="62">
        <f t="shared" si="109"/>
        <v>1006.9151050825319</v>
      </c>
      <c r="S180" s="62">
        <f ca="1">AVERAGE(OFFSET($R$3,0,0,'Données projet'!$E$9+1,1))-AVERAGE(OFFSET($H$3,0,0,'Données projet'!$E$9+1,1))</f>
        <v>348.62416478262719</v>
      </c>
      <c r="T180" s="62">
        <f t="shared" si="142"/>
        <v>371.70674704563288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4.7764562962069954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1.3455642150562107E-17</v>
      </c>
      <c r="AC180" s="24">
        <f t="shared" si="163"/>
        <v>4.7764562962069954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65.838136484350741</v>
      </c>
      <c r="AO180" s="62">
        <f t="shared" si="144"/>
        <v>288.65503609903755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2.4872305889971398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7.9483153537020213E-23</v>
      </c>
      <c r="AX180" s="23">
        <f t="shared" si="166"/>
        <v>2.4872305889971398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554.99999999999989</v>
      </c>
      <c r="O181" s="14">
        <f>N181*VLOOKUP('Données projet'!$B$9,Paramètres!$A$1:$I$89,3,0)*VLOOKUP('Données projet'!$B$9,Paramètres!$A$1:$I$89,5,0)</f>
        <v>331.88999999999993</v>
      </c>
      <c r="P181" s="14">
        <f t="shared" si="141"/>
        <v>77.822022056956186</v>
      </c>
      <c r="Q181" s="22">
        <f t="shared" si="162"/>
        <v>713.58177174919854</v>
      </c>
      <c r="R181" s="62">
        <f t="shared" si="109"/>
        <v>1006.9151050825319</v>
      </c>
      <c r="S181" s="62">
        <f ca="1">AVERAGE(OFFSET($R$3,0,0,'Données projet'!$E$9+1,1))-AVERAGE(OFFSET($H$3,0,0,'Données projet'!$E$9+1,1))</f>
        <v>348.62416478262719</v>
      </c>
      <c r="T181" s="62">
        <f t="shared" si="142"/>
        <v>371.70674704563288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4.682792901589047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9.5145758098820054E-18</v>
      </c>
      <c r="AC181" s="24">
        <f t="shared" si="163"/>
        <v>4.682792901589047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65.838136484350741</v>
      </c>
      <c r="AO181" s="62">
        <f t="shared" si="144"/>
        <v>288.65503609903755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2.438457514207768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5.6203076856118512E-23</v>
      </c>
      <c r="AX181" s="23">
        <f t="shared" si="166"/>
        <v>2.438457514207768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554.99999999999989</v>
      </c>
      <c r="O182" s="14">
        <f>N182*VLOOKUP('Données projet'!$B$9,Paramètres!$A$1:$I$89,3,0)*VLOOKUP('Données projet'!$B$9,Paramètres!$A$1:$I$89,5,0)</f>
        <v>331.88999999999993</v>
      </c>
      <c r="P182" s="14">
        <f t="shared" si="141"/>
        <v>77.822022056956186</v>
      </c>
      <c r="Q182" s="22">
        <f t="shared" si="162"/>
        <v>713.58177174919854</v>
      </c>
      <c r="R182" s="62">
        <f t="shared" si="109"/>
        <v>1006.9151050825319</v>
      </c>
      <c r="S182" s="62">
        <f ca="1">AVERAGE(OFFSET($R$3,0,0,'Données projet'!$E$9+1,1))-AVERAGE(OFFSET($H$3,0,0,'Données projet'!$E$9+1,1))</f>
        <v>348.62416478262719</v>
      </c>
      <c r="T182" s="62">
        <f t="shared" si="142"/>
        <v>371.70674704563288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4.5909661890105271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6.7278210752810535E-18</v>
      </c>
      <c r="AC182" s="24">
        <f t="shared" si="163"/>
        <v>4.5909661890105271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65.838136484350741</v>
      </c>
      <c r="AO182" s="62">
        <f t="shared" si="144"/>
        <v>288.65503609903755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2.3906408496663776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3.9741576768510107E-23</v>
      </c>
      <c r="AX182" s="23">
        <f t="shared" si="166"/>
        <v>2.3906408496663776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554.99999999999989</v>
      </c>
      <c r="O183" s="14">
        <f>N183*VLOOKUP('Données projet'!$B$9,Paramètres!$A$1:$I$89,3,0)*VLOOKUP('Données projet'!$B$9,Paramètres!$A$1:$I$89,5,0)</f>
        <v>331.88999999999993</v>
      </c>
      <c r="P183" s="14">
        <f t="shared" si="141"/>
        <v>77.822022056956186</v>
      </c>
      <c r="Q183" s="22">
        <f t="shared" si="162"/>
        <v>713.58177174919854</v>
      </c>
      <c r="R183" s="62">
        <f t="shared" si="109"/>
        <v>1006.9151050825319</v>
      </c>
      <c r="S183" s="62">
        <f ca="1">AVERAGE(OFFSET($R$3,0,0,'Données projet'!$E$9+1,1))-AVERAGE(OFFSET($H$3,0,0,'Données projet'!$E$9+1,1))</f>
        <v>348.62416478262719</v>
      </c>
      <c r="T183" s="62">
        <f t="shared" si="142"/>
        <v>371.70674704563288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4.5009401422569075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4.7572879049410027E-18</v>
      </c>
      <c r="AC183" s="24">
        <f t="shared" si="163"/>
        <v>4.5009401422569075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65.838136484350741</v>
      </c>
      <c r="AO183" s="62">
        <f t="shared" si="144"/>
        <v>288.65503609903755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2.3437618407513581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2.8101538428059256E-23</v>
      </c>
      <c r="AX183" s="23">
        <f t="shared" si="166"/>
        <v>2.3437618407513581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554.99999999999989</v>
      </c>
      <c r="O184" s="14">
        <f>N184*VLOOKUP('Données projet'!$B$9,Paramètres!$A$1:$I$89,3,0)*VLOOKUP('Données projet'!$B$9,Paramètres!$A$1:$I$89,5,0)</f>
        <v>331.88999999999993</v>
      </c>
      <c r="P184" s="14">
        <f t="shared" si="141"/>
        <v>77.822022056956186</v>
      </c>
      <c r="Q184" s="22">
        <f t="shared" si="162"/>
        <v>713.58177174919854</v>
      </c>
      <c r="R184" s="62">
        <f t="shared" si="109"/>
        <v>1006.9151050825319</v>
      </c>
      <c r="S184" s="62">
        <f ca="1">AVERAGE(OFFSET($R$3,0,0,'Données projet'!$E$9+1,1))-AVERAGE(OFFSET($H$3,0,0,'Données projet'!$E$9+1,1))</f>
        <v>348.62416478262719</v>
      </c>
      <c r="T184" s="62">
        <f t="shared" si="142"/>
        <v>371.70674704563288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4.4126794513696606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3.3639105376405267E-18</v>
      </c>
      <c r="AC184" s="24">
        <f t="shared" si="163"/>
        <v>4.4126794513696606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65.838136484350741</v>
      </c>
      <c r="AO184" s="62">
        <f t="shared" si="144"/>
        <v>288.65503609903755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2.29780210060779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1.9870788384255053E-23</v>
      </c>
      <c r="AX184" s="23">
        <f t="shared" si="166"/>
        <v>2.29780210060779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554.99999999999989</v>
      </c>
      <c r="O185" s="14">
        <f>N185*VLOOKUP('Données projet'!$B$9,Paramètres!$A$1:$I$89,3,0)*VLOOKUP('Données projet'!$B$9,Paramètres!$A$1:$I$89,5,0)</f>
        <v>331.88999999999993</v>
      </c>
      <c r="P185" s="14">
        <f t="shared" si="141"/>
        <v>77.822022056956186</v>
      </c>
      <c r="Q185" s="22">
        <f t="shared" si="162"/>
        <v>713.58177174919854</v>
      </c>
      <c r="R185" s="62">
        <f t="shared" si="109"/>
        <v>1006.9151050825319</v>
      </c>
      <c r="S185" s="62">
        <f ca="1">AVERAGE(OFFSET($R$3,0,0,'Données projet'!$E$9+1,1))-AVERAGE(OFFSET($H$3,0,0,'Données projet'!$E$9+1,1))</f>
        <v>348.62416478262719</v>
      </c>
      <c r="T185" s="62">
        <f t="shared" si="142"/>
        <v>371.70674704563288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4.3261494987970064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2.3786439524705013E-18</v>
      </c>
      <c r="AC185" s="24">
        <f t="shared" si="163"/>
        <v>4.3261494987970064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65.838136484350741</v>
      </c>
      <c r="AO185" s="62">
        <f t="shared" si="144"/>
        <v>288.65503609903755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2.2527436029357637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1.4050769214029628E-23</v>
      </c>
      <c r="AX185" s="23">
        <f t="shared" si="166"/>
        <v>2.2527436029357637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554.99999999999989</v>
      </c>
      <c r="O186" s="14">
        <f>N186*VLOOKUP('Données projet'!$B$9,Paramètres!$A$1:$I$89,3,0)*VLOOKUP('Données projet'!$B$9,Paramètres!$A$1:$I$89,5,0)</f>
        <v>331.88999999999993</v>
      </c>
      <c r="P186" s="14">
        <f t="shared" si="141"/>
        <v>77.822022056956186</v>
      </c>
      <c r="Q186" s="22">
        <f t="shared" si="162"/>
        <v>713.58177174919854</v>
      </c>
      <c r="R186" s="62">
        <f t="shared" si="109"/>
        <v>1006.9151050825319</v>
      </c>
      <c r="S186" s="62">
        <f ca="1">AVERAGE(OFFSET($R$3,0,0,'Données projet'!$E$9+1,1))-AVERAGE(OFFSET($H$3,0,0,'Données projet'!$E$9+1,1))</f>
        <v>348.62416478262719</v>
      </c>
      <c r="T186" s="62">
        <f t="shared" si="142"/>
        <v>371.70674704563288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4.2413163458162426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1.6819552688202634E-18</v>
      </c>
      <c r="AC186" s="24">
        <f t="shared" si="163"/>
        <v>4.2413163458162426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65.838136484350741</v>
      </c>
      <c r="AO186" s="62">
        <f t="shared" si="144"/>
        <v>288.65503609903755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2.2085686749201163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9.9353941921275266E-24</v>
      </c>
      <c r="AX186" s="23">
        <f t="shared" si="166"/>
        <v>2.2085686749201163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554.99999999999989</v>
      </c>
      <c r="O187" s="14">
        <f>N187*VLOOKUP('Données projet'!$B$9,Paramètres!$A$1:$I$89,3,0)*VLOOKUP('Données projet'!$B$9,Paramètres!$A$1:$I$89,5,0)</f>
        <v>331.88999999999993</v>
      </c>
      <c r="P187" s="14">
        <f t="shared" si="141"/>
        <v>77.822022056956186</v>
      </c>
      <c r="Q187" s="22">
        <f t="shared" si="162"/>
        <v>713.58177174919854</v>
      </c>
      <c r="R187" s="62">
        <f t="shared" si="109"/>
        <v>1006.9151050825319</v>
      </c>
      <c r="S187" s="62">
        <f ca="1">AVERAGE(OFFSET($R$3,0,0,'Données projet'!$E$9+1,1))-AVERAGE(OFFSET($H$3,0,0,'Données projet'!$E$9+1,1))</f>
        <v>348.62416478262719</v>
      </c>
      <c r="T187" s="62">
        <f t="shared" si="142"/>
        <v>371.70674704563288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4.1581467192223176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1.1893219762352507E-18</v>
      </c>
      <c r="AC187" s="24">
        <f t="shared" si="163"/>
        <v>4.1581467192223176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65.838136484350741</v>
      </c>
      <c r="AO187" s="62">
        <f t="shared" si="144"/>
        <v>288.65503609903755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2.1652599902988099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7.025384607014814E-24</v>
      </c>
      <c r="AX187" s="23">
        <f t="shared" si="166"/>
        <v>2.1652599902988099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554.99999999999989</v>
      </c>
      <c r="O188" s="14">
        <f>N188*VLOOKUP('Données projet'!$B$9,Paramètres!$A$1:$I$89,3,0)*VLOOKUP('Données projet'!$B$9,Paramètres!$A$1:$I$89,5,0)</f>
        <v>331.88999999999993</v>
      </c>
      <c r="P188" s="14">
        <f t="shared" si="141"/>
        <v>77.822022056956186</v>
      </c>
      <c r="Q188" s="22">
        <f t="shared" si="162"/>
        <v>713.58177174919854</v>
      </c>
      <c r="R188" s="62">
        <f t="shared" si="109"/>
        <v>1006.9151050825319</v>
      </c>
      <c r="S188" s="62">
        <f ca="1">AVERAGE(OFFSET($R$3,0,0,'Données projet'!$E$9+1,1))-AVERAGE(OFFSET($H$3,0,0,'Données projet'!$E$9+1,1))</f>
        <v>348.62416478262719</v>
      </c>
      <c r="T188" s="62">
        <f t="shared" si="142"/>
        <v>371.70674704563288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4.0766079982774359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8.4097763441013168E-19</v>
      </c>
      <c r="AC188" s="24">
        <f t="shared" si="163"/>
        <v>4.0766079982774359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65.838136484350741</v>
      </c>
      <c r="AO188" s="62">
        <f t="shared" si="144"/>
        <v>288.65503609903755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2.1228005625672384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4.9676970960637633E-24</v>
      </c>
      <c r="AX188" s="23">
        <f t="shared" si="166"/>
        <v>2.1228005625672384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554.99999999999989</v>
      </c>
      <c r="O189" s="14">
        <f>N189*VLOOKUP('Données projet'!$B$9,Paramètres!$A$1:$I$89,3,0)*VLOOKUP('Données projet'!$B$9,Paramètres!$A$1:$I$89,5,0)</f>
        <v>331.88999999999993</v>
      </c>
      <c r="P189" s="14">
        <f t="shared" si="141"/>
        <v>77.822022056956186</v>
      </c>
      <c r="Q189" s="22">
        <f t="shared" si="162"/>
        <v>713.58177174919854</v>
      </c>
      <c r="R189" s="62">
        <f t="shared" si="109"/>
        <v>1006.9151050825319</v>
      </c>
      <c r="S189" s="62">
        <f ca="1">AVERAGE(OFFSET($R$3,0,0,'Données projet'!$E$9+1,1))-AVERAGE(OFFSET($H$3,0,0,'Données projet'!$E$9+1,1))</f>
        <v>348.62416478262719</v>
      </c>
      <c r="T189" s="62">
        <f t="shared" si="142"/>
        <v>371.70674704563288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3.9966682019165742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5.9466098811762534E-19</v>
      </c>
      <c r="AC189" s="24">
        <f t="shared" si="163"/>
        <v>3.9966682019165742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65.838136484350741</v>
      </c>
      <c r="AO189" s="62">
        <f t="shared" si="144"/>
        <v>288.65503609903755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2.0811737383157891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3.512692303507407E-24</v>
      </c>
      <c r="AX189" s="23">
        <f t="shared" si="166"/>
        <v>2.0811737383157891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554.99999999999989</v>
      </c>
      <c r="O190" s="14">
        <f>N190*VLOOKUP('Données projet'!$B$9,Paramètres!$A$1:$I$89,3,0)*VLOOKUP('Données projet'!$B$9,Paramètres!$A$1:$I$89,5,0)</f>
        <v>331.88999999999993</v>
      </c>
      <c r="P190" s="14">
        <f t="shared" si="141"/>
        <v>77.822022056956186</v>
      </c>
      <c r="Q190" s="22">
        <f t="shared" si="162"/>
        <v>713.58177174919854</v>
      </c>
      <c r="R190" s="62">
        <f t="shared" si="109"/>
        <v>1006.9151050825319</v>
      </c>
      <c r="S190" s="62">
        <f ca="1">AVERAGE(OFFSET($R$3,0,0,'Données projet'!$E$9+1,1))-AVERAGE(OFFSET($H$3,0,0,'Données projet'!$E$9+1,1))</f>
        <v>348.62416478262719</v>
      </c>
      <c r="T190" s="62">
        <f t="shared" si="142"/>
        <v>371.70674704563288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3.918295976203888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4.2048881720506584E-19</v>
      </c>
      <c r="AC190" s="24">
        <f t="shared" si="163"/>
        <v>3.918295976203888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65.838136484350741</v>
      </c>
      <c r="AO190" s="62">
        <f t="shared" si="144"/>
        <v>288.65503609903755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2.0403631906980548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2.4838485480318817E-24</v>
      </c>
      <c r="AX190" s="23">
        <f t="shared" si="166"/>
        <v>2.0403631906980548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554.99999999999989</v>
      </c>
      <c r="O191" s="14">
        <f>N191*VLOOKUP('Données projet'!$B$9,Paramètres!$A$1:$I$89,3,0)*VLOOKUP('Données projet'!$B$9,Paramètres!$A$1:$I$89,5,0)</f>
        <v>331.88999999999993</v>
      </c>
      <c r="P191" s="14">
        <f t="shared" si="141"/>
        <v>77.822022056956186</v>
      </c>
      <c r="Q191" s="22">
        <f t="shared" si="162"/>
        <v>713.58177174919854</v>
      </c>
      <c r="R191" s="62">
        <f t="shared" si="109"/>
        <v>1006.9151050825319</v>
      </c>
      <c r="S191" s="62">
        <f ca="1">AVERAGE(OFFSET($R$3,0,0,'Données projet'!$E$9+1,1))-AVERAGE(OFFSET($H$3,0,0,'Données projet'!$E$9+1,1))</f>
        <v>348.62416478262719</v>
      </c>
      <c r="T191" s="62">
        <f t="shared" si="142"/>
        <v>371.70674704563288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3.84146058203509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2.9733049405881267E-19</v>
      </c>
      <c r="AC191" s="24">
        <f t="shared" si="163"/>
        <v>3.84146058203509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65.838136484350741</v>
      </c>
      <c r="AO191" s="62">
        <f t="shared" si="144"/>
        <v>288.65503609903755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2.0003529130271285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1.7563461517537035E-24</v>
      </c>
      <c r="AX191" s="23">
        <f t="shared" si="166"/>
        <v>2.0003529130271285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554.99999999999989</v>
      </c>
      <c r="O192" s="14">
        <f>N192*VLOOKUP('Données projet'!$B$9,Paramètres!$A$1:$I$89,3,0)*VLOOKUP('Données projet'!$B$9,Paramètres!$A$1:$I$89,5,0)</f>
        <v>331.88999999999993</v>
      </c>
      <c r="P192" s="14">
        <f t="shared" si="141"/>
        <v>77.822022056956186</v>
      </c>
      <c r="Q192" s="22">
        <f t="shared" si="162"/>
        <v>713.58177174919854</v>
      </c>
      <c r="R192" s="62">
        <f t="shared" si="109"/>
        <v>1006.9151050825319</v>
      </c>
      <c r="S192" s="62">
        <f ca="1">AVERAGE(OFFSET($R$3,0,0,'Données projet'!$E$9+1,1))-AVERAGE(OFFSET($H$3,0,0,'Données projet'!$E$9+1,1))</f>
        <v>348.62416478262719</v>
      </c>
      <c r="T192" s="62">
        <f t="shared" si="142"/>
        <v>371.70674704563288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3.7661318830809791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2.1024440860253292E-19</v>
      </c>
      <c r="AC192" s="24">
        <f t="shared" si="163"/>
        <v>3.7661318830809791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65.838136484350741</v>
      </c>
      <c r="AO192" s="62">
        <f t="shared" si="144"/>
        <v>288.65503609903755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1.961127212497469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1.2419242740159408E-24</v>
      </c>
      <c r="AX192" s="23">
        <f t="shared" si="166"/>
        <v>1.961127212497469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554.99999999999989</v>
      </c>
      <c r="O193" s="14">
        <f>N193*VLOOKUP('Données projet'!$B$9,Paramètres!$A$1:$I$89,3,0)*VLOOKUP('Données projet'!$B$9,Paramètres!$A$1:$I$89,5,0)</f>
        <v>331.88999999999993</v>
      </c>
      <c r="P193" s="14">
        <f t="shared" si="141"/>
        <v>77.822022056956186</v>
      </c>
      <c r="Q193" s="22">
        <f t="shared" si="162"/>
        <v>713.58177174919854</v>
      </c>
      <c r="R193" s="62">
        <f t="shared" si="109"/>
        <v>1006.9151050825319</v>
      </c>
      <c r="S193" s="62">
        <f ca="1">AVERAGE(OFFSET($R$3,0,0,'Données projet'!$E$9+1,1))-AVERAGE(OFFSET($H$3,0,0,'Données projet'!$E$9+1,1))</f>
        <v>348.62416478262719</v>
      </c>
      <c r="T193" s="62">
        <f t="shared" si="142"/>
        <v>371.70674704563288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3.6922803339673886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1.4866524702940633E-19</v>
      </c>
      <c r="AC193" s="24">
        <f t="shared" si="163"/>
        <v>3.6922803339673886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65.838136484350741</v>
      </c>
      <c r="AO193" s="62">
        <f t="shared" si="144"/>
        <v>288.65503609903755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1.9226707040298814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8.7817307587685175E-25</v>
      </c>
      <c r="AX193" s="23">
        <f t="shared" si="166"/>
        <v>1.9226707040298814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554.99999999999989</v>
      </c>
      <c r="O194" s="14">
        <f>N194*VLOOKUP('Données projet'!$B$9,Paramètres!$A$1:$I$89,3,0)*VLOOKUP('Données projet'!$B$9,Paramètres!$A$1:$I$89,5,0)</f>
        <v>331.88999999999993</v>
      </c>
      <c r="P194" s="14">
        <f t="shared" si="141"/>
        <v>77.822022056956186</v>
      </c>
      <c r="Q194" s="22">
        <f t="shared" si="162"/>
        <v>713.58177174919854</v>
      </c>
      <c r="R194" s="62">
        <f t="shared" si="109"/>
        <v>1006.9151050825319</v>
      </c>
      <c r="S194" s="62">
        <f ca="1">AVERAGE(OFFSET($R$3,0,0,'Données projet'!$E$9+1,1))-AVERAGE(OFFSET($H$3,0,0,'Données projet'!$E$9+1,1))</f>
        <v>348.62416478262719</v>
      </c>
      <c r="T194" s="62">
        <f t="shared" si="142"/>
        <v>371.70674704563288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3.6198769686869188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1.0512220430126646E-19</v>
      </c>
      <c r="AC194" s="24">
        <f t="shared" si="163"/>
        <v>3.6198769686869188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65.838136484350741</v>
      </c>
      <c r="AO194" s="62">
        <f t="shared" si="144"/>
        <v>288.65503609903755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1.884968304237189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6.2096213700797042E-25</v>
      </c>
      <c r="AX194" s="23">
        <f t="shared" si="166"/>
        <v>1.884968304237189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554.99999999999989</v>
      </c>
      <c r="O195" s="14">
        <f>N195*VLOOKUP('Données projet'!$B$9,Paramètres!$A$1:$I$89,3,0)*VLOOKUP('Données projet'!$B$9,Paramètres!$A$1:$I$89,5,0)</f>
        <v>331.88999999999993</v>
      </c>
      <c r="P195" s="14">
        <f t="shared" si="141"/>
        <v>77.822022056956186</v>
      </c>
      <c r="Q195" s="22">
        <f t="shared" si="162"/>
        <v>713.58177174919854</v>
      </c>
      <c r="R195" s="62">
        <f t="shared" ref="R195:R203" si="191">Q195+(I195+J195)*44/12</f>
        <v>1006.9151050825319</v>
      </c>
      <c r="S195" s="62">
        <f ca="1">AVERAGE(OFFSET($R$3,0,0,'Données projet'!$E$9+1,1))-AVERAGE(OFFSET($H$3,0,0,'Données projet'!$E$9+1,1))</f>
        <v>348.62416478262719</v>
      </c>
      <c r="T195" s="62">
        <f t="shared" si="142"/>
        <v>371.70674704563288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3.5488933892379064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7.4332623514703167E-20</v>
      </c>
      <c r="AC195" s="24">
        <f t="shared" si="163"/>
        <v>3.5488933892379064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65.838136484350741</v>
      </c>
      <c r="AO195" s="62">
        <f t="shared" si="144"/>
        <v>288.65503609903755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1.8480052255082382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4.3908653793842587E-25</v>
      </c>
      <c r="AX195" s="23">
        <f t="shared" si="166"/>
        <v>1.8480052255082382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554.99999999999989</v>
      </c>
      <c r="O196" s="14">
        <f>N196*VLOOKUP('Données projet'!$B$9,Paramètres!$A$1:$I$89,3,0)*VLOOKUP('Données projet'!$B$9,Paramètres!$A$1:$I$89,5,0)</f>
        <v>331.88999999999993</v>
      </c>
      <c r="P196" s="14">
        <f t="shared" si="141"/>
        <v>77.822022056956186</v>
      </c>
      <c r="Q196" s="22">
        <f t="shared" si="162"/>
        <v>713.58177174919854</v>
      </c>
      <c r="R196" s="62">
        <f t="shared" si="191"/>
        <v>1006.9151050825319</v>
      </c>
      <c r="S196" s="62">
        <f ca="1">AVERAGE(OFFSET($R$3,0,0,'Données projet'!$E$9+1,1))-AVERAGE(OFFSET($H$3,0,0,'Données projet'!$E$9+1,1))</f>
        <v>348.62416478262719</v>
      </c>
      <c r="T196" s="62">
        <f t="shared" si="142"/>
        <v>371.70674704563288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3.4793017544861811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5.256110215063323E-20</v>
      </c>
      <c r="AC196" s="24">
        <f t="shared" si="163"/>
        <v>3.4793017544861811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65.838136484350741</v>
      </c>
      <c r="AO196" s="62">
        <f t="shared" si="144"/>
        <v>288.65503609903755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1.8117669702079102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3.1048106850398521E-25</v>
      </c>
      <c r="AX196" s="23">
        <f t="shared" si="166"/>
        <v>1.8117669702079102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554.99999999999989</v>
      </c>
      <c r="O197" s="14">
        <f>N197*VLOOKUP('Données projet'!$B$9,Paramètres!$A$1:$I$89,3,0)*VLOOKUP('Données projet'!$B$9,Paramètres!$A$1:$I$89,5,0)</f>
        <v>331.88999999999993</v>
      </c>
      <c r="P197" s="14">
        <f t="shared" ref="P197:P203" si="203">EXP(-1.0587+0.8836*LN(O197)+0.284)</f>
        <v>77.822022056956186</v>
      </c>
      <c r="Q197" s="22">
        <f t="shared" si="162"/>
        <v>713.58177174919854</v>
      </c>
      <c r="R197" s="62">
        <f t="shared" si="191"/>
        <v>1006.9151050825319</v>
      </c>
      <c r="S197" s="62">
        <f ca="1">AVERAGE(OFFSET($R$3,0,0,'Données projet'!$E$9+1,1))-AVERAGE(OFFSET($H$3,0,0,'Données projet'!$E$9+1,1))</f>
        <v>348.62416478262719</v>
      </c>
      <c r="T197" s="62">
        <f t="shared" ref="T197:T203" si="204">$T$3</f>
        <v>371.70674704563288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3.4110747692452308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3.7166311757351584E-20</v>
      </c>
      <c r="AC197" s="24">
        <f t="shared" si="163"/>
        <v>3.4110747692452308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65.838136484350741</v>
      </c>
      <c r="AO197" s="62">
        <f t="shared" ref="AO197:AO203" si="205">$AO$3</f>
        <v>288.65503609903755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1.7762393249908686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2.1954326896921294E-25</v>
      </c>
      <c r="AX197" s="23">
        <f t="shared" si="166"/>
        <v>1.7762393249908686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554.99999999999989</v>
      </c>
      <c r="O198" s="14">
        <f>N198*VLOOKUP('Données projet'!$B$9,Paramètres!$A$1:$I$89,3,0)*VLOOKUP('Données projet'!$B$9,Paramètres!$A$1:$I$89,5,0)</f>
        <v>331.88999999999993</v>
      </c>
      <c r="P198" s="14">
        <f t="shared" si="203"/>
        <v>77.822022056956186</v>
      </c>
      <c r="Q198" s="22">
        <f t="shared" si="162"/>
        <v>713.58177174919854</v>
      </c>
      <c r="R198" s="62">
        <f t="shared" si="191"/>
        <v>1006.9151050825319</v>
      </c>
      <c r="S198" s="62">
        <f ca="1">AVERAGE(OFFSET($R$3,0,0,'Données projet'!$E$9+1,1))-AVERAGE(OFFSET($H$3,0,0,'Données projet'!$E$9+1,1))</f>
        <v>348.62416478262719</v>
      </c>
      <c r="T198" s="62">
        <f t="shared" si="204"/>
        <v>371.70674704563288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3.3441856735705038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2.6280551075316615E-20</v>
      </c>
      <c r="AC198" s="24">
        <f t="shared" si="163"/>
        <v>3.3441856735705038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65.838136484350741</v>
      </c>
      <c r="AO198" s="62">
        <f t="shared" si="205"/>
        <v>288.65503609903755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1.7414083552268091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1.552405342519926E-25</v>
      </c>
      <c r="AX198" s="23">
        <f t="shared" si="166"/>
        <v>1.7414083552268091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554.99999999999989</v>
      </c>
      <c r="O199" s="14">
        <f>N199*VLOOKUP('Données projet'!$B$9,Paramètres!$A$1:$I$89,3,0)*VLOOKUP('Données projet'!$B$9,Paramètres!$A$1:$I$89,5,0)</f>
        <v>331.88999999999993</v>
      </c>
      <c r="P199" s="14">
        <f t="shared" si="203"/>
        <v>77.822022056956186</v>
      </c>
      <c r="Q199" s="22">
        <f t="shared" si="162"/>
        <v>713.58177174919854</v>
      </c>
      <c r="R199" s="62">
        <f t="shared" si="191"/>
        <v>1006.9151050825319</v>
      </c>
      <c r="S199" s="62">
        <f ca="1">AVERAGE(OFFSET($R$3,0,0,'Données projet'!$E$9+1,1))-AVERAGE(OFFSET($H$3,0,0,'Données projet'!$E$9+1,1))</f>
        <v>348.62416478262719</v>
      </c>
      <c r="T199" s="62">
        <f t="shared" si="204"/>
        <v>371.70674704563288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3.2786082322636383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1.8583155878675792E-20</v>
      </c>
      <c r="AC199" s="24">
        <f t="shared" si="163"/>
        <v>3.2786082322636383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65.838136484350741</v>
      </c>
      <c r="AO199" s="62">
        <f t="shared" si="205"/>
        <v>288.65503609903755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1.7072603995350291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1.0977163448460647E-25</v>
      </c>
      <c r="AX199" s="23">
        <f t="shared" si="166"/>
        <v>1.7072603995350291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554.99999999999989</v>
      </c>
      <c r="O200" s="14">
        <f>N200*VLOOKUP('Données projet'!$B$9,Paramètres!$A$1:$I$89,3,0)*VLOOKUP('Données projet'!$B$9,Paramètres!$A$1:$I$89,5,0)</f>
        <v>331.88999999999993</v>
      </c>
      <c r="P200" s="14">
        <f t="shared" si="203"/>
        <v>77.822022056956186</v>
      </c>
      <c r="Q200" s="22">
        <f t="shared" si="162"/>
        <v>713.58177174919854</v>
      </c>
      <c r="R200" s="62">
        <f t="shared" si="191"/>
        <v>1006.9151050825319</v>
      </c>
      <c r="S200" s="62">
        <f ca="1">AVERAGE(OFFSET($R$3,0,0,'Données projet'!$E$9+1,1))-AVERAGE(OFFSET($H$3,0,0,'Données projet'!$E$9+1,1))</f>
        <v>348.62416478262719</v>
      </c>
      <c r="T200" s="62">
        <f t="shared" si="204"/>
        <v>371.70674704563288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3.2143167245825106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1.3140275537658308E-20</v>
      </c>
      <c r="AC200" s="24">
        <f t="shared" si="163"/>
        <v>3.2143167245825106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65.838136484350741</v>
      </c>
      <c r="AO200" s="62">
        <f t="shared" si="205"/>
        <v>288.65503609903755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1.6737820644261685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7.7620267125996302E-26</v>
      </c>
      <c r="AX200" s="23">
        <f t="shared" si="166"/>
        <v>1.6737820644261685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554.99999999999989</v>
      </c>
      <c r="O201" s="14">
        <f>N201*VLOOKUP('Données projet'!$B$9,Paramètres!$A$1:$I$89,3,0)*VLOOKUP('Données projet'!$B$9,Paramètres!$A$1:$I$89,5,0)</f>
        <v>331.88999999999993</v>
      </c>
      <c r="P201" s="14">
        <f t="shared" si="203"/>
        <v>77.822022056956186</v>
      </c>
      <c r="Q201" s="22">
        <f t="shared" si="162"/>
        <v>713.58177174919854</v>
      </c>
      <c r="R201" s="62">
        <f t="shared" si="191"/>
        <v>1006.9151050825319</v>
      </c>
      <c r="S201" s="62">
        <f ca="1">AVERAGE(OFFSET($R$3,0,0,'Données projet'!$E$9+1,1))-AVERAGE(OFFSET($H$3,0,0,'Données projet'!$E$9+1,1))</f>
        <v>348.62416478262719</v>
      </c>
      <c r="T201" s="62">
        <f t="shared" si="204"/>
        <v>371.70674704563288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3.1512859341530626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9.2915779393378959E-21</v>
      </c>
      <c r="AC201" s="24">
        <f t="shared" si="163"/>
        <v>3.1512859341530626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65.838136484350741</v>
      </c>
      <c r="AO201" s="62">
        <f t="shared" si="205"/>
        <v>288.65503609903755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1.6409602190490244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5.4885817242303234E-26</v>
      </c>
      <c r="AX201" s="23">
        <f t="shared" si="166"/>
        <v>1.6409602190490244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554.99999999999989</v>
      </c>
      <c r="O202" s="14">
        <f>N202*VLOOKUP('Données projet'!$B$9,Paramètres!$A$1:$I$89,3,0)*VLOOKUP('Données projet'!$B$9,Paramètres!$A$1:$I$89,5,0)</f>
        <v>331.88999999999993</v>
      </c>
      <c r="P202" s="14">
        <f t="shared" si="203"/>
        <v>77.822022056956186</v>
      </c>
      <c r="Q202" s="22">
        <f t="shared" si="162"/>
        <v>713.58177174919854</v>
      </c>
      <c r="R202" s="62">
        <f t="shared" si="191"/>
        <v>1006.9151050825319</v>
      </c>
      <c r="S202" s="62">
        <f ca="1">AVERAGE(OFFSET($R$3,0,0,'Données projet'!$E$9+1,1))-AVERAGE(OFFSET($H$3,0,0,'Données projet'!$E$9+1,1))</f>
        <v>348.62416478262719</v>
      </c>
      <c r="T202" s="62">
        <f t="shared" si="204"/>
        <v>371.70674704563288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3.0894911390789499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6.5701377688291538E-21</v>
      </c>
      <c r="AC202" s="24">
        <f t="shared" si="163"/>
        <v>3.0894911390789499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65.838136484350741</v>
      </c>
      <c r="AO202" s="62">
        <f t="shared" si="205"/>
        <v>288.65503609903755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1.6087819900403773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3.8810133562998151E-26</v>
      </c>
      <c r="AX202" s="23">
        <f t="shared" si="166"/>
        <v>1.6087819900403773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554.99999999999989</v>
      </c>
      <c r="O203" s="14">
        <f>N203*VLOOKUP('Données projet'!$B$9,Paramètres!$A$1:$I$89,3,0)*VLOOKUP('Données projet'!$B$9,Paramètres!$A$1:$I$89,5,0)</f>
        <v>331.88999999999993</v>
      </c>
      <c r="P203" s="14">
        <f t="shared" si="203"/>
        <v>77.822022056956186</v>
      </c>
      <c r="Q203" s="22">
        <f t="shared" si="162"/>
        <v>713.58177174919854</v>
      </c>
      <c r="R203" s="62">
        <f t="shared" si="191"/>
        <v>1006.9151050825319</v>
      </c>
      <c r="S203" s="62">
        <f ca="1">AVERAGE(OFFSET($R$3,0,0,'Données projet'!$E$9+1,1))-AVERAGE(OFFSET($H$3,0,0,'Données projet'!$E$9+1,1))</f>
        <v>348.62416478262719</v>
      </c>
      <c r="T203" s="62">
        <f t="shared" si="204"/>
        <v>371.70674704563288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3.0289081022451372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4.6457889696689479E-21</v>
      </c>
      <c r="AC203" s="24">
        <f t="shared" si="163"/>
        <v>3.0289081022451372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65.838136484350741</v>
      </c>
      <c r="AO203" s="62">
        <f t="shared" si="205"/>
        <v>288.65503609903755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1.577234756475808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2.7442908621151617E-26</v>
      </c>
      <c r="AX203" s="23">
        <f t="shared" si="166"/>
        <v>1.577234756475808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1.3239616704988877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1.3141519994188957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M17" sqref="M1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laricio</v>
      </c>
      <c r="B6" s="155">
        <f>'Données projet'!D9</f>
        <v>1.0373999999999999</v>
      </c>
      <c r="C6" s="156">
        <f ca="1">IF(OR('Données projet'!B9="",'Données projet'!C9="",'Données projet'!C9=0%),0,Calculateur!S3)</f>
        <v>348.62416478262719</v>
      </c>
      <c r="D6" s="156">
        <f>IF(OR('Données projet'!B9="",'Données projet'!C9="",'Données projet'!C9=0%),0,Calculateur!T3)</f>
        <v>371.70674704563288</v>
      </c>
      <c r="E6" s="156">
        <f ca="1">MIN(C6,D6)</f>
        <v>348.62416478262719</v>
      </c>
      <c r="F6" s="156">
        <f ca="1">E6*B6</f>
        <v>361.66270854549742</v>
      </c>
      <c r="G6" s="156">
        <f ca="1">F6*(100%-'Données projet'!$C$24)*(100%-'Données projet'!$C$25)*(100%-'Données projet'!$C$26)*(100%-'Données projet'!$C$27)</f>
        <v>276.67197203730552</v>
      </c>
      <c r="H6" s="157">
        <f>IF(OR('Données projet'!B9="",'Données projet'!C9="",'Données projet'!C9=0%),0,AVERAGE(Calculateur!$AC$3:$AC$33)*B6)</f>
        <v>5.870254383721238</v>
      </c>
      <c r="I6" s="158">
        <f>H6*(100%-'Données projet'!$C$24)*(100%-'Données projet'!$C$25)*(100%-'Données projet'!$C$26)*(100%-'Données projet'!$C$27)</f>
        <v>4.4907446035467471</v>
      </c>
      <c r="J6" s="159">
        <f>IF(OR('Données projet'!B9="",'Données projet'!C9="",'Données projet'!C9=0%),0,SUM(Calculateur!$V$3:$V$33)*VLOOKUP('Données projet'!$B$9,Paramètres!$A$1:$I$89,9,0)*B6)</f>
        <v>53.529839999999993</v>
      </c>
      <c r="K6" s="160">
        <f>J6*(100%-'Données projet'!$C$24)*(100%-'Données projet'!$C$25)*(100%-'Données projet'!$C$26)*(100%-'Données projet'!$C$27)</f>
        <v>40.950327599999994</v>
      </c>
      <c r="L6" s="161">
        <f ca="1">G6+I6+K6</f>
        <v>322.11304424085228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Koster</v>
      </c>
      <c r="B7" s="163">
        <f>'Données projet'!D10</f>
        <v>0.18200000000000002</v>
      </c>
      <c r="C7" s="156">
        <f ca="1">IF(OR('Données projet'!B10="",'Données projet'!C10="",'Données projet'!C10=0%),0,Calculateur!AN3)</f>
        <v>65.838136484350741</v>
      </c>
      <c r="D7" s="156">
        <f>IF(OR('Données projet'!B10="",'Données projet'!C10="",'Données projet'!C10=0%),0,Calculateur!AO3)</f>
        <v>288.65503609903755</v>
      </c>
      <c r="E7" s="156">
        <f t="shared" ref="E7:E15" ca="1" si="0">MIN(C7,D7)</f>
        <v>65.838136484350741</v>
      </c>
      <c r="F7" s="156">
        <f t="shared" ref="F7:F15" ca="1" si="1">E7*B7</f>
        <v>11.982540840151836</v>
      </c>
      <c r="G7" s="156">
        <f ca="1">F7*(100%-'Données projet'!$C$24)*(100%-'Données projet'!$C$25)*(100%-'Données projet'!$C$26)*(100%-'Données projet'!$C$27)</f>
        <v>9.1666437427161558</v>
      </c>
      <c r="H7" s="164">
        <f>IF(OR('Données projet'!B10="",'Données projet'!C10="",'Données projet'!C10=0%),0,AVERAGE(Calculateur!$AX$3:$AX$33)*B7)</f>
        <v>3.9318043315662004</v>
      </c>
      <c r="I7" s="158">
        <f>H7*(100%-'Données projet'!$C$24)*(100%-'Données projet'!$C$25)*(100%-'Données projet'!$C$26)*(100%-'Données projet'!$C$27)</f>
        <v>3.0078303136481432</v>
      </c>
      <c r="J7" s="159">
        <f>IF(OR('Données projet'!B10="",'Données projet'!C10="",'Données projet'!C10=0%),0,SUM(Calculateur!$AQ$3:$AQ$33)*VLOOKUP('Données projet'!$B$10,Paramètres!$A$1:$I$89,9,0)*B7)</f>
        <v>44.240560000000009</v>
      </c>
      <c r="K7" s="160">
        <f>J7*(100%-'Données projet'!$C$24)*(100%-'Données projet'!$C$25)*(100%-'Données projet'!$C$26)*(100%-'Données projet'!$C$27)</f>
        <v>33.844028400000006</v>
      </c>
      <c r="L7" s="161">
        <f t="shared" ref="L7:L15" ca="1" si="2">G7+I7+K7</f>
        <v>46.018502456364303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373.64524938564927</v>
      </c>
      <c r="G16" s="175">
        <f t="shared" ca="1" si="3"/>
        <v>285.83861578002166</v>
      </c>
      <c r="H16" s="176">
        <f t="shared" si="3"/>
        <v>9.8020587152874388</v>
      </c>
      <c r="I16" s="176">
        <f t="shared" si="3"/>
        <v>7.4985749171948903</v>
      </c>
      <c r="J16" s="177">
        <f t="shared" si="3"/>
        <v>97.770399999999995</v>
      </c>
      <c r="K16" s="177">
        <f t="shared" si="3"/>
        <v>74.794355999999993</v>
      </c>
      <c r="L16" s="178">
        <f t="shared" ca="1" si="3"/>
        <v>368.13154669721655</v>
      </c>
      <c r="M16" s="25">
        <f ca="1">(L16/B6+B7)</f>
        <v>355.0417905313443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laricio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Koster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9" zoomScale="90" zoomScaleNormal="90" workbookViewId="0">
      <selection activeCell="I35" sqref="I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laricio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1418.9708757312046</v>
      </c>
      <c r="U10" s="190">
        <f>'Données projet'!D9</f>
        <v>1.0373999999999999</v>
      </c>
      <c r="V10" s="189">
        <f>U10*T10</f>
        <v>1472.0403864835514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Koster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6360.6214675615265</v>
      </c>
      <c r="U11" s="190">
        <f>'Données projet'!D10</f>
        <v>0.18200000000000002</v>
      </c>
      <c r="V11" s="189">
        <f t="shared" ref="V11" si="0">U11*T11</f>
        <v>1157.633107096198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laricio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685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685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685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17</v>
      </c>
      <c r="B23" s="193">
        <f>'Données projet'!D36</f>
        <v>15</v>
      </c>
      <c r="C23" s="206">
        <v>18</v>
      </c>
      <c r="D23" s="194">
        <f>B23*C23</f>
        <v>270</v>
      </c>
      <c r="E23" s="206"/>
      <c r="F23" s="261"/>
      <c r="H23" s="203">
        <v>3</v>
      </c>
      <c r="I23" s="204">
        <v>685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-3089.5947940277947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20</v>
      </c>
      <c r="B24" s="193">
        <f>'Données projet'!D37</f>
        <v>15</v>
      </c>
      <c r="C24" s="206">
        <v>27</v>
      </c>
      <c r="D24" s="194">
        <f t="shared" ref="D24:D42" si="2">B24*C24</f>
        <v>405</v>
      </c>
      <c r="E24" s="206"/>
      <c r="F24" s="264"/>
      <c r="H24" s="203">
        <v>4</v>
      </c>
      <c r="I24" s="204">
        <v>685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36</v>
      </c>
      <c r="C25" s="206">
        <v>36</v>
      </c>
      <c r="D25" s="194">
        <f t="shared" si="2"/>
        <v>1296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-3089.5947940277947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54</v>
      </c>
      <c r="C26" s="206">
        <v>48</v>
      </c>
      <c r="D26" s="194">
        <f t="shared" si="2"/>
        <v>2592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35</v>
      </c>
      <c r="B27" s="193">
        <f>'Données projet'!D40</f>
        <v>52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40</v>
      </c>
      <c r="B28" s="193">
        <f>'Données projet'!D41</f>
        <v>48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45</v>
      </c>
      <c r="B29" s="193">
        <f>'Données projet'!D42</f>
        <v>57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50</v>
      </c>
      <c r="B30" s="193">
        <f>'Données projet'!D43</f>
        <v>47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55</v>
      </c>
      <c r="B31" s="193">
        <f>'Données projet'!D44</f>
        <v>48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60</v>
      </c>
      <c r="B32" s="193">
        <f>'Données projet'!D45</f>
        <v>32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65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Koster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236</v>
      </c>
      <c r="C54" s="204">
        <v>65</v>
      </c>
      <c r="D54" s="191">
        <f>B54*C54</f>
        <v>15340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2023-06-13T11:37:32Z</dcterms:modified>
</cp:coreProperties>
</file>