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6-UZESTE (33) - GAZEAUD Elisabeth\Documents fin\"/>
    </mc:Choice>
  </mc:AlternateContent>
  <xr:revisionPtr revIDLastSave="0" documentId="13_ncr:1_{282B48B4-7F91-4DDA-BDC8-2167528EF190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<sst xmlns="http://schemas.openxmlformats.org/spreadsheetml/2006/main" count="1170" uniqueCount="324">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</sst>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2.0163255466281131</c:v>
                </c:pt>
                <c:pt idx="2">
                  <c:v>2.621673140601819</c:v>
                </c:pt>
                <c:pt idx="3">
                  <c:v>3.4095004707059817</c:v>
                </c:pt>
                <c:pt idx="4">
                  <c:v>4.4350258947343066</c:v>
                </c:pt>
                <c:pt idx="5">
                  <c:v>5.770236466654187</c:v>
                </c:pt>
                <c:pt idx="6">
                  <c:v>7.5089970713214749</c:v>
                </c:pt>
                <c:pt idx="7">
                  <c:v>9.7737209540079721</c:v>
                </c:pt>
                <c:pt idx="8">
                  <c:v>12.724080145238965</c:v>
                </c:pt>
                <c:pt idx="9">
                  <c:v>16.568381291448102</c:v>
                </c:pt>
                <c:pt idx="10">
                  <c:v>21.578424681057971</c:v>
                </c:pt>
                <c:pt idx="11">
                  <c:v>28.108915772242117</c:v>
                </c:pt>
                <c:pt idx="12">
                  <c:v>36.6228275693935</c:v>
                </c:pt>
                <c:pt idx="13">
                  <c:v>47.724542701983104</c:v>
                </c:pt>
                <c:pt idx="14">
                  <c:v>62.203167380699057</c:v>
                </c:pt>
                <c:pt idx="15">
                  <c:v>81.089146592114631</c:v>
                </c:pt>
                <c:pt idx="16">
                  <c:v>105.72827470437562</c:v>
                </c:pt>
                <c:pt idx="17">
                  <c:v>137.8784585019167</c:v>
                </c:pt>
                <c:pt idx="18">
                  <c:v>133.09494877113312</c:v>
                </c:pt>
                <c:pt idx="19">
                  <c:v>147.8676295244816</c:v>
                </c:pt>
                <c:pt idx="20">
                  <c:v>162.60506557753638</c:v>
                </c:pt>
                <c:pt idx="21">
                  <c:v>158.96711933407138</c:v>
                </c:pt>
                <c:pt idx="22">
                  <c:v>174.80435986940384</c:v>
                </c:pt>
                <c:pt idx="23">
                  <c:v>190.60789667260715</c:v>
                </c:pt>
                <c:pt idx="24">
                  <c:v>206.38091870707342</c:v>
                </c:pt>
                <c:pt idx="25">
                  <c:v>222.12608711761609</c:v>
                </c:pt>
                <c:pt idx="26">
                  <c:v>193.7131067470614</c:v>
                </c:pt>
                <c:pt idx="27">
                  <c:v>211.80440891545254</c:v>
                </c:pt>
                <c:pt idx="28">
                  <c:v>229.86009453547459</c:v>
                </c:pt>
                <c:pt idx="29">
                  <c:v>247.88335510881768</c:v>
                </c:pt>
                <c:pt idx="30">
                  <c:v>265.87687983783059</c:v>
                </c:pt>
                <c:pt idx="31">
                  <c:v>221.094424049145</c:v>
                </c:pt>
                <c:pt idx="32">
                  <c:v>245.82510561630218</c:v>
                </c:pt>
                <c:pt idx="33">
                  <c:v>270.49926667643871</c:v>
                </c:pt>
                <c:pt idx="34">
                  <c:v>295.12278580201036</c:v>
                </c:pt>
                <c:pt idx="35">
                  <c:v>319.70048005131156</c:v>
                </c:pt>
                <c:pt idx="36">
                  <c:v>276.65969017765576</c:v>
                </c:pt>
                <c:pt idx="37">
                  <c:v>300.24677381248517</c:v>
                </c:pt>
                <c:pt idx="38">
                  <c:v>323.79259907322461</c:v>
                </c:pt>
                <c:pt idx="39">
                  <c:v>347.30058618137645</c:v>
                </c:pt>
                <c:pt idx="40">
                  <c:v>370.77365464076269</c:v>
                </c:pt>
                <c:pt idx="41">
                  <c:v>332.7401462206351</c:v>
                </c:pt>
                <c:pt idx="42">
                  <c:v>355.97934182146497</c:v>
                </c:pt>
                <c:pt idx="43">
                  <c:v>379.18532666257607</c:v>
                </c:pt>
                <c:pt idx="44">
                  <c:v>402.36041748843604</c:v>
                </c:pt>
                <c:pt idx="45">
                  <c:v>425.50664252865255</c:v>
                </c:pt>
                <c:pt idx="46">
                  <c:v>377.65623675733673</c:v>
                </c:pt>
                <c:pt idx="47">
                  <c:v>402.36041748843598</c:v>
                </c:pt>
                <c:pt idx="48">
                  <c:v>427.03179740518721</c:v>
                </c:pt>
                <c:pt idx="49">
                  <c:v>451.6725362162706</c:v>
                </c:pt>
                <c:pt idx="50">
                  <c:v>476.28453894255682</c:v>
                </c:pt>
                <c:pt idx="51">
                  <c:v>440.75297566986848</c:v>
                </c:pt>
                <c:pt idx="52">
                  <c:v>464.87006056330688</c:v>
                </c:pt>
                <c:pt idx="53">
                  <c:v>488.96047611898672</c:v>
                </c:pt>
                <c:pt idx="54">
                  <c:v>513.02571977154412</c:v>
                </c:pt>
                <c:pt idx="55">
                  <c:v>537.06713714333102</c:v>
                </c:pt>
                <c:pt idx="56">
                  <c:v>501.88275263065435</c:v>
                </c:pt>
                <c:pt idx="57">
                  <c:v>527.45334886640921</c:v>
                </c:pt>
                <c:pt idx="58">
                  <c:v>552.99785326740505</c:v>
                </c:pt>
                <c:pt idx="59">
                  <c:v>578.51763916434709</c:v>
                </c:pt>
                <c:pt idx="60">
                  <c:v>604.01394898353021</c:v>
                </c:pt>
                <c:pt idx="61">
                  <c:v>586.59816285328338</c:v>
                </c:pt>
                <c:pt idx="62">
                  <c:v>609.56459959541496</c:v>
                </c:pt>
                <c:pt idx="63">
                  <c:v>632.51308531631423</c:v>
                </c:pt>
                <c:pt idx="64">
                  <c:v>655.44436221136857</c:v>
                </c:pt>
                <c:pt idx="65">
                  <c:v>678.35911636872549</c:v>
                </c:pt>
                <c:pt idx="66">
                  <c:v>643.09884718374997</c:v>
                </c:pt>
                <c:pt idx="67">
                  <c:v>643.09884718374997</c:v>
                </c:pt>
                <c:pt idx="68">
                  <c:v>643.09884718374997</c:v>
                </c:pt>
                <c:pt idx="69">
                  <c:v>643.09884718374997</c:v>
                </c:pt>
                <c:pt idx="70">
                  <c:v>643.09884718374997</c:v>
                </c:pt>
                <c:pt idx="71">
                  <c:v>643.09884718374997</c:v>
                </c:pt>
                <c:pt idx="72">
                  <c:v>643.09884718374997</c:v>
                </c:pt>
                <c:pt idx="73">
                  <c:v>643.09884718374997</c:v>
                </c:pt>
                <c:pt idx="74">
                  <c:v>643.09884718374997</c:v>
                </c:pt>
                <c:pt idx="75">
                  <c:v>643.09884718374997</c:v>
                </c:pt>
                <c:pt idx="76">
                  <c:v>643.09884718374997</c:v>
                </c:pt>
                <c:pt idx="77">
                  <c:v>643.09884718374997</c:v>
                </c:pt>
                <c:pt idx="78">
                  <c:v>643.09884718374997</c:v>
                </c:pt>
                <c:pt idx="79">
                  <c:v>643.09884718374997</c:v>
                </c:pt>
                <c:pt idx="80">
                  <c:v>643.09884718374997</c:v>
                </c:pt>
                <c:pt idx="81">
                  <c:v>643.09884718374997</c:v>
                </c:pt>
                <c:pt idx="82">
                  <c:v>643.09884718374997</c:v>
                </c:pt>
                <c:pt idx="83">
                  <c:v>643.09884718374997</c:v>
                </c:pt>
                <c:pt idx="84">
                  <c:v>643.09884718374997</c:v>
                </c:pt>
                <c:pt idx="85">
                  <c:v>643.09884718374997</c:v>
                </c:pt>
                <c:pt idx="86">
                  <c:v>643.09884718374997</c:v>
                </c:pt>
                <c:pt idx="87">
                  <c:v>643.09884718374997</c:v>
                </c:pt>
                <c:pt idx="88">
                  <c:v>643.09884718374997</c:v>
                </c:pt>
                <c:pt idx="89">
                  <c:v>643.09884718374997</c:v>
                </c:pt>
                <c:pt idx="90">
                  <c:v>643.09884718374997</c:v>
                </c:pt>
                <c:pt idx="91">
                  <c:v>643.09884718374997</c:v>
                </c:pt>
                <c:pt idx="92">
                  <c:v>643.09884718374997</c:v>
                </c:pt>
                <c:pt idx="93">
                  <c:v>643.09884718374997</c:v>
                </c:pt>
                <c:pt idx="94">
                  <c:v>643.09884718374997</c:v>
                </c:pt>
                <c:pt idx="95">
                  <c:v>643.09884718374997</c:v>
                </c:pt>
                <c:pt idx="96">
                  <c:v>643.09884718374997</c:v>
                </c:pt>
                <c:pt idx="97">
                  <c:v>643.09884718374997</c:v>
                </c:pt>
                <c:pt idx="98">
                  <c:v>643.09884718374997</c:v>
                </c:pt>
                <c:pt idx="99">
                  <c:v>643.09884718374997</c:v>
                </c:pt>
                <c:pt idx="100">
                  <c:v>643.09884718374997</c:v>
                </c:pt>
                <c:pt idx="101">
                  <c:v>643.09884718374997</c:v>
                </c:pt>
                <c:pt idx="102">
                  <c:v>643.09884718374997</c:v>
                </c:pt>
                <c:pt idx="103">
                  <c:v>643.09884718374997</c:v>
                </c:pt>
                <c:pt idx="104">
                  <c:v>643.09884718374997</c:v>
                </c:pt>
                <c:pt idx="105">
                  <c:v>643.09884718374997</c:v>
                </c:pt>
                <c:pt idx="106">
                  <c:v>643.09884718374997</c:v>
                </c:pt>
                <c:pt idx="107">
                  <c:v>643.09884718374997</c:v>
                </c:pt>
                <c:pt idx="108">
                  <c:v>643.09884718374997</c:v>
                </c:pt>
                <c:pt idx="109">
                  <c:v>643.09884718374997</c:v>
                </c:pt>
                <c:pt idx="110">
                  <c:v>643.09884718374997</c:v>
                </c:pt>
                <c:pt idx="111">
                  <c:v>643.09884718374997</c:v>
                </c:pt>
                <c:pt idx="112">
                  <c:v>643.09884718374997</c:v>
                </c:pt>
                <c:pt idx="113">
                  <c:v>643.09884718374997</c:v>
                </c:pt>
                <c:pt idx="114">
                  <c:v>643.09884718374997</c:v>
                </c:pt>
                <c:pt idx="115">
                  <c:v>643.09884718374997</c:v>
                </c:pt>
                <c:pt idx="116">
                  <c:v>643.09884718374997</c:v>
                </c:pt>
                <c:pt idx="117">
                  <c:v>643.09884718374997</c:v>
                </c:pt>
                <c:pt idx="118">
                  <c:v>643.09884718374997</c:v>
                </c:pt>
                <c:pt idx="119">
                  <c:v>643.09884718374997</c:v>
                </c:pt>
                <c:pt idx="120">
                  <c:v>643.09884718374997</c:v>
                </c:pt>
                <c:pt idx="121">
                  <c:v>643.09884718374997</c:v>
                </c:pt>
                <c:pt idx="122">
                  <c:v>643.09884718374997</c:v>
                </c:pt>
                <c:pt idx="123">
                  <c:v>643.09884718374997</c:v>
                </c:pt>
                <c:pt idx="124">
                  <c:v>643.09884718374997</c:v>
                </c:pt>
                <c:pt idx="125">
                  <c:v>643.09884718374997</c:v>
                </c:pt>
                <c:pt idx="126">
                  <c:v>643.09884718374997</c:v>
                </c:pt>
                <c:pt idx="127">
                  <c:v>643.09884718374997</c:v>
                </c:pt>
                <c:pt idx="128">
                  <c:v>643.09884718374997</c:v>
                </c:pt>
                <c:pt idx="129">
                  <c:v>643.09884718374997</c:v>
                </c:pt>
                <c:pt idx="130">
                  <c:v>643.09884718374997</c:v>
                </c:pt>
                <c:pt idx="131">
                  <c:v>643.09884718374997</c:v>
                </c:pt>
                <c:pt idx="132">
                  <c:v>643.09884718374997</c:v>
                </c:pt>
                <c:pt idx="133">
                  <c:v>643.09884718374997</c:v>
                </c:pt>
                <c:pt idx="134">
                  <c:v>643.09884718374997</c:v>
                </c:pt>
                <c:pt idx="135">
                  <c:v>643.09884718374997</c:v>
                </c:pt>
                <c:pt idx="136">
                  <c:v>643.09884718374997</c:v>
                </c:pt>
                <c:pt idx="137">
                  <c:v>643.09884718374997</c:v>
                </c:pt>
                <c:pt idx="138">
                  <c:v>643.09884718374997</c:v>
                </c:pt>
                <c:pt idx="139">
                  <c:v>643.09884718374997</c:v>
                </c:pt>
                <c:pt idx="140">
                  <c:v>643.09884718374997</c:v>
                </c:pt>
                <c:pt idx="141">
                  <c:v>643.09884718374997</c:v>
                </c:pt>
                <c:pt idx="142">
                  <c:v>643.09884718374997</c:v>
                </c:pt>
                <c:pt idx="143">
                  <c:v>643.09884718374997</c:v>
                </c:pt>
                <c:pt idx="144">
                  <c:v>643.09884718374997</c:v>
                </c:pt>
                <c:pt idx="145">
                  <c:v>643.09884718374997</c:v>
                </c:pt>
                <c:pt idx="146">
                  <c:v>643.09884718374997</c:v>
                </c:pt>
                <c:pt idx="147">
                  <c:v>643.09884718374997</c:v>
                </c:pt>
                <c:pt idx="148">
                  <c:v>643.09884718374997</c:v>
                </c:pt>
                <c:pt idx="149">
                  <c:v>643.09884718374997</c:v>
                </c:pt>
                <c:pt idx="150">
                  <c:v>643.09884718374997</c:v>
                </c:pt>
                <c:pt idx="151">
                  <c:v>643.09884718374997</c:v>
                </c:pt>
                <c:pt idx="152">
                  <c:v>643.09884718374997</c:v>
                </c:pt>
                <c:pt idx="153">
                  <c:v>643.09884718374997</c:v>
                </c:pt>
                <c:pt idx="154">
                  <c:v>643.09884718374997</c:v>
                </c:pt>
                <c:pt idx="155">
                  <c:v>643.09884718374997</c:v>
                </c:pt>
                <c:pt idx="156">
                  <c:v>643.09884718374997</c:v>
                </c:pt>
                <c:pt idx="157">
                  <c:v>643.09884718374997</c:v>
                </c:pt>
                <c:pt idx="158">
                  <c:v>643.09884718374997</c:v>
                </c:pt>
                <c:pt idx="159">
                  <c:v>643.09884718374997</c:v>
                </c:pt>
                <c:pt idx="160">
                  <c:v>643.09884718374997</c:v>
                </c:pt>
                <c:pt idx="161">
                  <c:v>643.09884718374997</c:v>
                </c:pt>
                <c:pt idx="162">
                  <c:v>643.09884718374997</c:v>
                </c:pt>
                <c:pt idx="163">
                  <c:v>643.09884718374997</c:v>
                </c:pt>
                <c:pt idx="164">
                  <c:v>643.09884718374997</c:v>
                </c:pt>
                <c:pt idx="165">
                  <c:v>643.09884718374997</c:v>
                </c:pt>
                <c:pt idx="166">
                  <c:v>643.09884718374997</c:v>
                </c:pt>
                <c:pt idx="167">
                  <c:v>643.09884718374997</c:v>
                </c:pt>
                <c:pt idx="168">
                  <c:v>643.09884718374997</c:v>
                </c:pt>
                <c:pt idx="169">
                  <c:v>643.09884718374997</c:v>
                </c:pt>
                <c:pt idx="170">
                  <c:v>643.09884718374997</c:v>
                </c:pt>
                <c:pt idx="171">
                  <c:v>643.09884718374997</c:v>
                </c:pt>
                <c:pt idx="172">
                  <c:v>643.09884718374997</c:v>
                </c:pt>
                <c:pt idx="173">
                  <c:v>643.09884718374997</c:v>
                </c:pt>
                <c:pt idx="174">
                  <c:v>643.09884718374997</c:v>
                </c:pt>
                <c:pt idx="175">
                  <c:v>643.09884718374997</c:v>
                </c:pt>
                <c:pt idx="176">
                  <c:v>643.09884718374997</c:v>
                </c:pt>
                <c:pt idx="177">
                  <c:v>643.09884718374997</c:v>
                </c:pt>
                <c:pt idx="178">
                  <c:v>643.09884718374997</c:v>
                </c:pt>
                <c:pt idx="179">
                  <c:v>643.09884718374997</c:v>
                </c:pt>
                <c:pt idx="180">
                  <c:v>643.09884718374997</c:v>
                </c:pt>
                <c:pt idx="181">
                  <c:v>643.09884718374997</c:v>
                </c:pt>
                <c:pt idx="182">
                  <c:v>643.09884718374997</c:v>
                </c:pt>
                <c:pt idx="183">
                  <c:v>643.09884718374997</c:v>
                </c:pt>
                <c:pt idx="184">
                  <c:v>643.09884718374997</c:v>
                </c:pt>
                <c:pt idx="185">
                  <c:v>643.09884718374997</c:v>
                </c:pt>
                <c:pt idx="186">
                  <c:v>643.09884718374997</c:v>
                </c:pt>
                <c:pt idx="187">
                  <c:v>643.09884718374997</c:v>
                </c:pt>
                <c:pt idx="188">
                  <c:v>643.09884718374997</c:v>
                </c:pt>
                <c:pt idx="189">
                  <c:v>643.09884718374997</c:v>
                </c:pt>
                <c:pt idx="190">
                  <c:v>643.09884718374997</c:v>
                </c:pt>
                <c:pt idx="191">
                  <c:v>643.09884718374997</c:v>
                </c:pt>
                <c:pt idx="192">
                  <c:v>643.09884718374997</c:v>
                </c:pt>
                <c:pt idx="193">
                  <c:v>643.09884718374997</c:v>
                </c:pt>
                <c:pt idx="194">
                  <c:v>643.09884718374997</c:v>
                </c:pt>
                <c:pt idx="195">
                  <c:v>643.09884718374997</c:v>
                </c:pt>
                <c:pt idx="196">
                  <c:v>643.09884718374997</c:v>
                </c:pt>
                <c:pt idx="197">
                  <c:v>643.09884718374997</c:v>
                </c:pt>
                <c:pt idx="198">
                  <c:v>643.09884718374997</c:v>
                </c:pt>
                <c:pt idx="199">
                  <c:v>643.09884718374997</c:v>
                </c:pt>
                <c:pt idx="200">
                  <c:v>643.09884718374997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1</v>
      </c>
      <c r="D9" s="36">
        <f t="shared" ref="D9:D18" si="0">C9*$C$5</f>
        <v>4.7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103</v>
      </c>
      <c r="C36" s="63">
        <v>1</v>
      </c>
      <c r="D36" s="63">
        <v>15</v>
      </c>
      <c r="E36" s="54">
        <v>0</v>
      </c>
      <c r="F36" s="54"/>
      <c r="G36" s="54">
        <v>1</v>
      </c>
      <c r="H36" s="54"/>
      <c r="I36" s="52">
        <f>IFERROR(B36/A36,"")</f>
        <v>6.0588235294117645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122</v>
      </c>
      <c r="C37" s="63">
        <v>2</v>
      </c>
      <c r="D37" s="63">
        <v>15</v>
      </c>
      <c r="E37" s="54">
        <v>0</v>
      </c>
      <c r="F37" s="54"/>
      <c r="G37" s="54">
        <v>1</v>
      </c>
      <c r="H37" s="54"/>
      <c r="I37" s="56">
        <f t="shared" ref="I37:I55" si="1">IF(A37&lt;&gt;0,(B37-(B36-D36))/(A37-A36),"")</f>
        <v>11.333333333333334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168</v>
      </c>
      <c r="C38" s="63">
        <v>3</v>
      </c>
      <c r="D38" s="63">
        <v>36</v>
      </c>
      <c r="E38" s="54">
        <v>0.2</v>
      </c>
      <c r="F38" s="54"/>
      <c r="G38" s="54">
        <v>0.8</v>
      </c>
      <c r="H38" s="54"/>
      <c r="I38" s="56">
        <f t="shared" si="1"/>
        <v>12.2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202</v>
      </c>
      <c r="C39" s="63">
        <v>4</v>
      </c>
      <c r="D39" s="63">
        <v>54</v>
      </c>
      <c r="E39" s="54">
        <v>0.4</v>
      </c>
      <c r="F39" s="54"/>
      <c r="G39" s="54">
        <v>0.6</v>
      </c>
      <c r="H39" s="54"/>
      <c r="I39" s="52">
        <f t="shared" si="1"/>
        <v>14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244</v>
      </c>
      <c r="C40" s="63">
        <v>5</v>
      </c>
      <c r="D40" s="63">
        <v>52</v>
      </c>
      <c r="E40" s="54">
        <v>0.6</v>
      </c>
      <c r="F40" s="54"/>
      <c r="G40" s="54">
        <v>0.4</v>
      </c>
      <c r="H40" s="54"/>
      <c r="I40" s="52">
        <f t="shared" si="1"/>
        <v>19.2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284</v>
      </c>
      <c r="C41" s="63">
        <v>6</v>
      </c>
      <c r="D41" s="63">
        <v>48</v>
      </c>
      <c r="E41" s="54">
        <v>0.6</v>
      </c>
      <c r="F41" s="54"/>
      <c r="G41" s="54">
        <v>0.4</v>
      </c>
      <c r="H41" s="54"/>
      <c r="I41" s="56">
        <f t="shared" si="1"/>
        <v>18.399999999999999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327</v>
      </c>
      <c r="C42" s="63">
        <v>7</v>
      </c>
      <c r="D42" s="63">
        <v>57</v>
      </c>
      <c r="E42" s="54">
        <v>0.7</v>
      </c>
      <c r="F42" s="54"/>
      <c r="G42" s="54">
        <v>0.3</v>
      </c>
      <c r="H42" s="54"/>
      <c r="I42" s="56">
        <f t="shared" si="1"/>
        <v>18.2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367</v>
      </c>
      <c r="C43" s="63">
        <v>8</v>
      </c>
      <c r="D43" s="63">
        <v>47</v>
      </c>
      <c r="E43" s="54">
        <v>0.7</v>
      </c>
      <c r="F43" s="54"/>
      <c r="G43" s="54">
        <v>0.3</v>
      </c>
      <c r="H43" s="54"/>
      <c r="I43" s="52">
        <f t="shared" si="1"/>
        <v>19.399999999999999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415</v>
      </c>
      <c r="C44" s="63">
        <v>9</v>
      </c>
      <c r="D44" s="63">
        <v>48</v>
      </c>
      <c r="E44" s="54">
        <v>0.8</v>
      </c>
      <c r="F44" s="54"/>
      <c r="G44" s="54">
        <v>0.2</v>
      </c>
      <c r="H44" s="54"/>
      <c r="I44" s="52">
        <f t="shared" si="1"/>
        <v>19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468</v>
      </c>
      <c r="C45" s="63">
        <v>10</v>
      </c>
      <c r="D45" s="63">
        <v>32</v>
      </c>
      <c r="E45" s="54">
        <v>0.8</v>
      </c>
      <c r="F45" s="54"/>
      <c r="G45" s="54">
        <v>0.2</v>
      </c>
      <c r="H45" s="54"/>
      <c r="I45" s="52">
        <f t="shared" si="1"/>
        <v>20.2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527</v>
      </c>
      <c r="C46" s="63">
        <v>11</v>
      </c>
      <c r="D46" s="63">
        <v>28</v>
      </c>
      <c r="E46" s="54">
        <v>0.8</v>
      </c>
      <c r="F46" s="54"/>
      <c r="G46" s="54">
        <v>0.2</v>
      </c>
      <c r="H46" s="54"/>
      <c r="I46" s="52">
        <f t="shared" si="1"/>
        <v>18.2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="115" zoomScaleNormal="115" workbookViewId="0">
      <selection activeCell="F26" sqref="F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308.43688246071395</v>
      </c>
      <c r="T3" s="62">
        <f>IF('Données projet'!E9&gt;30,$R$33-$H$33,LOOKUP('Données projet'!$E$9,$A$3:$A$203,R3:R203)-LOOKUP('Données projet'!$E$9,$A$3:$A$203,$H$3:$H$203))</f>
        <v>302.54354650449721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6.0588235294117645</v>
      </c>
      <c r="N4" s="14">
        <f>IF('Données projet'!$A$36&gt;35,N3+M4-V3,IF(A4&lt;'Données projet'!$A$36,$K$205^A4,IF(A4='Données projet'!$A$36,'Données projet'!$B$36,N3+M4-V3)))</f>
        <v>1.3134156586844881</v>
      </c>
      <c r="O4" s="14">
        <f>N4*VLOOKUP('Données projet'!$B$9,Paramètres!$A$1:$I$89,3,0)*VLOOKUP('Données projet'!$B$9,Paramètres!$A$1:$I$89,5,0)</f>
        <v>0.78542256389332388</v>
      </c>
      <c r="P4" s="14">
        <f>EXP(-1.0587+0.8836*LN(O4)+0.284)</f>
        <v>0.3722763145534399</v>
      </c>
      <c r="Q4" s="22">
        <f t="shared" ref="Q4:Q34" si="2">(O4+P4)*0.475*44/12</f>
        <v>2.0163255466281131</v>
      </c>
      <c r="R4" s="62">
        <f t="shared" si="0"/>
        <v>259.905214435517</v>
      </c>
      <c r="S4" s="62">
        <f ca="1">AVERAGE(OFFSET($R$3,0,0,'Données projet'!$E$9+1,1))-AVERAGE(OFFSET($H$3,0,0,'Données projet'!$E$9+1,1))</f>
        <v>308.43688246071395</v>
      </c>
      <c r="T4" s="62">
        <f>$T$3</f>
        <v>302.54354650449721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6.0588235294117645</v>
      </c>
      <c r="N5" s="14">
        <f>IF('Données projet'!$A$36&gt;35,N4+M5-V4,IF(A5&lt;'Données projet'!$A$36,$K$205^A5,IF(A5='Données projet'!$A$36,'Données projet'!$B$36,N4+M5-V4)))</f>
        <v>1.7250606924776077</v>
      </c>
      <c r="O5" s="14">
        <f>N5*VLOOKUP('Données projet'!$B$9,Paramètres!$A$1:$I$89,3,0)*VLOOKUP('Données projet'!$B$9,Paramètres!$A$1:$I$89,5,0)</f>
        <v>1.0315862941016096</v>
      </c>
      <c r="P5" s="14">
        <f t="shared" ref="P5:P68" si="33">EXP(-1.0587+0.8836*LN(O5)+0.284)</f>
        <v>0.47368058088508075</v>
      </c>
      <c r="Q5" s="22">
        <f t="shared" si="2"/>
        <v>2.621673140601819</v>
      </c>
      <c r="R5" s="62">
        <f t="shared" si="0"/>
        <v>261.73278425171299</v>
      </c>
      <c r="S5" s="62">
        <f ca="1">AVERAGE(OFFSET($R$3,0,0,'Données projet'!$E$9+1,1))-AVERAGE(OFFSET($H$3,0,0,'Données projet'!$E$9+1,1))</f>
        <v>308.43688246071395</v>
      </c>
      <c r="T5" s="62">
        <f t="shared" ref="T5:T68" si="34">$T$3</f>
        <v>302.54354650449721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6.0588235294117645</v>
      </c>
      <c r="N6" s="14">
        <f>IF('Données projet'!$A$36&gt;35,N5+M6-V5,IF(A6&lt;'Données projet'!$A$36,$K$205^A6,IF(A6='Données projet'!$A$36,'Données projet'!$B$36,N5+M6-V5)))</f>
        <v>2.2657217256811961</v>
      </c>
      <c r="O6" s="14">
        <f>N6*VLOOKUP('Données projet'!$B$9,Paramètres!$A$1:$I$89,3,0)*VLOOKUP('Données projet'!$B$9,Paramètres!$A$1:$I$89,5,0)</f>
        <v>1.3549015919573553</v>
      </c>
      <c r="P6" s="14">
        <f t="shared" si="33"/>
        <v>0.60270633380684457</v>
      </c>
      <c r="Q6" s="22">
        <f t="shared" si="2"/>
        <v>3.4095004707059817</v>
      </c>
      <c r="R6" s="62">
        <f t="shared" si="0"/>
        <v>263.74283380403932</v>
      </c>
      <c r="S6" s="62">
        <f ca="1">AVERAGE(OFFSET($R$3,0,0,'Données projet'!$E$9+1,1))-AVERAGE(OFFSET($H$3,0,0,'Données projet'!$E$9+1,1))</f>
        <v>308.43688246071395</v>
      </c>
      <c r="T6" s="62">
        <f t="shared" si="34"/>
        <v>302.54354650449721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6.0588235294117645</v>
      </c>
      <c r="N7" s="14">
        <f>IF('Données projet'!$A$36&gt;35,N6+M7-V6,IF(A7&lt;'Données projet'!$A$36,$K$205^A7,IF(A7='Données projet'!$A$36,'Données projet'!$B$36,N6+M7-V6)))</f>
        <v>2.9758343927313233</v>
      </c>
      <c r="O7" s="14">
        <f>N7*VLOOKUP('Données projet'!$B$9,Paramètres!$A$1:$I$89,3,0)*VLOOKUP('Données projet'!$B$9,Paramètres!$A$1:$I$89,5,0)</f>
        <v>1.7795489668533315</v>
      </c>
      <c r="P7" s="14">
        <f t="shared" si="33"/>
        <v>0.76687738419028983</v>
      </c>
      <c r="Q7" s="22">
        <f t="shared" si="2"/>
        <v>4.4350258947343066</v>
      </c>
      <c r="R7" s="62">
        <f t="shared" si="0"/>
        <v>265.99058145028982</v>
      </c>
      <c r="S7" s="62">
        <f ca="1">AVERAGE(OFFSET($R$3,0,0,'Données projet'!$E$9+1,1))-AVERAGE(OFFSET($H$3,0,0,'Données projet'!$E$9+1,1))</f>
        <v>308.43688246071395</v>
      </c>
      <c r="T7" s="62">
        <f t="shared" si="34"/>
        <v>302.54354650449721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6.0588235294117645</v>
      </c>
      <c r="N8" s="14">
        <f>IF('Données projet'!$A$36&gt;35,N7+M8-V7,IF(A8&lt;'Données projet'!$A$36,$K$205^A8,IF(A8='Données projet'!$A$36,'Données projet'!$B$36,N7+M8-V7)))</f>
        <v>3.9085074890651645</v>
      </c>
      <c r="O8" s="14">
        <f>N8*VLOOKUP('Données projet'!$B$9,Paramètres!$A$1:$I$89,3,0)*VLOOKUP('Données projet'!$B$9,Paramètres!$A$1:$I$89,5,0)</f>
        <v>2.3372874784609685</v>
      </c>
      <c r="P8" s="14">
        <f t="shared" si="33"/>
        <v>0.97576695215387577</v>
      </c>
      <c r="Q8" s="22">
        <f t="shared" si="2"/>
        <v>5.770236466654187</v>
      </c>
      <c r="R8" s="62">
        <f t="shared" si="0"/>
        <v>268.54801424443195</v>
      </c>
      <c r="S8" s="62">
        <f ca="1">AVERAGE(OFFSET($R$3,0,0,'Données projet'!$E$9+1,1))-AVERAGE(OFFSET($H$3,0,0,'Données projet'!$E$9+1,1))</f>
        <v>308.43688246071395</v>
      </c>
      <c r="T8" s="62">
        <f t="shared" si="34"/>
        <v>302.54354650449721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6.0588235294117645</v>
      </c>
      <c r="N9" s="14">
        <f>IF('Données projet'!$A$36&gt;35,N8+M9-V8,IF(A9&lt;'Données projet'!$A$36,$K$205^A9,IF(A9='Données projet'!$A$36,'Données projet'!$B$36,N8+M9-V8)))</f>
        <v>5.1334949382237776</v>
      </c>
      <c r="O9" s="14">
        <f>N9*VLOOKUP('Données projet'!$B$9,Paramètres!$A$1:$I$89,3,0)*VLOOKUP('Données projet'!$B$9,Paramètres!$A$1:$I$89,5,0)</f>
        <v>3.0698299730578196</v>
      </c>
      <c r="P9" s="14">
        <f t="shared" si="33"/>
        <v>1.2415559052128844</v>
      </c>
      <c r="Q9" s="22">
        <f t="shared" si="2"/>
        <v>7.5089970713214749</v>
      </c>
      <c r="R9" s="62">
        <f t="shared" si="0"/>
        <v>271.50899707132146</v>
      </c>
      <c r="S9" s="62">
        <f ca="1">AVERAGE(OFFSET($R$3,0,0,'Données projet'!$E$9+1,1))-AVERAGE(OFFSET($H$3,0,0,'Données projet'!$E$9+1,1))</f>
        <v>308.43688246071395</v>
      </c>
      <c r="T9" s="62">
        <f t="shared" si="34"/>
        <v>302.54354650449721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6.0588235294117645</v>
      </c>
      <c r="N10" s="14">
        <f>IF('Données projet'!$A$36&gt;35,N9+M10-V9,IF(A10&lt;'Données projet'!$A$36,$K$205^A10,IF(A10='Données projet'!$A$36,'Données projet'!$B$36,N9+M10-V9)))</f>
        <v>6.742412635640668</v>
      </c>
      <c r="O10" s="14">
        <f>N10*VLOOKUP('Données projet'!$B$9,Paramètres!$A$1:$I$89,3,0)*VLOOKUP('Données projet'!$B$9,Paramètres!$A$1:$I$89,5,0)</f>
        <v>4.0319627561131197</v>
      </c>
      <c r="P10" s="14">
        <f t="shared" si="33"/>
        <v>1.5797430548005489</v>
      </c>
      <c r="Q10" s="22">
        <f t="shared" si="2"/>
        <v>9.7737209540079721</v>
      </c>
      <c r="R10" s="62">
        <f t="shared" si="0"/>
        <v>274.99594317623018</v>
      </c>
      <c r="S10" s="62">
        <f ca="1">AVERAGE(OFFSET($R$3,0,0,'Données projet'!$E$9+1,1))-AVERAGE(OFFSET($H$3,0,0,'Données projet'!$E$9+1,1))</f>
        <v>308.43688246071395</v>
      </c>
      <c r="T10" s="62">
        <f t="shared" si="34"/>
        <v>302.54354650449721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6.0588235294117645</v>
      </c>
      <c r="N11" s="14">
        <f>IF('Données projet'!$A$36&gt;35,N10+M11-V10,IF(A11&lt;'Données projet'!$A$36,$K$205^A11,IF(A11='Données projet'!$A$36,'Données projet'!$B$36,N10+M11-V10)))</f>
        <v>8.8555903329626044</v>
      </c>
      <c r="O11" s="14">
        <f>N11*VLOOKUP('Données projet'!$B$9,Paramètres!$A$1:$I$89,3,0)*VLOOKUP('Données projet'!$B$9,Paramètres!$A$1:$I$89,5,0)</f>
        <v>5.2956430191116386</v>
      </c>
      <c r="P11" s="14">
        <f t="shared" si="33"/>
        <v>2.0100489303078644</v>
      </c>
      <c r="Q11" s="22">
        <f t="shared" si="2"/>
        <v>12.724080145238965</v>
      </c>
      <c r="R11" s="62">
        <f t="shared" si="0"/>
        <v>279.16852458968344</v>
      </c>
      <c r="S11" s="62">
        <f ca="1">AVERAGE(OFFSET($R$3,0,0,'Données projet'!$E$9+1,1))-AVERAGE(OFFSET($H$3,0,0,'Données projet'!$E$9+1,1))</f>
        <v>308.43688246071395</v>
      </c>
      <c r="T11" s="62">
        <f t="shared" si="34"/>
        <v>302.54354650449721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6.0588235294117645</v>
      </c>
      <c r="N12" s="14">
        <f>IF('Données projet'!$A$36&gt;35,N11+M12-V11,IF(A12&lt;'Données projet'!$A$36,$K$205^A12,IF(A12='Données projet'!$A$36,'Données projet'!$B$36,N11+M12-V11)))</f>
        <v>11.631071010208064</v>
      </c>
      <c r="O12" s="14">
        <f>N12*VLOOKUP('Données projet'!$B$9,Paramètres!$A$1:$I$89,3,0)*VLOOKUP('Données projet'!$B$9,Paramètres!$A$1:$I$89,5,0)</f>
        <v>6.9553804641044223</v>
      </c>
      <c r="P12" s="14">
        <f t="shared" si="33"/>
        <v>2.5575657319423368</v>
      </c>
      <c r="Q12" s="22">
        <f t="shared" si="2"/>
        <v>16.568381291448102</v>
      </c>
      <c r="R12" s="62">
        <f t="shared" si="0"/>
        <v>284.23504795811476</v>
      </c>
      <c r="S12" s="62">
        <f ca="1">AVERAGE(OFFSET($R$3,0,0,'Données projet'!$E$9+1,1))-AVERAGE(OFFSET($H$3,0,0,'Données projet'!$E$9+1,1))</f>
        <v>308.43688246071395</v>
      </c>
      <c r="T12" s="62">
        <f t="shared" si="34"/>
        <v>302.54354650449721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6.0588235294117645</v>
      </c>
      <c r="N13" s="14">
        <f>IF('Données projet'!$A$36&gt;35,N12+M13-V12,IF(A13&lt;'Données projet'!$A$36,$K$205^A13,IF(A13='Données projet'!$A$36,'Données projet'!$B$36,N12+M13-V12)))</f>
        <v>15.276430792078479</v>
      </c>
      <c r="O13" s="14">
        <f>N13*VLOOKUP('Données projet'!$B$9,Paramètres!$A$1:$I$89,3,0)*VLOOKUP('Données projet'!$B$9,Paramètres!$A$1:$I$89,5,0)</f>
        <v>9.1353056136629309</v>
      </c>
      <c r="P13" s="14">
        <f t="shared" si="33"/>
        <v>3.254220519001934</v>
      </c>
      <c r="Q13" s="22">
        <f t="shared" si="2"/>
        <v>21.578424681057971</v>
      </c>
      <c r="R13" s="62">
        <f t="shared" si="0"/>
        <v>290.46731356994684</v>
      </c>
      <c r="S13" s="62">
        <f ca="1">AVERAGE(OFFSET($R$3,0,0,'Données projet'!$E$9+1,1))-AVERAGE(OFFSET($H$3,0,0,'Données projet'!$E$9+1,1))</f>
        <v>308.43688246071395</v>
      </c>
      <c r="T13" s="62">
        <f t="shared" si="34"/>
        <v>302.54354650449721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6.0588235294117645</v>
      </c>
      <c r="N14" s="14">
        <f>IF('Données projet'!$A$36&gt;35,N13+M14-V13,IF(A14&lt;'Données projet'!$A$36,$K$205^A14,IF(A14='Données projet'!$A$36,'Données projet'!$B$36,N13+M14-V13)))</f>
        <v>20.064303411125749</v>
      </c>
      <c r="O14" s="14">
        <f>N14*VLOOKUP('Données projet'!$B$9,Paramètres!$A$1:$I$89,3,0)*VLOOKUP('Données projet'!$B$9,Paramètres!$A$1:$I$89,5,0)</f>
        <v>11.998453439853199</v>
      </c>
      <c r="P14" s="14">
        <f t="shared" si="33"/>
        <v>4.1406369556925151</v>
      </c>
      <c r="Q14" s="22">
        <f t="shared" si="2"/>
        <v>28.108915772242117</v>
      </c>
      <c r="R14" s="62">
        <f t="shared" si="0"/>
        <v>298.22002688335328</v>
      </c>
      <c r="S14" s="62">
        <f ca="1">AVERAGE(OFFSET($R$3,0,0,'Données projet'!$E$9+1,1))-AVERAGE(OFFSET($H$3,0,0,'Données projet'!$E$9+1,1))</f>
        <v>308.43688246071395</v>
      </c>
      <c r="T14" s="62">
        <f t="shared" si="34"/>
        <v>302.54354650449721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6.0588235294117645</v>
      </c>
      <c r="N15" s="14">
        <f>IF('Données projet'!$A$36&gt;35,N14+M15-V14,IF(A15&lt;'Données projet'!$A$36,$K$205^A15,IF(A15='Données projet'!$A$36,'Données projet'!$B$36,N14+M15-V14)))</f>
        <v>26.35277028076915</v>
      </c>
      <c r="O15" s="14">
        <f>N15*VLOOKUP('Données projet'!$B$9,Paramètres!$A$1:$I$89,3,0)*VLOOKUP('Données projet'!$B$9,Paramètres!$A$1:$I$89,5,0)</f>
        <v>15.758956627899952</v>
      </c>
      <c r="P15" s="14">
        <f t="shared" si="33"/>
        <v>5.2685041774934476</v>
      </c>
      <c r="Q15" s="22">
        <f t="shared" si="2"/>
        <v>36.6228275693935</v>
      </c>
      <c r="R15" s="62">
        <f t="shared" si="0"/>
        <v>307.95616090272682</v>
      </c>
      <c r="S15" s="62">
        <f ca="1">AVERAGE(OFFSET($R$3,0,0,'Données projet'!$E$9+1,1))-AVERAGE(OFFSET($H$3,0,0,'Données projet'!$E$9+1,1))</f>
        <v>308.43688246071395</v>
      </c>
      <c r="T15" s="62">
        <f t="shared" si="34"/>
        <v>302.54354650449721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6.0588235294117645</v>
      </c>
      <c r="N16" s="14">
        <f>IF('Données projet'!$A$36&gt;35,N15+M16-V15,IF(A16&lt;'Données projet'!$A$36,$K$205^A16,IF(A16='Données projet'!$A$36,'Données projet'!$B$36,N15+M16-V15)))</f>
        <v>34.612141136477412</v>
      </c>
      <c r="O16" s="14">
        <f>N16*VLOOKUP('Données projet'!$B$9,Paramètres!$A$1:$I$89,3,0)*VLOOKUP('Données projet'!$B$9,Paramètres!$A$1:$I$89,5,0)</f>
        <v>20.698060399613492</v>
      </c>
      <c r="P16" s="14">
        <f t="shared" si="33"/>
        <v>6.7035909125299202</v>
      </c>
      <c r="Q16" s="22">
        <f t="shared" si="2"/>
        <v>47.724542701983104</v>
      </c>
      <c r="R16" s="62">
        <f t="shared" si="0"/>
        <v>320.28009825753867</v>
      </c>
      <c r="S16" s="62">
        <f ca="1">AVERAGE(OFFSET($R$3,0,0,'Données projet'!$E$9+1,1))-AVERAGE(OFFSET($H$3,0,0,'Données projet'!$E$9+1,1))</f>
        <v>308.43688246071395</v>
      </c>
      <c r="T16" s="62">
        <f t="shared" si="34"/>
        <v>302.54354650449721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6.0588235294117645</v>
      </c>
      <c r="N17" s="14">
        <f>IF('Données projet'!$A$36&gt;35,N16+M17-V16,IF(A17&lt;'Données projet'!$A$36,$K$205^A17,IF(A17='Données projet'!$A$36,'Données projet'!$B$36,N16+M17-V16)))</f>
        <v>45.460128149246948</v>
      </c>
      <c r="O17" s="14">
        <f>N17*VLOOKUP('Données projet'!$B$9,Paramètres!$A$1:$I$89,3,0)*VLOOKUP('Données projet'!$B$9,Paramètres!$A$1:$I$89,5,0)</f>
        <v>27.185156633249676</v>
      </c>
      <c r="P17" s="14">
        <f t="shared" si="33"/>
        <v>8.5295806188263423</v>
      </c>
      <c r="Q17" s="22">
        <f t="shared" si="2"/>
        <v>62.203167380699057</v>
      </c>
      <c r="R17" s="62">
        <f t="shared" si="0"/>
        <v>335.98094515847686</v>
      </c>
      <c r="S17" s="62">
        <f ca="1">AVERAGE(OFFSET($R$3,0,0,'Données projet'!$E$9+1,1))-AVERAGE(OFFSET($H$3,0,0,'Données projet'!$E$9+1,1))</f>
        <v>308.43688246071395</v>
      </c>
      <c r="T17" s="62">
        <f t="shared" si="34"/>
        <v>302.54354650449721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6.0588235294117645</v>
      </c>
      <c r="N18" s="14">
        <f>IF('Données projet'!$A$36&gt;35,N17+M18-V17,IF(A18&lt;'Données projet'!$A$36,$K$205^A18,IF(A18='Données projet'!$A$36,'Données projet'!$B$36,N17+M18-V17)))</f>
        <v>59.708044157024418</v>
      </c>
      <c r="O18" s="14">
        <f>N18*VLOOKUP('Données projet'!$B$9,Paramètres!$A$1:$I$89,3,0)*VLOOKUP('Données projet'!$B$9,Paramètres!$A$1:$I$89,5,0)</f>
        <v>35.705410405900608</v>
      </c>
      <c r="P18" s="14">
        <f t="shared" si="33"/>
        <v>10.852951273782441</v>
      </c>
      <c r="Q18" s="22">
        <f t="shared" si="2"/>
        <v>81.089146592114631</v>
      </c>
      <c r="R18" s="62">
        <f t="shared" si="0"/>
        <v>356.08914659211462</v>
      </c>
      <c r="S18" s="62">
        <f ca="1">AVERAGE(OFFSET($R$3,0,0,'Données projet'!$E$9+1,1))-AVERAGE(OFFSET($H$3,0,0,'Données projet'!$E$9+1,1))</f>
        <v>308.43688246071395</v>
      </c>
      <c r="T18" s="62">
        <f t="shared" si="34"/>
        <v>302.54354650449721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6.0588235294117645</v>
      </c>
      <c r="N19" s="14">
        <f>IF('Données projet'!$A$36&gt;35,N18+M19-V18,IF(A19&lt;'Données projet'!$A$36,$K$205^A19,IF(A19='Données projet'!$A$36,'Données projet'!$B$36,N18+M19-V18)))</f>
        <v>78.42148014526073</v>
      </c>
      <c r="O19" s="14">
        <f>N19*VLOOKUP('Données projet'!$B$9,Paramètres!$A$1:$I$89,3,0)*VLOOKUP('Données projet'!$B$9,Paramètres!$A$1:$I$89,5,0)</f>
        <v>46.896045126865928</v>
      </c>
      <c r="P19" s="14">
        <f t="shared" si="33"/>
        <v>13.809184368469356</v>
      </c>
      <c r="Q19" s="22">
        <f t="shared" si="2"/>
        <v>105.72827470437562</v>
      </c>
      <c r="R19" s="62">
        <f t="shared" si="0"/>
        <v>381.95049692659785</v>
      </c>
      <c r="S19" s="62">
        <f ca="1">AVERAGE(OFFSET($R$3,0,0,'Données projet'!$E$9+1,1))-AVERAGE(OFFSET($H$3,0,0,'Données projet'!$E$9+1,1))</f>
        <v>308.43688246071395</v>
      </c>
      <c r="T19" s="62">
        <f t="shared" si="34"/>
        <v>302.54354650449721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103</v>
      </c>
      <c r="L20" s="13">
        <f>VLOOKUP(A20,'Données projet'!$A$35:$I$55,9,0)</f>
        <v>6.0588235294117645</v>
      </c>
      <c r="M20" s="13">
        <f t="array" ref="M20">INDEX(L:L,MIN(IF(ISNUMBER(L20:L216),ROW(L20:L216),"")))</f>
        <v>6.0588235294117645</v>
      </c>
      <c r="N20" s="14">
        <f>IF('Données projet'!$A$36&gt;35,N19+M20-V19,IF(A20&lt;'Données projet'!$A$36,$K$205^A20,IF(A20='Données projet'!$A$36,'Données projet'!$B$36,N19+M20-V19)))</f>
        <v>103</v>
      </c>
      <c r="O20" s="14">
        <f>N20*VLOOKUP('Données projet'!$B$9,Paramètres!$A$1:$I$89,3,0)*VLOOKUP('Données projet'!$B$9,Paramètres!$A$1:$I$89,5,0)</f>
        <v>61.594000000000008</v>
      </c>
      <c r="P20" s="14">
        <f t="shared" si="33"/>
        <v>17.570665168564613</v>
      </c>
      <c r="Q20" s="22">
        <f t="shared" si="2"/>
        <v>137.8784585019167</v>
      </c>
      <c r="R20" s="62">
        <f t="shared" si="0"/>
        <v>415.32290294636118</v>
      </c>
      <c r="S20" s="62">
        <f ca="1">AVERAGE(OFFSET($R$3,0,0,'Données projet'!$E$9+1,1))-AVERAGE(OFFSET($H$3,0,0,'Données projet'!$E$9+1,1))</f>
        <v>308.43688246071395</v>
      </c>
      <c r="T20" s="62">
        <f t="shared" si="34"/>
        <v>302.54354650449721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15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1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10.1561237088124</v>
      </c>
      <c r="AC20" s="24">
        <f t="shared" si="3"/>
        <v>10.1561237088124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IF('Données projet'!$A$36&gt;35,N20+M21-V20,IF(A21&lt;'Données projet'!$A$36,$K$205^A21,IF(A21='Données projet'!$A$36,'Données projet'!$B$36,N20+M21-V20)))</f>
        <v>99.333333333333329</v>
      </c>
      <c r="O21" s="14">
        <f>N21*VLOOKUP('Données projet'!$B$9,Paramètres!$A$1:$I$89,3,0)*VLOOKUP('Données projet'!$B$9,Paramètres!$A$1:$I$89,5,0)</f>
        <v>59.401333333333341</v>
      </c>
      <c r="P21" s="14">
        <f t="shared" si="33"/>
        <v>17.016819071145004</v>
      </c>
      <c r="Q21" s="22">
        <f t="shared" si="2"/>
        <v>133.09494877113312</v>
      </c>
      <c r="R21" s="62">
        <f t="shared" si="0"/>
        <v>411.76161543779983</v>
      </c>
      <c r="S21" s="62">
        <f ca="1">AVERAGE(OFFSET($R$3,0,0,'Données projet'!$E$9+1,1))-AVERAGE(OFFSET($H$3,0,0,'Données projet'!$E$9+1,1))</f>
        <v>308.43688246071395</v>
      </c>
      <c r="T21" s="62">
        <f t="shared" si="34"/>
        <v>302.54354650449721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7.1814639450707176</v>
      </c>
      <c r="AC21" s="24">
        <f t="shared" si="3"/>
        <v>7.1814639450707176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IF('Données projet'!$A$36&gt;35,N21+M22-V21,IF(A22&lt;'Données projet'!$A$36,$K$205^A22,IF(A22='Données projet'!$A$36,'Données projet'!$B$36,N21+M22-V21)))</f>
        <v>110.66666666666666</v>
      </c>
      <c r="O22" s="14">
        <f>N22*VLOOKUP('Données projet'!$B$9,Paramètres!$A$1:$I$89,3,0)*VLOOKUP('Données projet'!$B$9,Paramètres!$A$1:$I$89,5,0)</f>
        <v>66.178666666666672</v>
      </c>
      <c r="P22" s="14">
        <f t="shared" si="33"/>
        <v>18.721407701456755</v>
      </c>
      <c r="Q22" s="22">
        <f t="shared" si="2"/>
        <v>147.8676295244816</v>
      </c>
      <c r="R22" s="62">
        <f t="shared" si="0"/>
        <v>427.75651841337049</v>
      </c>
      <c r="S22" s="62">
        <f ca="1">AVERAGE(OFFSET($R$3,0,0,'Données projet'!$E$9+1,1))-AVERAGE(OFFSET($H$3,0,0,'Données projet'!$E$9+1,1))</f>
        <v>308.43688246071395</v>
      </c>
      <c r="T22" s="62">
        <f t="shared" si="34"/>
        <v>302.54354650449721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5.0780618544062008</v>
      </c>
      <c r="AC22" s="24">
        <f t="shared" si="3"/>
        <v>5.0780618544062008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122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IF('Données projet'!$A$36&gt;35,N22+M23-V22,IF(A23&lt;'Données projet'!$A$36,$K$205^A23,IF(A23='Données projet'!$A$36,'Données projet'!$B$36,N22+M23-V22)))</f>
        <v>121.99999999999999</v>
      </c>
      <c r="O23" s="14">
        <f>N23*VLOOKUP('Données projet'!$B$9,Paramètres!$A$1:$I$89,3,0)*VLOOKUP('Données projet'!$B$9,Paramètres!$A$1:$I$89,5,0)</f>
        <v>72.956000000000003</v>
      </c>
      <c r="P23" s="14">
        <f t="shared" si="33"/>
        <v>20.405760140212273</v>
      </c>
      <c r="Q23" s="22">
        <f t="shared" si="2"/>
        <v>162.60506557753638</v>
      </c>
      <c r="R23" s="62">
        <f t="shared" si="0"/>
        <v>443.71617668864752</v>
      </c>
      <c r="S23" s="62">
        <f ca="1">AVERAGE(OFFSET($R$3,0,0,'Données projet'!$E$9+1,1))-AVERAGE(OFFSET($H$3,0,0,'Données projet'!$E$9+1,1))</f>
        <v>308.43688246071395</v>
      </c>
      <c r="T23" s="62">
        <f t="shared" si="34"/>
        <v>302.54354650449721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13.746855681347759</v>
      </c>
      <c r="AC23" s="24">
        <f t="shared" si="3"/>
        <v>13.746855681347759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12.2</v>
      </c>
      <c r="N24" s="14">
        <f>IF('Données projet'!$A$36&gt;35,N23+M24-V23,IF(A24&lt;'Données projet'!$A$36,$K$205^A24,IF(A24='Données projet'!$A$36,'Données projet'!$B$36,N23+M24-V23)))</f>
        <v>119.19999999999999</v>
      </c>
      <c r="O24" s="14">
        <f>N24*VLOOKUP('Données projet'!$B$9,Paramètres!$A$1:$I$89,3,0)*VLOOKUP('Données projet'!$B$9,Paramètres!$A$1:$I$89,5,0)</f>
        <v>71.281599999999997</v>
      </c>
      <c r="P24" s="14">
        <f t="shared" si="33"/>
        <v>19.991387177457259</v>
      </c>
      <c r="Q24" s="22">
        <f t="shared" si="2"/>
        <v>158.96711933407138</v>
      </c>
      <c r="R24" s="62">
        <f t="shared" si="0"/>
        <v>441.30045266740467</v>
      </c>
      <c r="S24" s="62">
        <f ca="1">AVERAGE(OFFSET($R$3,0,0,'Données projet'!$E$9+1,1))-AVERAGE(OFFSET($H$3,0,0,'Données projet'!$E$9+1,1))</f>
        <v>308.43688246071395</v>
      </c>
      <c r="T24" s="62">
        <f t="shared" si="34"/>
        <v>302.54354650449721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9.720494872273818</v>
      </c>
      <c r="AC24" s="24">
        <f t="shared" si="3"/>
        <v>9.720494872273818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12.2</v>
      </c>
      <c r="N25" s="14">
        <f>IF('Données projet'!$A$36&gt;35,N24+M25-V24,IF(A25&lt;'Données projet'!$A$36,$K$205^A25,IF(A25='Données projet'!$A$36,'Données projet'!$B$36,N24+M25-V24)))</f>
        <v>131.39999999999998</v>
      </c>
      <c r="O25" s="14">
        <f>N25*VLOOKUP('Données projet'!$B$9,Paramètres!$A$1:$I$89,3,0)*VLOOKUP('Données projet'!$B$9,Paramètres!$A$1:$I$89,5,0)</f>
        <v>78.577199999999991</v>
      </c>
      <c r="P25" s="14">
        <f t="shared" si="33"/>
        <v>21.788939637935243</v>
      </c>
      <c r="Q25" s="22">
        <f t="shared" si="2"/>
        <v>174.80435986940384</v>
      </c>
      <c r="R25" s="62">
        <f t="shared" si="0"/>
        <v>458.35991542495935</v>
      </c>
      <c r="S25" s="62">
        <f ca="1">AVERAGE(OFFSET($R$3,0,0,'Données projet'!$E$9+1,1))-AVERAGE(OFFSET($H$3,0,0,'Données projet'!$E$9+1,1))</f>
        <v>308.43688246071395</v>
      </c>
      <c r="T25" s="62">
        <f t="shared" si="34"/>
        <v>302.54354650449721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6.8734278406738802</v>
      </c>
      <c r="AC25" s="24">
        <f t="shared" si="3"/>
        <v>6.8734278406738802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12.2</v>
      </c>
      <c r="N26" s="14">
        <f>IF('Données projet'!$A$36&gt;35,N25+M26-V25,IF(A26&lt;'Données projet'!$A$36,$K$205^A26,IF(A26='Données projet'!$A$36,'Données projet'!$B$36,N25+M26-V25)))</f>
        <v>143.59999999999997</v>
      </c>
      <c r="O26" s="14">
        <f>N26*VLOOKUP('Données projet'!$B$9,Paramètres!$A$1:$I$89,3,0)*VLOOKUP('Données projet'!$B$9,Paramètres!$A$1:$I$89,5,0)</f>
        <v>85.872799999999984</v>
      </c>
      <c r="P26" s="14">
        <f t="shared" si="33"/>
        <v>23.567140673267303</v>
      </c>
      <c r="Q26" s="22">
        <f t="shared" si="2"/>
        <v>190.60789667260715</v>
      </c>
      <c r="R26" s="62">
        <f t="shared" si="0"/>
        <v>475.38567445038495</v>
      </c>
      <c r="S26" s="62">
        <f ca="1">AVERAGE(OFFSET($R$3,0,0,'Données projet'!$E$9+1,1))-AVERAGE(OFFSET($H$3,0,0,'Données projet'!$E$9+1,1))</f>
        <v>308.43688246071395</v>
      </c>
      <c r="T26" s="62">
        <f t="shared" si="34"/>
        <v>302.54354650449721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4.8602474361369099</v>
      </c>
      <c r="AC26" s="24">
        <f t="shared" si="3"/>
        <v>4.8602474361369099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12.2</v>
      </c>
      <c r="N27" s="14">
        <f>IF('Données projet'!$A$36&gt;35,N26+M27-V26,IF(A27&lt;'Données projet'!$A$36,$K$205^A27,IF(A27='Données projet'!$A$36,'Données projet'!$B$36,N26+M27-V26)))</f>
        <v>155.79999999999995</v>
      </c>
      <c r="O27" s="14">
        <f>N27*VLOOKUP('Données projet'!$B$9,Paramètres!$A$1:$I$89,3,0)*VLOOKUP('Données projet'!$B$9,Paramètres!$A$1:$I$89,5,0)</f>
        <v>93.168399999999977</v>
      </c>
      <c r="P27" s="14">
        <f t="shared" si="33"/>
        <v>25.327821267219203</v>
      </c>
      <c r="Q27" s="22">
        <f t="shared" si="2"/>
        <v>206.38091870707342</v>
      </c>
      <c r="R27" s="62">
        <f t="shared" si="0"/>
        <v>492.38091870707342</v>
      </c>
      <c r="S27" s="62">
        <f ca="1">AVERAGE(OFFSET($R$3,0,0,'Données projet'!$E$9+1,1))-AVERAGE(OFFSET($H$3,0,0,'Données projet'!$E$9+1,1))</f>
        <v>308.43688246071395</v>
      </c>
      <c r="T27" s="62">
        <f t="shared" si="34"/>
        <v>302.54354650449721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3.436713920336941</v>
      </c>
      <c r="AC27" s="24">
        <f t="shared" si="3"/>
        <v>3.436713920336941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168</v>
      </c>
      <c r="L28" s="13">
        <f>VLOOKUP(A28,'Données projet'!$A$35:$I$55,9,0)</f>
        <v>12.2</v>
      </c>
      <c r="M28" s="13">
        <f t="array" ref="M28">INDEX(L:L,MIN(IF(ISNUMBER(L28:L224),ROW(L28:L224),"")))</f>
        <v>12.2</v>
      </c>
      <c r="N28" s="14">
        <f>IF('Données projet'!$A$36&gt;35,N27+M28-V27,IF(A28&lt;'Données projet'!$A$36,$K$205^A28,IF(A28='Données projet'!$A$36,'Données projet'!$B$36,N27+M28-V27)))</f>
        <v>167.99999999999994</v>
      </c>
      <c r="O28" s="14">
        <f>N28*VLOOKUP('Données projet'!$B$9,Paramètres!$A$1:$I$89,3,0)*VLOOKUP('Données projet'!$B$9,Paramètres!$A$1:$I$89,5,0)</f>
        <v>100.46399999999997</v>
      </c>
      <c r="P28" s="14">
        <f t="shared" si="33"/>
        <v>27.072509349827456</v>
      </c>
      <c r="Q28" s="22">
        <f t="shared" si="2"/>
        <v>222.12608711761609</v>
      </c>
      <c r="R28" s="62">
        <f t="shared" si="0"/>
        <v>509.34830933983835</v>
      </c>
      <c r="S28" s="62">
        <f ca="1">AVERAGE(OFFSET($R$3,0,0,'Données projet'!$E$9+1,1))-AVERAGE(OFFSET($H$3,0,0,'Données projet'!$E$9+1,1))</f>
        <v>308.43688246071395</v>
      </c>
      <c r="T28" s="62">
        <f t="shared" si="34"/>
        <v>302.54354650449721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36</v>
      </c>
      <c r="W28" s="17">
        <f>IF(ISNA(VLOOKUP(A28,'Données projet'!$A$35:$I$55,5,0)),0%,VLOOKUP(A28,'Données projet'!$A$35:$I$55,5,0)*VLOOKUP('Données projet'!$B$9,Paramètres!$A$1:$I$89,7,0))</f>
        <v>9.0000000000000011E-2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2.570245163703218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21.929881238988258</v>
      </c>
      <c r="AC28" s="24">
        <f t="shared" si="3"/>
        <v>24.500126402691478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</v>
      </c>
      <c r="N29" s="14">
        <f>IF('Données projet'!$A$36&gt;35,N28+M29-V28,IF(A29&lt;'Données projet'!$A$36,$K$205^A29,IF(A29='Données projet'!$A$36,'Données projet'!$B$36,N28+M29-V28)))</f>
        <v>145.99999999999994</v>
      </c>
      <c r="O29" s="14">
        <f>N29*VLOOKUP('Données projet'!$B$9,Paramètres!$A$1:$I$89,3,0)*VLOOKUP('Données projet'!$B$9,Paramètres!$A$1:$I$89,5,0)</f>
        <v>87.307999999999979</v>
      </c>
      <c r="P29" s="14">
        <f t="shared" si="33"/>
        <v>23.914836409796052</v>
      </c>
      <c r="Q29" s="22">
        <f t="shared" si="2"/>
        <v>193.7131067470614</v>
      </c>
      <c r="R29" s="62">
        <f t="shared" si="0"/>
        <v>482.15755119150583</v>
      </c>
      <c r="S29" s="62">
        <f ca="1">AVERAGE(OFFSET($R$3,0,0,'Données projet'!$E$9+1,1))-AVERAGE(OFFSET($H$3,0,0,'Données projet'!$E$9+1,1))</f>
        <v>308.43688246071395</v>
      </c>
      <c r="T29" s="62">
        <f t="shared" si="34"/>
        <v>302.54354650449721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2.5198442237377505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15.506767734704246</v>
      </c>
      <c r="AC29" s="24">
        <f t="shared" si="3"/>
        <v>18.026611958441997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</v>
      </c>
      <c r="N30" s="14">
        <f>IF('Données projet'!$A$36&gt;35,N29+M30-V29,IF(A30&lt;'Données projet'!$A$36,$K$205^A30,IF(A30='Données projet'!$A$36,'Données projet'!$B$36,N29+M30-V29)))</f>
        <v>159.99999999999994</v>
      </c>
      <c r="O30" s="14">
        <f>N30*VLOOKUP('Données projet'!$B$9,Paramètres!$A$1:$I$89,3,0)*VLOOKUP('Données projet'!$B$9,Paramètres!$A$1:$I$89,5,0)</f>
        <v>95.679999999999978</v>
      </c>
      <c r="P30" s="14">
        <f t="shared" si="33"/>
        <v>25.930186937101944</v>
      </c>
      <c r="Q30" s="22">
        <f t="shared" si="2"/>
        <v>211.80440891545254</v>
      </c>
      <c r="R30" s="62">
        <f t="shared" si="0"/>
        <v>501.47107558211923</v>
      </c>
      <c r="S30" s="62">
        <f ca="1">AVERAGE(OFFSET($R$3,0,0,'Données projet'!$E$9+1,1))-AVERAGE(OFFSET($H$3,0,0,'Données projet'!$E$9+1,1))</f>
        <v>308.43688246071395</v>
      </c>
      <c r="T30" s="62">
        <f t="shared" si="34"/>
        <v>302.54354650449721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2.4704316154634682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10.964940619494131</v>
      </c>
      <c r="AC30" s="24">
        <f t="shared" si="3"/>
        <v>13.435372234957599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</v>
      </c>
      <c r="N31" s="14">
        <f>IF('Données projet'!$A$36&gt;35,N30+M31-V30,IF(A31&lt;'Données projet'!$A$36,$K$205^A31,IF(A31='Données projet'!$A$36,'Données projet'!$B$36,N30+M31-V30)))</f>
        <v>173.99999999999994</v>
      </c>
      <c r="O31" s="14">
        <f>N31*VLOOKUP('Données projet'!$B$9,Paramètres!$A$1:$I$89,3,0)*VLOOKUP('Données projet'!$B$9,Paramètres!$A$1:$I$89,5,0)</f>
        <v>104.05199999999998</v>
      </c>
      <c r="P31" s="14">
        <f t="shared" si="33"/>
        <v>27.925087771564417</v>
      </c>
      <c r="Q31" s="22">
        <f t="shared" si="2"/>
        <v>229.86009453547459</v>
      </c>
      <c r="R31" s="62">
        <f t="shared" si="0"/>
        <v>520.74898342436347</v>
      </c>
      <c r="S31" s="62">
        <f ca="1">AVERAGE(OFFSET($R$3,0,0,'Données projet'!$E$9+1,1))-AVERAGE(OFFSET($H$3,0,0,'Données projet'!$E$9+1,1))</f>
        <v>308.43688246071395</v>
      </c>
      <c r="T31" s="62">
        <f t="shared" si="34"/>
        <v>302.54354650449721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2.4219879582987294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7.7533838673521238</v>
      </c>
      <c r="AC31" s="24">
        <f t="shared" si="3"/>
        <v>10.175371825650853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</v>
      </c>
      <c r="N32" s="14">
        <f>IF('Données projet'!$A$36&gt;35,N31+M32-V31,IF(A32&lt;'Données projet'!$A$36,$K$205^A32,IF(A32='Données projet'!$A$36,'Données projet'!$B$36,N31+M32-V31)))</f>
        <v>187.99999999999994</v>
      </c>
      <c r="O32" s="14">
        <f>N32*VLOOKUP('Données projet'!$B$9,Paramètres!$A$1:$I$89,3,0)*VLOOKUP('Données projet'!$B$9,Paramètres!$A$1:$I$89,5,0)</f>
        <v>112.42399999999998</v>
      </c>
      <c r="P32" s="14">
        <f t="shared" si="33"/>
        <v>29.901371354345123</v>
      </c>
      <c r="Q32" s="22">
        <f t="shared" si="2"/>
        <v>247.88335510881768</v>
      </c>
      <c r="R32" s="62">
        <f t="shared" si="0"/>
        <v>539.99446621992888</v>
      </c>
      <c r="S32" s="62">
        <f ca="1">AVERAGE(OFFSET($R$3,0,0,'Données projet'!$E$9+1,1))-AVERAGE(OFFSET($H$3,0,0,'Données projet'!$E$9+1,1))</f>
        <v>308.43688246071395</v>
      </c>
      <c r="T32" s="62">
        <f t="shared" si="34"/>
        <v>302.54354650449721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2.3744942517032777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5.4824703097470664</v>
      </c>
      <c r="AC32" s="24">
        <f t="shared" si="3"/>
        <v>7.8569645614503436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202</v>
      </c>
      <c r="L33" s="13">
        <f>VLOOKUP(A33,'Données projet'!$A$35:$I$55,9,0)</f>
        <v>14</v>
      </c>
      <c r="M33" s="13">
        <f t="array" ref="M33">INDEX(L:L,MIN(IF(ISNUMBER(L33:L229),ROW(L33:L229),"")))</f>
        <v>14</v>
      </c>
      <c r="N33" s="14">
        <f>IF('Données projet'!$A$36&gt;35,N32+M33-V32,IF(A33&lt;'Données projet'!$A$36,$K$205^A33,IF(A33='Données projet'!$A$36,'Données projet'!$B$36,N32+M33-V32)))</f>
        <v>201.99999999999994</v>
      </c>
      <c r="O33" s="14">
        <f>N33*VLOOKUP('Données projet'!$B$9,Paramètres!$A$1:$I$89,3,0)*VLOOKUP('Données projet'!$B$9,Paramètres!$A$1:$I$89,5,0)</f>
        <v>120.79599999999996</v>
      </c>
      <c r="P33" s="14">
        <f t="shared" si="33"/>
        <v>31.860581725070222</v>
      </c>
      <c r="Q33" s="22">
        <f t="shared" si="2"/>
        <v>265.87687983783059</v>
      </c>
      <c r="R33" s="62">
        <f t="shared" si="0"/>
        <v>559.2102131711639</v>
      </c>
      <c r="S33" s="62">
        <f ca="1">AVERAGE(OFFSET($R$3,0,0,'Données projet'!$E$9+1,1))-AVERAGE(OFFSET($H$3,0,0,'Données projet'!$E$9+1,1))</f>
        <v>308.43688246071395</v>
      </c>
      <c r="T33" s="62">
        <f t="shared" si="34"/>
        <v>302.54354650449721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10.038667358835518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25.813919144710848</v>
      </c>
      <c r="AC33" s="24">
        <f t="shared" si="3"/>
        <v>35.852586503546362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19.2</v>
      </c>
      <c r="N34" s="14">
        <f>IF('Données projet'!$A$36&gt;35,N33+M34-V33,IF(A34&lt;'Données projet'!$A$36,$K$205^A34,IF(A34='Données projet'!$A$36,'Données projet'!$B$36,N33+M34-V33)))</f>
        <v>167.19999999999993</v>
      </c>
      <c r="O34" s="14">
        <f>N34*VLOOKUP('Données projet'!$B$9,Paramètres!$A$1:$I$89,3,0)*VLOOKUP('Données projet'!$B$9,Paramètres!$A$1:$I$89,5,0)</f>
        <v>99.985599999999977</v>
      </c>
      <c r="P34" s="14">
        <f t="shared" si="33"/>
        <v>26.95856691816941</v>
      </c>
      <c r="Q34" s="22">
        <f t="shared" si="2"/>
        <v>221.094424049145</v>
      </c>
      <c r="R34" s="62">
        <f t="shared" si="0"/>
        <v>514.42775738247838</v>
      </c>
      <c r="S34" s="62">
        <f ca="1">AVERAGE(OFFSET($R$3,0,0,'Données projet'!$E$9+1,1))-AVERAGE(OFFSET($H$3,0,0,'Données projet'!$E$9+1,1))</f>
        <v>308.43688246071395</v>
      </c>
      <c r="T34" s="62">
        <f t="shared" si="34"/>
        <v>302.54354650449721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9.8418152149112483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18.253197276226285</v>
      </c>
      <c r="AC34" s="24">
        <f t="shared" si="3"/>
        <v>28.095012491137531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19.2</v>
      </c>
      <c r="N35" s="14">
        <f>IF('Données projet'!$A$36&gt;35,N34+M35-V34,IF(A35&lt;'Données projet'!$A$36,$K$205^A35,IF(A35='Données projet'!$A$36,'Données projet'!$B$36,N34+M35-V34)))</f>
        <v>186.39999999999992</v>
      </c>
      <c r="O35" s="14">
        <f>N35*VLOOKUP('Données projet'!$B$9,Paramètres!$A$1:$I$89,3,0)*VLOOKUP('Données projet'!$B$9,Paramètres!$A$1:$I$89,5,0)</f>
        <v>111.46719999999996</v>
      </c>
      <c r="P35" s="14">
        <f t="shared" si="33"/>
        <v>29.676401310795534</v>
      </c>
      <c r="Q35" s="22">
        <f t="shared" ref="Q35:Q66" si="53">(O35+P35)*0.475*44/12</f>
        <v>245.82510561630218</v>
      </c>
      <c r="R35" s="62">
        <f t="shared" si="0"/>
        <v>539.15843894963552</v>
      </c>
      <c r="S35" s="62">
        <f ca="1">AVERAGE(OFFSET($R$3,0,0,'Données projet'!$E$9+1,1))-AVERAGE(OFFSET($H$3,0,0,'Données projet'!$E$9+1,1))</f>
        <v>308.43688246071395</v>
      </c>
      <c r="T35" s="62">
        <f t="shared" si="34"/>
        <v>302.54354650449721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9.6488232214613809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12.906959572355426</v>
      </c>
      <c r="AC35" s="24">
        <f t="shared" si="3"/>
        <v>22.555782793816807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19.2</v>
      </c>
      <c r="N36" s="14">
        <f>IF('Données projet'!$A$36&gt;35,N35+M36-V35,IF(A36&lt;'Données projet'!$A$36,$K$205^A36,IF(A36='Données projet'!$A$36,'Données projet'!$B$36,N35+M36-V35)))</f>
        <v>205.59999999999991</v>
      </c>
      <c r="O36" s="14">
        <f>N36*VLOOKUP('Données projet'!$B$9,Paramètres!$A$1:$I$89,3,0)*VLOOKUP('Données projet'!$B$9,Paramètres!$A$1:$I$89,5,0)</f>
        <v>122.94879999999996</v>
      </c>
      <c r="P36" s="14">
        <f t="shared" si="33"/>
        <v>32.361783737668198</v>
      </c>
      <c r="Q36" s="22">
        <f t="shared" si="53"/>
        <v>270.49926667643871</v>
      </c>
      <c r="R36" s="62">
        <f t="shared" si="0"/>
        <v>563.83260000977202</v>
      </c>
      <c r="S36" s="62">
        <f ca="1">AVERAGE(OFFSET($R$3,0,0,'Données projet'!$E$9+1,1))-AVERAGE(OFFSET($H$3,0,0,'Données projet'!$E$9+1,1))</f>
        <v>308.43688246071395</v>
      </c>
      <c r="T36" s="62">
        <f t="shared" si="34"/>
        <v>302.54354650449721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9.4596156832895737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9.1265986381131441</v>
      </c>
      <c r="AC36" s="24">
        <f t="shared" si="3"/>
        <v>18.586214321402718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19.2</v>
      </c>
      <c r="N37" s="14">
        <f>IF('Données projet'!$A$36&gt;35,N36+M37-V36,IF(A37&lt;'Données projet'!$A$36,$K$205^A37,IF(A37='Données projet'!$A$36,'Données projet'!$B$36,N36+M37-V36)))</f>
        <v>224.7999999999999</v>
      </c>
      <c r="O37" s="14">
        <f>N37*VLOOKUP('Données projet'!$B$9,Paramètres!$A$1:$I$89,3,0)*VLOOKUP('Données projet'!$B$9,Paramètres!$A$1:$I$89,5,0)</f>
        <v>134.43039999999996</v>
      </c>
      <c r="P37" s="14">
        <f t="shared" si="33"/>
        <v>35.018089455699787</v>
      </c>
      <c r="Q37" s="22">
        <f t="shared" si="53"/>
        <v>295.12278580201036</v>
      </c>
      <c r="R37" s="62">
        <f t="shared" si="0"/>
        <v>588.45611913534367</v>
      </c>
      <c r="S37" s="62">
        <f ca="1">AVERAGE(OFFSET($R$3,0,0,'Données projet'!$E$9+1,1))-AVERAGE(OFFSET($H$3,0,0,'Données projet'!$E$9+1,1))</f>
        <v>308.43688246071395</v>
      </c>
      <c r="T37" s="62">
        <f t="shared" si="34"/>
        <v>302.54354650449721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9.2741183895361115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6.4534797861777138</v>
      </c>
      <c r="AC37" s="24">
        <f t="shared" si="3"/>
        <v>15.727598175713826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244</v>
      </c>
      <c r="L38" s="13">
        <f>VLOOKUP(A38,'Données projet'!$A$35:$I$55,9,0)</f>
        <v>19.2</v>
      </c>
      <c r="M38" s="13">
        <f t="array" ref="M38">INDEX(L:L,MIN(IF(ISNUMBER(L38:L234),ROW(L38:L234),"")))</f>
        <v>19.2</v>
      </c>
      <c r="N38" s="14">
        <f>IF('Données projet'!$A$36&gt;35,N37+M38-V37,IF(A38&lt;'Données projet'!$A$36,$K$205^A38,IF(A38='Données projet'!$A$36,'Données projet'!$B$36,N37+M38-V37)))</f>
        <v>243.99999999999989</v>
      </c>
      <c r="O38" s="14">
        <f>N38*VLOOKUP('Données projet'!$B$9,Paramètres!$A$1:$I$89,3,0)*VLOOKUP('Données projet'!$B$9,Paramètres!$A$1:$I$89,5,0)</f>
        <v>145.91199999999995</v>
      </c>
      <c r="P38" s="14">
        <f t="shared" si="33"/>
        <v>37.648084239987597</v>
      </c>
      <c r="Q38" s="22">
        <f t="shared" si="53"/>
        <v>319.70048005131156</v>
      </c>
      <c r="R38" s="62">
        <f t="shared" si="0"/>
        <v>613.03381338464487</v>
      </c>
      <c r="S38" s="62">
        <f ca="1">AVERAGE(OFFSET($R$3,0,0,'Données projet'!$E$9+1,1))-AVERAGE(OFFSET($H$3,0,0,'Données projet'!$E$9+1,1))</f>
        <v>308.43688246071395</v>
      </c>
      <c r="T38" s="62">
        <f t="shared" si="34"/>
        <v>302.54354650449721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52</v>
      </c>
      <c r="W38" s="17">
        <f>IF(ISNA(VLOOKUP(A38,'Données projet'!$A$35:$I$55,5,0)),0%,VLOOKUP(A38,'Données projet'!$A$35:$I$55,5,0)*VLOOKUP('Données projet'!$B$9,Paramètres!$A$1:$I$89,7,0))</f>
        <v>0.27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0.4</v>
      </c>
      <c r="Z38" s="23">
        <f>EXP(-LN(2)/35)*Z37+(1-EXP(-LN(2)/35))/(LN(2)/35)*V38*W38*VLOOKUP('Données projet'!$B$9,Paramètres!$A$1:$I$89,3,0)*0.475*44/12</f>
        <v>20.22998762728492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18.646457528609766</v>
      </c>
      <c r="AC38" s="24">
        <f t="shared" si="3"/>
        <v>38.876445155894686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18.399999999999999</v>
      </c>
      <c r="N39" s="14">
        <f>IF('Données projet'!$A$36&gt;35,N38+M39-V38,IF(A39&lt;'Données projet'!$A$36,$K$205^A39,IF(A39='Données projet'!$A$36,'Données projet'!$B$36,N38+M39-V38)))</f>
        <v>210.39999999999986</v>
      </c>
      <c r="O39" s="14">
        <f>N39*VLOOKUP('Données projet'!$B$9,Paramètres!$A$1:$I$89,3,0)*VLOOKUP('Données projet'!$B$9,Paramètres!$A$1:$I$89,5,0)</f>
        <v>125.81919999999992</v>
      </c>
      <c r="P39" s="14">
        <f t="shared" si="33"/>
        <v>33.028469001524932</v>
      </c>
      <c r="Q39" s="22">
        <f t="shared" si="53"/>
        <v>276.65969017765576</v>
      </c>
      <c r="R39" s="62">
        <f t="shared" si="0"/>
        <v>569.99302351098913</v>
      </c>
      <c r="S39" s="62">
        <f ca="1">AVERAGE(OFFSET($R$3,0,0,'Données projet'!$E$9+1,1))-AVERAGE(OFFSET($H$3,0,0,'Données projet'!$E$9+1,1))</f>
        <v>308.43688246071395</v>
      </c>
      <c r="T39" s="62">
        <f t="shared" si="34"/>
        <v>302.54354650449721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19.833289908987933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13.185036563586918</v>
      </c>
      <c r="AC39" s="24">
        <f t="shared" si="3"/>
        <v>33.018326472574849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18.399999999999999</v>
      </c>
      <c r="N40" s="14">
        <f>IF('Données projet'!$A$36&gt;35,N39+M40-V39,IF(A40&lt;'Données projet'!$A$36,$K$205^A40,IF(A40='Données projet'!$A$36,'Données projet'!$B$36,N39+M40-V39)))</f>
        <v>228.79999999999987</v>
      </c>
      <c r="O40" s="14">
        <f>N40*VLOOKUP('Données projet'!$B$9,Paramètres!$A$1:$I$89,3,0)*VLOOKUP('Données projet'!$B$9,Paramètres!$A$1:$I$89,5,0)</f>
        <v>136.82239999999993</v>
      </c>
      <c r="P40" s="14">
        <f t="shared" si="33"/>
        <v>35.568092141139893</v>
      </c>
      <c r="Q40" s="22">
        <f t="shared" si="53"/>
        <v>300.24677381248517</v>
      </c>
      <c r="R40" s="62">
        <f t="shared" si="0"/>
        <v>593.58010714581849</v>
      </c>
      <c r="S40" s="62">
        <f ca="1">AVERAGE(OFFSET($R$3,0,0,'Données projet'!$E$9+1,1))-AVERAGE(OFFSET($H$3,0,0,'Données projet'!$E$9+1,1))</f>
        <v>308.43688246071395</v>
      </c>
      <c r="T40" s="62">
        <f t="shared" si="34"/>
        <v>302.54354650449721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19.444371190985034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9.3232287643048846</v>
      </c>
      <c r="AC40" s="24">
        <f t="shared" si="3"/>
        <v>28.767599955289917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18.399999999999999</v>
      </c>
      <c r="N41" s="14">
        <f>IF('Données projet'!$A$36&gt;35,N40+M41-V40,IF(A41&lt;'Données projet'!$A$36,$K$205^A41,IF(A41='Données projet'!$A$36,'Données projet'!$B$36,N40+M41-V40)))</f>
        <v>247.19999999999987</v>
      </c>
      <c r="O41" s="14">
        <f>N41*VLOOKUP('Données projet'!$B$9,Paramètres!$A$1:$I$89,3,0)*VLOOKUP('Données projet'!$B$9,Paramètres!$A$1:$I$89,5,0)</f>
        <v>147.82559999999992</v>
      </c>
      <c r="P41" s="14">
        <f t="shared" si="33"/>
        <v>38.084026262138629</v>
      </c>
      <c r="Q41" s="22">
        <f t="shared" si="53"/>
        <v>323.79259907322461</v>
      </c>
      <c r="R41" s="62">
        <f t="shared" si="0"/>
        <v>617.12593240655792</v>
      </c>
      <c r="S41" s="62">
        <f ca="1">AVERAGE(OFFSET($R$3,0,0,'Données projet'!$E$9+1,1))-AVERAGE(OFFSET($H$3,0,0,'Données projet'!$E$9+1,1))</f>
        <v>308.43688246071395</v>
      </c>
      <c r="T41" s="62">
        <f t="shared" si="34"/>
        <v>302.54354650449721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19.063078931825178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6.5925182817934607</v>
      </c>
      <c r="AC41" s="24">
        <f t="shared" si="3"/>
        <v>25.655597213618638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18.399999999999999</v>
      </c>
      <c r="N42" s="14">
        <f>IF('Données projet'!$A$36&gt;35,N41+M42-V41,IF(A42&lt;'Données projet'!$A$36,$K$205^A42,IF(A42='Données projet'!$A$36,'Données projet'!$B$36,N41+M42-V41)))</f>
        <v>265.59999999999985</v>
      </c>
      <c r="O42" s="14">
        <f>N42*VLOOKUP('Données projet'!$B$9,Paramètres!$A$1:$I$89,3,0)*VLOOKUP('Données projet'!$B$9,Paramètres!$A$1:$I$89,5,0)</f>
        <v>158.82879999999992</v>
      </c>
      <c r="P42" s="14">
        <f t="shared" si="33"/>
        <v>40.578235128063113</v>
      </c>
      <c r="Q42" s="22">
        <f t="shared" si="53"/>
        <v>347.30058618137645</v>
      </c>
      <c r="R42" s="62">
        <f t="shared" si="0"/>
        <v>640.63391951470976</v>
      </c>
      <c r="S42" s="62">
        <f ca="1">AVERAGE(OFFSET($R$3,0,0,'Données projet'!$E$9+1,1))-AVERAGE(OFFSET($H$3,0,0,'Données projet'!$E$9+1,1))</f>
        <v>308.43688246071395</v>
      </c>
      <c r="T42" s="62">
        <f t="shared" si="34"/>
        <v>302.54354650449721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18.689263581302132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4.6616143821524432</v>
      </c>
      <c r="AC42" s="24">
        <f t="shared" si="3"/>
        <v>23.350877963454575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284</v>
      </c>
      <c r="L43" s="13">
        <f>VLOOKUP(A43,'Données projet'!$A$35:$I$55,9,0)</f>
        <v>18.399999999999999</v>
      </c>
      <c r="M43" s="13">
        <f t="array" ref="M43">INDEX(L:L,MIN(IF(ISNUMBER(L43:L239),ROW(L43:L239),"")))</f>
        <v>18.399999999999999</v>
      </c>
      <c r="N43" s="14">
        <f>IF('Données projet'!$A$36&gt;35,N42+M43-V42,IF(A43&lt;'Données projet'!$A$36,$K$205^A43,IF(A43='Données projet'!$A$36,'Données projet'!$B$36,N42+M43-V42)))</f>
        <v>283.99999999999983</v>
      </c>
      <c r="O43" s="14">
        <f>N43*VLOOKUP('Données projet'!$B$9,Paramètres!$A$1:$I$89,3,0)*VLOOKUP('Données projet'!$B$9,Paramètres!$A$1:$I$89,5,0)</f>
        <v>169.83199999999991</v>
      </c>
      <c r="P43" s="14">
        <f t="shared" si="33"/>
        <v>43.052395009050429</v>
      </c>
      <c r="Q43" s="22">
        <f t="shared" si="53"/>
        <v>370.77365464076269</v>
      </c>
      <c r="R43" s="62">
        <f t="shared" si="0"/>
        <v>664.106987974096</v>
      </c>
      <c r="S43" s="62">
        <f ca="1">AVERAGE(OFFSET($R$3,0,0,'Données projet'!$E$9+1,1))-AVERAGE(OFFSET($H$3,0,0,'Données projet'!$E$9+1,1))</f>
        <v>308.43688246071395</v>
      </c>
      <c r="T43" s="62">
        <f t="shared" si="34"/>
        <v>302.54354650449721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48</v>
      </c>
      <c r="W43" s="17">
        <f>IF(ISNA(VLOOKUP(A43,'Données projet'!$A$35:$I$55,5,0)),0%,VLOOKUP(A43,'Données projet'!$A$35:$I$55,5,0)*VLOOKUP('Données projet'!$B$9,Paramètres!$A$1:$I$89,7,0))</f>
        <v>0.27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0.4</v>
      </c>
      <c r="Z43" s="23">
        <f>EXP(-LN(2)/35)*Z42+(1-EXP(-LN(2)/35))/(LN(2)/35)*V43*W43*VLOOKUP('Données projet'!$B$9,Paramètres!$A$1:$I$89,3,0)*0.475*44/12</f>
        <v>28.603759176610865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16.296097488176603</v>
      </c>
      <c r="AC43" s="24">
        <f t="shared" si="3"/>
        <v>44.899856664787464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</v>
      </c>
      <c r="N44" s="14">
        <f>IF('Données projet'!$A$36&gt;35,N43+M44-V43,IF(A44&lt;'Données projet'!$A$36,$K$205^A44,IF(A44='Données projet'!$A$36,'Données projet'!$B$36,N43+M44-V43)))</f>
        <v>254.19999999999982</v>
      </c>
      <c r="O44" s="14">
        <f>N44*VLOOKUP('Données projet'!$B$9,Paramètres!$A$1:$I$89,3,0)*VLOOKUP('Données projet'!$B$9,Paramètres!$A$1:$I$89,5,0)</f>
        <v>152.0115999999999</v>
      </c>
      <c r="P44" s="14">
        <f t="shared" si="33"/>
        <v>39.035373906584852</v>
      </c>
      <c r="Q44" s="22">
        <f t="shared" si="53"/>
        <v>332.7401462206351</v>
      </c>
      <c r="R44" s="62">
        <f t="shared" si="0"/>
        <v>626.07347955396835</v>
      </c>
      <c r="S44" s="62">
        <f ca="1">AVERAGE(OFFSET($R$3,0,0,'Données projet'!$E$9+1,1))-AVERAGE(OFFSET($H$3,0,0,'Données projet'!$E$9+1,1))</f>
        <v>308.43688246071395</v>
      </c>
      <c r="T44" s="62">
        <f t="shared" si="34"/>
        <v>302.54354650449721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28.042856905727916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11.523081040766741</v>
      </c>
      <c r="AC44" s="24">
        <f t="shared" si="3"/>
        <v>39.565937946494657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18.2</v>
      </c>
      <c r="N45" s="14">
        <f>IF('Données projet'!$A$36&gt;35,N44+M45-V44,IF(A45&lt;'Données projet'!$A$36,$K$205^A45,IF(A45='Données projet'!$A$36,'Données projet'!$B$36,N44+M45-V44)))</f>
        <v>272.39999999999981</v>
      </c>
      <c r="O45" s="14">
        <f>N45*VLOOKUP('Données projet'!$B$9,Paramètres!$A$1:$I$89,3,0)*VLOOKUP('Données projet'!$B$9,Paramètres!$A$1:$I$89,5,0)</f>
        <v>162.8951999999999</v>
      </c>
      <c r="P45" s="14">
        <f t="shared" si="33"/>
        <v>41.494852720458489</v>
      </c>
      <c r="Q45" s="22">
        <f t="shared" si="53"/>
        <v>355.97934182146497</v>
      </c>
      <c r="R45" s="62">
        <f t="shared" si="0"/>
        <v>649.31267515479828</v>
      </c>
      <c r="S45" s="62">
        <f ca="1">AVERAGE(OFFSET($R$3,0,0,'Données projet'!$E$9+1,1))-AVERAGE(OFFSET($H$3,0,0,'Données projet'!$E$9+1,1))</f>
        <v>308.43688246071395</v>
      </c>
      <c r="T45" s="62">
        <f t="shared" si="34"/>
        <v>302.54354650449721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27.492953586260381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8.1480487440883032</v>
      </c>
      <c r="AC45" s="24">
        <f t="shared" si="3"/>
        <v>35.641002330348684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18.2</v>
      </c>
      <c r="N46" s="14">
        <f>IF('Données projet'!$A$36&gt;35,N45+M46-V45,IF(A46&lt;'Données projet'!$A$36,$K$205^A46,IF(A46='Données projet'!$A$36,'Données projet'!$B$36,N45+M46-V45)))</f>
        <v>290.5999999999998</v>
      </c>
      <c r="O46" s="14">
        <f>N46*VLOOKUP('Données projet'!$B$9,Paramètres!$A$1:$I$89,3,0)*VLOOKUP('Données projet'!$B$9,Paramètres!$A$1:$I$89,5,0)</f>
        <v>173.77879999999988</v>
      </c>
      <c r="P46" s="14">
        <f t="shared" si="33"/>
        <v>43.935263155546174</v>
      </c>
      <c r="Q46" s="22">
        <f t="shared" si="53"/>
        <v>379.18532666257607</v>
      </c>
      <c r="R46" s="62">
        <f t="shared" si="0"/>
        <v>672.51865999590939</v>
      </c>
      <c r="S46" s="62">
        <f ca="1">AVERAGE(OFFSET($R$3,0,0,'Données projet'!$E$9+1,1))-AVERAGE(OFFSET($H$3,0,0,'Données projet'!$E$9+1,1))</f>
        <v>308.43688246071395</v>
      </c>
      <c r="T46" s="62">
        <f t="shared" si="34"/>
        <v>302.54354650449721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26.953833535479696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5.7615405203833712</v>
      </c>
      <c r="AC46" s="24">
        <f t="shared" si="3"/>
        <v>32.715374055863066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18.2</v>
      </c>
      <c r="N47" s="14">
        <f>IF('Données projet'!$A$36&gt;35,N46+M47-V46,IF(A47&lt;'Données projet'!$A$36,$K$205^A47,IF(A47='Données projet'!$A$36,'Données projet'!$B$36,N46+M47-V46)))</f>
        <v>308.79999999999978</v>
      </c>
      <c r="O47" s="14">
        <f>N47*VLOOKUP('Données projet'!$B$9,Paramètres!$A$1:$I$89,3,0)*VLOOKUP('Données projet'!$B$9,Paramètres!$A$1:$I$89,5,0)</f>
        <v>184.66239999999991</v>
      </c>
      <c r="P47" s="14">
        <f t="shared" si="33"/>
        <v>46.357935400059098</v>
      </c>
      <c r="Q47" s="22">
        <f t="shared" si="53"/>
        <v>402.36041748843604</v>
      </c>
      <c r="R47" s="62">
        <f t="shared" si="0"/>
        <v>695.6937508217693</v>
      </c>
      <c r="S47" s="62">
        <f ca="1">AVERAGE(OFFSET($R$3,0,0,'Données projet'!$E$9+1,1))-AVERAGE(OFFSET($H$3,0,0,'Données projet'!$E$9+1,1))</f>
        <v>308.43688246071395</v>
      </c>
      <c r="T47" s="62">
        <f t="shared" si="34"/>
        <v>302.54354650449721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26.425285300064058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4.0740243720441516</v>
      </c>
      <c r="AC47" s="24">
        <f t="shared" si="3"/>
        <v>30.499309672108211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327</v>
      </c>
      <c r="L48" s="13">
        <f>VLOOKUP(A48,'Données projet'!$A$35:$I$55,9,0)</f>
        <v>18.2</v>
      </c>
      <c r="M48" s="13">
        <f t="array" ref="M48">INDEX(L:L,MIN(IF(ISNUMBER(L48:L244),ROW(L48:L244),"")))</f>
        <v>18.2</v>
      </c>
      <c r="N48" s="14">
        <f>IF('Données projet'!$A$36&gt;35,N47+M48-V47,IF(A48&lt;'Données projet'!$A$36,$K$205^A48,IF(A48='Données projet'!$A$36,'Données projet'!$B$36,N47+M48-V47)))</f>
        <v>326.99999999999977</v>
      </c>
      <c r="O48" s="14">
        <f>N48*VLOOKUP('Données projet'!$B$9,Paramètres!$A$1:$I$89,3,0)*VLOOKUP('Données projet'!$B$9,Paramètres!$A$1:$I$89,5,0)</f>
        <v>195.54599999999988</v>
      </c>
      <c r="P48" s="14">
        <f t="shared" si="33"/>
        <v>48.764033987743254</v>
      </c>
      <c r="Q48" s="22">
        <f t="shared" si="53"/>
        <v>425.50664252865255</v>
      </c>
      <c r="R48" s="62">
        <f t="shared" si="0"/>
        <v>718.83997586198586</v>
      </c>
      <c r="S48" s="62">
        <f ca="1">AVERAGE(OFFSET($R$3,0,0,'Données projet'!$E$9+1,1))-AVERAGE(OFFSET($H$3,0,0,'Données projet'!$E$9+1,1))</f>
        <v>308.43688246071395</v>
      </c>
      <c r="T48" s="62">
        <f t="shared" si="34"/>
        <v>302.54354650449721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0.315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0.3</v>
      </c>
      <c r="Z48" s="23">
        <f>EXP(-LN(2)/35)*Z47+(1-EXP(-LN(2)/35))/(LN(2)/35)*V48*W48*VLOOKUP('Données projet'!$B$9,Paramètres!$A$1:$I$89,3,0)*0.475*44/12</f>
        <v>40.150543522017664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14.458751288237819</v>
      </c>
      <c r="AC48" s="24">
        <f t="shared" si="3"/>
        <v>54.609294810255484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19.399999999999999</v>
      </c>
      <c r="N49" s="14">
        <f>IF('Données projet'!$A$36&gt;35,N48+M49-V48,IF(A49&lt;'Données projet'!$A$36,$K$205^A49,IF(A49='Données projet'!$A$36,'Données projet'!$B$36,N48+M49-V48)))</f>
        <v>289.39999999999975</v>
      </c>
      <c r="O49" s="14">
        <f>N49*VLOOKUP('Données projet'!$B$9,Paramètres!$A$1:$I$89,3,0)*VLOOKUP('Données projet'!$B$9,Paramètres!$A$1:$I$89,5,0)</f>
        <v>173.06119999999984</v>
      </c>
      <c r="P49" s="14">
        <f t="shared" si="33"/>
        <v>43.774916798471033</v>
      </c>
      <c r="Q49" s="22">
        <f t="shared" si="53"/>
        <v>377.65623675733673</v>
      </c>
      <c r="R49" s="62">
        <f t="shared" si="0"/>
        <v>670.98957009066999</v>
      </c>
      <c r="S49" s="62">
        <f ca="1">AVERAGE(OFFSET($R$3,0,0,'Données projet'!$E$9+1,1))-AVERAGE(OFFSET($H$3,0,0,'Données projet'!$E$9+1,1))</f>
        <v>308.43688246071395</v>
      </c>
      <c r="T49" s="62">
        <f t="shared" si="34"/>
        <v>302.54354650449721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39.363215852964316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10.223881083402691</v>
      </c>
      <c r="AC49" s="24">
        <f t="shared" si="3"/>
        <v>49.587096936367004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19.399999999999999</v>
      </c>
      <c r="N50" s="14">
        <f>IF('Données projet'!$A$36&gt;35,N49+M50-V49,IF(A50&lt;'Données projet'!$A$36,$K$205^A50,IF(A50='Données projet'!$A$36,'Données projet'!$B$36,N49+M50-V49)))</f>
        <v>308.79999999999973</v>
      </c>
      <c r="O50" s="14">
        <f>N50*VLOOKUP('Données projet'!$B$9,Paramètres!$A$1:$I$89,3,0)*VLOOKUP('Données projet'!$B$9,Paramètres!$A$1:$I$89,5,0)</f>
        <v>184.66239999999985</v>
      </c>
      <c r="P50" s="14">
        <f t="shared" si="33"/>
        <v>46.357935400059098</v>
      </c>
      <c r="Q50" s="22">
        <f t="shared" si="53"/>
        <v>402.36041748843598</v>
      </c>
      <c r="R50" s="62">
        <f t="shared" si="0"/>
        <v>695.6937508217693</v>
      </c>
      <c r="S50" s="62">
        <f ca="1">AVERAGE(OFFSET($R$3,0,0,'Données projet'!$E$9+1,1))-AVERAGE(OFFSET($H$3,0,0,'Données projet'!$E$9+1,1))</f>
        <v>308.43688246071395</v>
      </c>
      <c r="T50" s="62">
        <f t="shared" si="34"/>
        <v>302.54354650449721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38.591327199278645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7.2293756441189094</v>
      </c>
      <c r="AC50" s="24">
        <f t="shared" si="3"/>
        <v>45.820702843397555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19.399999999999999</v>
      </c>
      <c r="N51" s="14">
        <f>IF('Données projet'!$A$36&gt;35,N50+M51-V50,IF(A51&lt;'Données projet'!$A$36,$K$205^A51,IF(A51='Données projet'!$A$36,'Données projet'!$B$36,N50+M51-V50)))</f>
        <v>328.1999999999997</v>
      </c>
      <c r="O51" s="14">
        <f>N51*VLOOKUP('Données projet'!$B$9,Paramètres!$A$1:$I$89,3,0)*VLOOKUP('Données projet'!$B$9,Paramètres!$A$1:$I$89,5,0)</f>
        <v>196.26359999999983</v>
      </c>
      <c r="P51" s="14">
        <f t="shared" si="33"/>
        <v>48.922120998193776</v>
      </c>
      <c r="Q51" s="22">
        <f t="shared" si="53"/>
        <v>427.03179740518721</v>
      </c>
      <c r="R51" s="62">
        <f t="shared" si="0"/>
        <v>720.36513073852052</v>
      </c>
      <c r="S51" s="62">
        <f ca="1">AVERAGE(OFFSET($R$3,0,0,'Données projet'!$E$9+1,1))-AVERAGE(OFFSET($H$3,0,0,'Données projet'!$E$9+1,1))</f>
        <v>308.43688246071395</v>
      </c>
      <c r="T51" s="62">
        <f t="shared" si="34"/>
        <v>302.54354650449721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37.83457481128616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5.1119405417013457</v>
      </c>
      <c r="AC51" s="24">
        <f t="shared" si="3"/>
        <v>42.946515352987504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19.399999999999999</v>
      </c>
      <c r="N52" s="14">
        <f>IF('Données projet'!$A$36&gt;35,N51+M52-V51,IF(A52&lt;'Données projet'!$A$36,$K$205^A52,IF(A52='Données projet'!$A$36,'Données projet'!$B$36,N51+M52-V51)))</f>
        <v>347.59999999999968</v>
      </c>
      <c r="O52" s="14">
        <f>N52*VLOOKUP('Données projet'!$B$9,Paramètres!$A$1:$I$89,3,0)*VLOOKUP('Données projet'!$B$9,Paramètres!$A$1:$I$89,5,0)</f>
        <v>207.86479999999983</v>
      </c>
      <c r="P52" s="14">
        <f t="shared" si="33"/>
        <v>51.468713616997675</v>
      </c>
      <c r="Q52" s="22">
        <f t="shared" si="53"/>
        <v>451.6725362162706</v>
      </c>
      <c r="R52" s="62">
        <f t="shared" si="0"/>
        <v>745.00586954960386</v>
      </c>
      <c r="S52" s="62">
        <f ca="1">AVERAGE(OFFSET($R$3,0,0,'Données projet'!$E$9+1,1))-AVERAGE(OFFSET($H$3,0,0,'Données projet'!$E$9+1,1))</f>
        <v>308.43688246071395</v>
      </c>
      <c r="T52" s="62">
        <f t="shared" si="34"/>
        <v>302.54354650449721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37.09266187604883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3.6146878220594547</v>
      </c>
      <c r="AC52" s="24">
        <f t="shared" si="3"/>
        <v>40.707349698108281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367</v>
      </c>
      <c r="L53" s="13">
        <f>VLOOKUP(A53,'Données projet'!$A$35:$I$55,9,0)</f>
        <v>19.399999999999999</v>
      </c>
      <c r="M53" s="13">
        <f t="array" ref="M53">INDEX(L:L,MIN(IF(ISNUMBER(L53:L249),ROW(L53:L249),"")))</f>
        <v>19.399999999999999</v>
      </c>
      <c r="N53" s="14">
        <f>IF('Données projet'!$A$36&gt;35,N52+M53-V52,IF(A53&lt;'Données projet'!$A$36,$K$205^A53,IF(A53='Données projet'!$A$36,'Données projet'!$B$36,N52+M53-V52)))</f>
        <v>366.99999999999966</v>
      </c>
      <c r="O53" s="14">
        <f>N53*VLOOKUP('Données projet'!$B$9,Paramètres!$A$1:$I$89,3,0)*VLOOKUP('Données projet'!$B$9,Paramètres!$A$1:$I$89,5,0)</f>
        <v>219.46599999999981</v>
      </c>
      <c r="P53" s="14">
        <f t="shared" si="33"/>
        <v>53.998807048358223</v>
      </c>
      <c r="Q53" s="22">
        <f t="shared" si="53"/>
        <v>476.28453894255682</v>
      </c>
      <c r="R53" s="62">
        <f t="shared" si="0"/>
        <v>769.61787227589014</v>
      </c>
      <c r="S53" s="62">
        <f ca="1">AVERAGE(OFFSET($R$3,0,0,'Données projet'!$E$9+1,1))-AVERAGE(OFFSET($H$3,0,0,'Données projet'!$E$9+1,1))</f>
        <v>308.43688246071395</v>
      </c>
      <c r="T53" s="62">
        <f t="shared" si="34"/>
        <v>302.54354650449721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projet'!$B$9,Paramètres!$A$1:$I$89,7,0))</f>
        <v>0.315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0.3</v>
      </c>
      <c r="Z53" s="23">
        <f>EXP(-LN(2)/35)*Z52+(1-EXP(-LN(2)/35))/(LN(2)/35)*V53*W53*VLOOKUP('Données projet'!$B$9,Paramètres!$A$1:$I$89,3,0)*0.475*44/12</f>
        <v>48.109889885093168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12.102726557134329</v>
      </c>
      <c r="AC53" s="24">
        <f t="shared" si="3"/>
        <v>60.2126164422275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</v>
      </c>
      <c r="N54" s="14">
        <f>IF('Données projet'!$A$36&gt;35,N53+M54-V53,IF(A54&lt;'Données projet'!$A$36,$K$205^A54,IF(A54='Données projet'!$A$36,'Données projet'!$B$36,N53+M54-V53)))</f>
        <v>338.99999999999966</v>
      </c>
      <c r="O54" s="14">
        <f>N54*VLOOKUP('Données projet'!$B$9,Paramètres!$A$1:$I$89,3,0)*VLOOKUP('Données projet'!$B$9,Paramètres!$A$1:$I$89,5,0)</f>
        <v>202.72199999999981</v>
      </c>
      <c r="P54" s="14">
        <f t="shared" si="33"/>
        <v>50.341909475522797</v>
      </c>
      <c r="Q54" s="22">
        <f t="shared" si="53"/>
        <v>440.75297566986848</v>
      </c>
      <c r="R54" s="62">
        <f t="shared" si="0"/>
        <v>734.08630900320179</v>
      </c>
      <c r="S54" s="62">
        <f ca="1">AVERAGE(OFFSET($R$3,0,0,'Données projet'!$E$9+1,1))-AVERAGE(OFFSET($H$3,0,0,'Données projet'!$E$9+1,1))</f>
        <v>308.43688246071395</v>
      </c>
      <c r="T54" s="62">
        <f t="shared" si="34"/>
        <v>302.54354650449721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47.166484288581827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8.5579200193962013</v>
      </c>
      <c r="AC54" s="24">
        <f t="shared" si="3"/>
        <v>55.724404307978027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</v>
      </c>
      <c r="N55" s="14">
        <f>IF('Données projet'!$A$36&gt;35,N54+M55-V54,IF(A55&lt;'Données projet'!$A$36,$K$205^A55,IF(A55='Données projet'!$A$36,'Données projet'!$B$36,N54+M55-V54)))</f>
        <v>357.99999999999966</v>
      </c>
      <c r="O55" s="14">
        <f>N55*VLOOKUP('Données projet'!$B$9,Paramètres!$A$1:$I$89,3,0)*VLOOKUP('Données projet'!$B$9,Paramètres!$A$1:$I$89,5,0)</f>
        <v>214.0839999999998</v>
      </c>
      <c r="P55" s="14">
        <f t="shared" si="33"/>
        <v>52.827039557879765</v>
      </c>
      <c r="Q55" s="22">
        <f t="shared" si="53"/>
        <v>464.87006056330688</v>
      </c>
      <c r="R55" s="62">
        <f t="shared" si="0"/>
        <v>758.20339389664014</v>
      </c>
      <c r="S55" s="62">
        <f ca="1">AVERAGE(OFFSET($R$3,0,0,'Données projet'!$E$9+1,1))-AVERAGE(OFFSET($H$3,0,0,'Données projet'!$E$9+1,1))</f>
        <v>308.43688246071395</v>
      </c>
      <c r="T55" s="62">
        <f t="shared" si="34"/>
        <v>302.54354650449721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46.241578300397478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6.0513632785671643</v>
      </c>
      <c r="AC55" s="24">
        <f t="shared" si="3"/>
        <v>52.292941578964644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</v>
      </c>
      <c r="N56" s="14">
        <f>IF('Données projet'!$A$36&gt;35,N55+M56-V55,IF(A56&lt;'Données projet'!$A$36,$K$205^A56,IF(A56='Données projet'!$A$36,'Données projet'!$B$36,N55+M56-V55)))</f>
        <v>376.99999999999966</v>
      </c>
      <c r="O56" s="14">
        <f>N56*VLOOKUP('Données projet'!$B$9,Paramètres!$A$1:$I$89,3,0)*VLOOKUP('Données projet'!$B$9,Paramètres!$A$1:$I$89,5,0)</f>
        <v>225.4459999999998</v>
      </c>
      <c r="P56" s="14">
        <f t="shared" si="33"/>
        <v>55.296857101810794</v>
      </c>
      <c r="Q56" s="22">
        <f t="shared" si="53"/>
        <v>488.96047611898672</v>
      </c>
      <c r="R56" s="62">
        <f t="shared" si="0"/>
        <v>782.29380945232003</v>
      </c>
      <c r="S56" s="62">
        <f ca="1">AVERAGE(OFFSET($R$3,0,0,'Données projet'!$E$9+1,1))-AVERAGE(OFFSET($H$3,0,0,'Données projet'!$E$9+1,1))</f>
        <v>308.43688246071395</v>
      </c>
      <c r="T56" s="62">
        <f t="shared" si="34"/>
        <v>302.54354650449721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45.334809154504477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4.2789600096981006</v>
      </c>
      <c r="AC56" s="24">
        <f t="shared" si="3"/>
        <v>49.61376916420258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</v>
      </c>
      <c r="N57" s="14">
        <f>IF('Données projet'!$A$36&gt;35,N56+M57-V56,IF(A57&lt;'Données projet'!$A$36,$K$205^A57,IF(A57='Données projet'!$A$36,'Données projet'!$B$36,N56+M57-V56)))</f>
        <v>395.99999999999966</v>
      </c>
      <c r="O57" s="14">
        <f>N57*VLOOKUP('Données projet'!$B$9,Paramètres!$A$1:$I$89,3,0)*VLOOKUP('Données projet'!$B$9,Paramètres!$A$1:$I$89,5,0)</f>
        <v>236.80799999999982</v>
      </c>
      <c r="P57" s="14">
        <f t="shared" si="33"/>
        <v>57.752221878398714</v>
      </c>
      <c r="Q57" s="22">
        <f t="shared" si="53"/>
        <v>513.02571977154412</v>
      </c>
      <c r="R57" s="62">
        <f t="shared" si="0"/>
        <v>806.35905310487738</v>
      </c>
      <c r="S57" s="62">
        <f ca="1">AVERAGE(OFFSET($R$3,0,0,'Données projet'!$E$9+1,1))-AVERAGE(OFFSET($H$3,0,0,'Données projet'!$E$9+1,1))</f>
        <v>308.43688246071395</v>
      </c>
      <c r="T57" s="62">
        <f t="shared" si="34"/>
        <v>302.54354650449721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44.44582119848787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3.0256816392835821</v>
      </c>
      <c r="AC57" s="24">
        <f t="shared" si="3"/>
        <v>47.471502837771453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415</v>
      </c>
      <c r="L58" s="13">
        <f>VLOOKUP(A58,'Données projet'!$A$35:$I$55,9,0)</f>
        <v>19</v>
      </c>
      <c r="M58" s="13">
        <f t="array" ref="M58">INDEX(L:L,MIN(IF(ISNUMBER(L58:L254),ROW(L58:L254),"")))</f>
        <v>19</v>
      </c>
      <c r="N58" s="14">
        <f>IF('Données projet'!$A$36&gt;35,N57+M58-V57,IF(A58&lt;'Données projet'!$A$36,$K$205^A58,IF(A58='Données projet'!$A$36,'Données projet'!$B$36,N57+M58-V57)))</f>
        <v>414.99999999999966</v>
      </c>
      <c r="O58" s="14">
        <f>N58*VLOOKUP('Données projet'!$B$9,Paramètres!$A$1:$I$89,3,0)*VLOOKUP('Données projet'!$B$9,Paramètres!$A$1:$I$89,5,0)</f>
        <v>248.16999999999982</v>
      </c>
      <c r="P58" s="14">
        <f t="shared" si="33"/>
        <v>60.193906493778805</v>
      </c>
      <c r="Q58" s="22">
        <f t="shared" si="53"/>
        <v>537.06713714333102</v>
      </c>
      <c r="R58" s="62">
        <f t="shared" si="0"/>
        <v>830.4004704766644</v>
      </c>
      <c r="S58" s="62">
        <f ca="1">AVERAGE(OFFSET($R$3,0,0,'Données projet'!$E$9+1,1))-AVERAGE(OFFSET($H$3,0,0,'Données projet'!$E$9+1,1))</f>
        <v>308.43688246071395</v>
      </c>
      <c r="T58" s="62">
        <f t="shared" si="34"/>
        <v>302.54354650449721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projet'!$B$9,Paramètres!$A$1:$I$89,7,0))</f>
        <v>0.36000000000000004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0.2</v>
      </c>
      <c r="Z58" s="23">
        <f>EXP(-LN(2)/35)*Z57+(1-EXP(-LN(2)/35))/(LN(2)/35)*V58*W58*VLOOKUP('Données projet'!$B$9,Paramètres!$A$1:$I$89,3,0)*0.475*44/12</f>
        <v>57.282239960476801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8.6393991784889863</v>
      </c>
      <c r="AC58" s="24">
        <f t="shared" si="3"/>
        <v>65.921639138965787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20.2</v>
      </c>
      <c r="N59" s="14">
        <f>IF('Données projet'!$A$36&gt;35,N58+M59-V58,IF(A59&lt;'Données projet'!$A$36,$K$205^A59,IF(A59='Données projet'!$A$36,'Données projet'!$B$36,N58+M59-V58)))</f>
        <v>387.19999999999965</v>
      </c>
      <c r="O59" s="14">
        <f>N59*VLOOKUP('Données projet'!$B$9,Paramètres!$A$1:$I$89,3,0)*VLOOKUP('Données projet'!$B$9,Paramètres!$A$1:$I$89,5,0)</f>
        <v>231.54559999999981</v>
      </c>
      <c r="P59" s="14">
        <f t="shared" si="33"/>
        <v>56.616746008031377</v>
      </c>
      <c r="Q59" s="22">
        <f t="shared" si="53"/>
        <v>501.88275263065435</v>
      </c>
      <c r="R59" s="62">
        <f t="shared" si="0"/>
        <v>795.21608596398767</v>
      </c>
      <c r="S59" s="62">
        <f ca="1">AVERAGE(OFFSET($R$3,0,0,'Données projet'!$E$9+1,1))-AVERAGE(OFFSET($H$3,0,0,'Données projet'!$E$9+1,1))</f>
        <v>308.43688246071395</v>
      </c>
      <c r="T59" s="62">
        <f t="shared" si="34"/>
        <v>302.54354650449721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56.158970173568314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6.1089777444870501</v>
      </c>
      <c r="AC59" s="24">
        <f t="shared" si="3"/>
        <v>62.267947918055363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20.2</v>
      </c>
      <c r="N60" s="14">
        <f>IF('Données projet'!$A$36&gt;35,N59+M60-V59,IF(A60&lt;'Données projet'!$A$36,$K$205^A60,IF(A60='Données projet'!$A$36,'Données projet'!$B$36,N59+M60-V59)))</f>
        <v>407.39999999999964</v>
      </c>
      <c r="O60" s="14">
        <f>N60*VLOOKUP('Données projet'!$B$9,Paramètres!$A$1:$I$89,3,0)*VLOOKUP('Données projet'!$B$9,Paramètres!$A$1:$I$89,5,0)</f>
        <v>243.62519999999981</v>
      </c>
      <c r="P60" s="14">
        <f t="shared" si="33"/>
        <v>59.21882805726861</v>
      </c>
      <c r="Q60" s="22">
        <f t="shared" si="53"/>
        <v>527.45334886640921</v>
      </c>
      <c r="R60" s="62">
        <f t="shared" si="0"/>
        <v>820.78668219974247</v>
      </c>
      <c r="S60" s="62">
        <f ca="1">AVERAGE(OFFSET($R$3,0,0,'Données projet'!$E$9+1,1))-AVERAGE(OFFSET($H$3,0,0,'Données projet'!$E$9+1,1))</f>
        <v>308.43688246071395</v>
      </c>
      <c r="T60" s="62">
        <f t="shared" si="34"/>
        <v>302.54354650449721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55.057727022054181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4.3196995892444932</v>
      </c>
      <c r="AC60" s="24">
        <f t="shared" si="3"/>
        <v>59.377426611298674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20.2</v>
      </c>
      <c r="N61" s="14">
        <f>IF('Données projet'!$A$36&gt;35,N60+M61-V60,IF(A61&lt;'Données projet'!$A$36,$K$205^A61,IF(A61='Données projet'!$A$36,'Données projet'!$B$36,N60+M61-V60)))</f>
        <v>427.59999999999962</v>
      </c>
      <c r="O61" s="14">
        <f>N61*VLOOKUP('Données projet'!$B$9,Paramètres!$A$1:$I$89,3,0)*VLOOKUP('Données projet'!$B$9,Paramètres!$A$1:$I$89,5,0)</f>
        <v>255.70479999999978</v>
      </c>
      <c r="P61" s="14">
        <f t="shared" si="33"/>
        <v>61.805929148749584</v>
      </c>
      <c r="Q61" s="22">
        <f t="shared" si="53"/>
        <v>552.99785326740505</v>
      </c>
      <c r="R61" s="62">
        <f t="shared" si="0"/>
        <v>846.33118660073842</v>
      </c>
      <c r="S61" s="62">
        <f ca="1">AVERAGE(OFFSET($R$3,0,0,'Données projet'!$E$9+1,1))-AVERAGE(OFFSET($H$3,0,0,'Données projet'!$E$9+1,1))</f>
        <v>308.43688246071395</v>
      </c>
      <c r="T61" s="62">
        <f t="shared" si="34"/>
        <v>302.54354650449721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53.978078577049246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3.0544888722435251</v>
      </c>
      <c r="AC61" s="24">
        <f t="shared" si="3"/>
        <v>57.03256744929277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20.2</v>
      </c>
      <c r="N62" s="14">
        <f>IF('Données projet'!$A$36&gt;35,N61+M62-V61,IF(A62&lt;'Données projet'!$A$36,$K$205^A62,IF(A62='Données projet'!$A$36,'Données projet'!$B$36,N61+M62-V61)))</f>
        <v>447.79999999999961</v>
      </c>
      <c r="O62" s="14">
        <f>N62*VLOOKUP('Données projet'!$B$9,Paramètres!$A$1:$I$89,3,0)*VLOOKUP('Données projet'!$B$9,Paramètres!$A$1:$I$89,5,0)</f>
        <v>267.78439999999978</v>
      </c>
      <c r="P62" s="14">
        <f t="shared" si="33"/>
        <v>64.378837797711483</v>
      </c>
      <c r="Q62" s="22">
        <f t="shared" si="53"/>
        <v>578.51763916434709</v>
      </c>
      <c r="R62" s="62">
        <f t="shared" si="0"/>
        <v>871.85097249768046</v>
      </c>
      <c r="S62" s="62">
        <f ca="1">AVERAGE(OFFSET($R$3,0,0,'Données projet'!$E$9+1,1))-AVERAGE(OFFSET($H$3,0,0,'Données projet'!$E$9+1,1))</f>
        <v>308.43688246071395</v>
      </c>
      <c r="T62" s="62">
        <f t="shared" si="34"/>
        <v>302.54354650449721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52.919601379530327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2.1598497946222466</v>
      </c>
      <c r="AC62" s="24">
        <f t="shared" si="3"/>
        <v>55.079451174152574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468</v>
      </c>
      <c r="L63" s="13">
        <f>VLOOKUP(A63,'Données projet'!$A$35:$I$55,9,0)</f>
        <v>20.2</v>
      </c>
      <c r="M63" s="13">
        <f t="array" ref="M63">INDEX(L:L,MIN(IF(ISNUMBER(L63:L259),ROW(L63:L259),"")))</f>
        <v>20.2</v>
      </c>
      <c r="N63" s="14">
        <f>IF('Données projet'!$A$36&gt;35,N62+M63-V62,IF(A63&lt;'Données projet'!$A$36,$K$205^A63,IF(A63='Données projet'!$A$36,'Données projet'!$B$36,N62+M63-V62)))</f>
        <v>467.9999999999996</v>
      </c>
      <c r="O63" s="14">
        <f>N63*VLOOKUP('Données projet'!$B$9,Paramètres!$A$1:$I$89,3,0)*VLOOKUP('Données projet'!$B$9,Paramètres!$A$1:$I$89,5,0)</f>
        <v>279.86399999999981</v>
      </c>
      <c r="P63" s="14">
        <f t="shared" si="33"/>
        <v>66.938267358965007</v>
      </c>
      <c r="Q63" s="22">
        <f t="shared" si="53"/>
        <v>604.01394898353021</v>
      </c>
      <c r="R63" s="62">
        <f t="shared" si="0"/>
        <v>897.34728231686358</v>
      </c>
      <c r="S63" s="62">
        <f ca="1">AVERAGE(OFFSET($R$3,0,0,'Données projet'!$E$9+1,1))-AVERAGE(OFFSET($H$3,0,0,'Données projet'!$E$9+1,1))</f>
        <v>308.43688246071395</v>
      </c>
      <c r="T63" s="62">
        <f t="shared" si="34"/>
        <v>302.54354650449721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32</v>
      </c>
      <c r="W63" s="17">
        <f>IF(ISNA(VLOOKUP(A63,'Données projet'!$A$35:$I$55,5,0)),0%,VLOOKUP(A63,'Données projet'!$A$35:$I$55,5,0)*VLOOKUP('Données projet'!$B$9,Paramètres!$A$1:$I$89,7,0))</f>
        <v>0.36000000000000004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0.2</v>
      </c>
      <c r="Z63" s="23">
        <f>EXP(-LN(2)/35)*Z62+(1-EXP(-LN(2)/35))/(LN(2)/35)*V63*W63*VLOOKUP('Données projet'!$B$9,Paramètres!$A$1:$I$89,3,0)*0.475*44/12</f>
        <v>61.020529745192192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5.860523885215053</v>
      </c>
      <c r="AC63" s="24">
        <f t="shared" si="3"/>
        <v>66.881053630407251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18.2</v>
      </c>
      <c r="N64" s="14">
        <f>IF('Données projet'!$A$36&gt;35,N63+M64-V63,IF(A64&lt;'Données projet'!$A$36,$K$205^A64,IF(A64='Données projet'!$A$36,'Données projet'!$B$36,N63+M64-V63)))</f>
        <v>454.19999999999959</v>
      </c>
      <c r="O64" s="14">
        <f>N64*VLOOKUP('Données projet'!$B$9,Paramètres!$A$1:$I$89,3,0)*VLOOKUP('Données projet'!$B$9,Paramètres!$A$1:$I$89,5,0)</f>
        <v>271.61159999999978</v>
      </c>
      <c r="P64" s="14">
        <f t="shared" si="33"/>
        <v>65.19117293011513</v>
      </c>
      <c r="Q64" s="22">
        <f t="shared" si="53"/>
        <v>586.59816285328338</v>
      </c>
      <c r="R64" s="62">
        <f t="shared" si="0"/>
        <v>879.93149618661664</v>
      </c>
      <c r="S64" s="62">
        <f ca="1">AVERAGE(OFFSET($R$3,0,0,'Données projet'!$E$9+1,1))-AVERAGE(OFFSET($H$3,0,0,'Données projet'!$E$9+1,1))</f>
        <v>308.43688246071395</v>
      </c>
      <c r="T64" s="62">
        <f t="shared" si="34"/>
        <v>302.54354650449721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59.82395437573706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4.1440161805412963</v>
      </c>
      <c r="AC64" s="24">
        <f t="shared" si="3"/>
        <v>63.96797055627836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18.2</v>
      </c>
      <c r="N65" s="14">
        <f>IF('Données projet'!$A$36&gt;35,N64+M65-V64,IF(A65&lt;'Données projet'!$A$36,$K$205^A65,IF(A65='Données projet'!$A$36,'Données projet'!$B$36,N64+M65-V64)))</f>
        <v>472.39999999999958</v>
      </c>
      <c r="O65" s="14">
        <f>N65*VLOOKUP('Données projet'!$B$9,Paramètres!$A$1:$I$89,3,0)*VLOOKUP('Données projet'!$B$9,Paramètres!$A$1:$I$89,5,0)</f>
        <v>282.49519999999973</v>
      </c>
      <c r="P65" s="14">
        <f t="shared" si="33"/>
        <v>67.494043786841431</v>
      </c>
      <c r="Q65" s="22">
        <f t="shared" si="53"/>
        <v>609.56459959541496</v>
      </c>
      <c r="R65" s="62">
        <f t="shared" si="0"/>
        <v>902.89793292874833</v>
      </c>
      <c r="S65" s="62">
        <f ca="1">AVERAGE(OFFSET($R$3,0,0,'Données projet'!$E$9+1,1))-AVERAGE(OFFSET($H$3,0,0,'Données projet'!$E$9+1,1))</f>
        <v>308.43688246071395</v>
      </c>
      <c r="T65" s="62">
        <f t="shared" si="34"/>
        <v>302.54354650449721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58.650843119438036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2.9302619426075269</v>
      </c>
      <c r="AC65" s="24">
        <f t="shared" si="3"/>
        <v>61.581105062045566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18.2</v>
      </c>
      <c r="N66" s="14">
        <f>IF('Données projet'!$A$36&gt;35,N65+M66-V65,IF(A66&lt;'Données projet'!$A$36,$K$205^A66,IF(A66='Données projet'!$A$36,'Données projet'!$B$36,N65+M66-V65)))</f>
        <v>490.59999999999957</v>
      </c>
      <c r="O66" s="14">
        <f>N66*VLOOKUP('Données projet'!$B$9,Paramètres!$A$1:$I$89,3,0)*VLOOKUP('Données projet'!$B$9,Paramètres!$A$1:$I$89,5,0)</f>
        <v>293.37879999999979</v>
      </c>
      <c r="P66" s="14">
        <f t="shared" si="33"/>
        <v>69.786607837118424</v>
      </c>
      <c r="Q66" s="22">
        <f t="shared" si="53"/>
        <v>632.51308531631423</v>
      </c>
      <c r="R66" s="62">
        <f t="shared" si="0"/>
        <v>925.8464186496476</v>
      </c>
      <c r="S66" s="62">
        <f ca="1">AVERAGE(OFFSET($R$3,0,0,'Données projet'!$E$9+1,1))-AVERAGE(OFFSET($H$3,0,0,'Données projet'!$E$9+1,1))</f>
        <v>308.43688246071395</v>
      </c>
      <c r="T66" s="62">
        <f t="shared" si="34"/>
        <v>302.54354650449721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57.50073585934782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2.0720080902706486</v>
      </c>
      <c r="AC66" s="24">
        <f t="shared" si="3"/>
        <v>59.57274394961847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18.2</v>
      </c>
      <c r="N67" s="14">
        <f>IF('Données projet'!$A$36&gt;35,N66+M67-V66,IF(A67&lt;'Données projet'!$A$36,$K$205^A67,IF(A67='Données projet'!$A$36,'Données projet'!$B$36,N66+M67-V66)))</f>
        <v>508.79999999999956</v>
      </c>
      <c r="O67" s="14">
        <f>N67*VLOOKUP('Données projet'!$B$9,Paramètres!$A$1:$I$89,3,0)*VLOOKUP('Données projet'!$B$9,Paramètres!$A$1:$I$89,5,0)</f>
        <v>304.26239999999973</v>
      </c>
      <c r="P67" s="14">
        <f t="shared" si="33"/>
        <v>72.069291221838697</v>
      </c>
      <c r="Q67" s="22">
        <f t="shared" ref="Q67:Q98" si="54">(O67+P67)*0.475*44/12</f>
        <v>655.44436221136857</v>
      </c>
      <c r="R67" s="62">
        <f t="shared" ref="R67:R130" si="55">Q67+(I67+J67)*44/12</f>
        <v>948.77769554470183</v>
      </c>
      <c r="S67" s="62">
        <f ca="1">AVERAGE(OFFSET($R$3,0,0,'Données projet'!$E$9+1,1))-AVERAGE(OFFSET($H$3,0,0,'Données projet'!$E$9+1,1))</f>
        <v>308.43688246071395</v>
      </c>
      <c r="T67" s="62">
        <f t="shared" si="34"/>
        <v>302.54354650449721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56.37318150113181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1.4651309713037639</v>
      </c>
      <c r="AC67" s="24">
        <f t="shared" si="3"/>
        <v>57.838312472435575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527</v>
      </c>
      <c r="L68" s="13">
        <f>VLOOKUP(A68,'Données projet'!$A$35:$I$55,9,0)</f>
        <v>18.2</v>
      </c>
      <c r="M68" s="13">
        <f t="array" ref="M68">INDEX(L:L,MIN(IF(ISNUMBER(L68:L264),ROW(L68:L264),"")))</f>
        <v>18.2</v>
      </c>
      <c r="N68" s="14">
        <f>IF('Données projet'!$A$36&gt;35,N67+M68-V67,IF(A68&lt;'Données projet'!$A$36,$K$205^A68,IF(A68='Données projet'!$A$36,'Données projet'!$B$36,N67+M68-V67)))</f>
        <v>526.99999999999955</v>
      </c>
      <c r="O68" s="14">
        <f>N68*VLOOKUP('Données projet'!$B$9,Paramètres!$A$1:$I$89,3,0)*VLOOKUP('Données projet'!$B$9,Paramètres!$A$1:$I$89,5,0)</f>
        <v>315.14599999999973</v>
      </c>
      <c r="P68" s="14">
        <f t="shared" si="33"/>
        <v>74.342487867211091</v>
      </c>
      <c r="Q68" s="22">
        <f t="shared" si="54"/>
        <v>678.35911636872549</v>
      </c>
      <c r="R68" s="62">
        <f t="shared" si="55"/>
        <v>971.69244970205887</v>
      </c>
      <c r="S68" s="62">
        <f ca="1">AVERAGE(OFFSET($R$3,0,0,'Données projet'!$E$9+1,1))-AVERAGE(OFFSET($H$3,0,0,'Données projet'!$E$9+1,1))</f>
        <v>308.43688246071395</v>
      </c>
      <c r="T68" s="62">
        <f t="shared" si="34"/>
        <v>302.54354650449721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0.36000000000000004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0.2</v>
      </c>
      <c r="Z68" s="23">
        <f>EXP(-LN(2)/35)*Z67+(1-EXP(-LN(2)/35))/(LN(2)/35)*V68*W68*VLOOKUP('Données projet'!$B$9,Paramètres!$A$1:$I$89,3,0)*0.475*44/12</f>
        <v>63.264056083216843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4.8276235630919535</v>
      </c>
      <c r="AC68" s="24">
        <f t="shared" ref="AC68:AC131" si="57">SUM(Z68:AB68)</f>
        <v>68.091679646308791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498.99999999999955</v>
      </c>
      <c r="O69" s="14">
        <f>N69*VLOOKUP('Données projet'!$B$9,Paramètres!$A$1:$I$89,3,0)*VLOOKUP('Données projet'!$B$9,Paramètres!$A$1:$I$89,5,0)</f>
        <v>298.40199999999976</v>
      </c>
      <c r="P69" s="14">
        <f t="shared" ref="P69:P132" si="87">EXP(-1.0587+0.8836*LN(O69)+0.284)</f>
        <v>70.841357234689283</v>
      </c>
      <c r="Q69" s="22">
        <f t="shared" si="54"/>
        <v>643.09884718374997</v>
      </c>
      <c r="R69" s="62">
        <f t="shared" si="55"/>
        <v>936.43218051708322</v>
      </c>
      <c r="S69" s="62">
        <f ca="1">AVERAGE(OFFSET($R$3,0,0,'Données projet'!$E$9+1,1))-AVERAGE(OFFSET($H$3,0,0,'Données projet'!$E$9+1,1))</f>
        <v>308.43688246071395</v>
      </c>
      <c r="T69" s="62">
        <f t="shared" ref="T69:T132" si="88">$T$3</f>
        <v>302.54354650449721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62.023486530688999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3.4136453584782833</v>
      </c>
      <c r="AC69" s="24">
        <f t="shared" si="57"/>
        <v>65.437131889167276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498.99999999999955</v>
      </c>
      <c r="O70" s="14">
        <f>N70*VLOOKUP('Données projet'!$B$9,Paramètres!$A$1:$I$89,3,0)*VLOOKUP('Données projet'!$B$9,Paramètres!$A$1:$I$89,5,0)</f>
        <v>298.40199999999976</v>
      </c>
      <c r="P70" s="14">
        <f t="shared" si="87"/>
        <v>70.841357234689283</v>
      </c>
      <c r="Q70" s="22">
        <f t="shared" si="54"/>
        <v>643.09884718374997</v>
      </c>
      <c r="R70" s="62">
        <f t="shared" si="55"/>
        <v>936.43218051708322</v>
      </c>
      <c r="S70" s="62">
        <f ca="1">AVERAGE(OFFSET($R$3,0,0,'Données projet'!$E$9+1,1))-AVERAGE(OFFSET($H$3,0,0,'Données projet'!$E$9+1,1))</f>
        <v>308.43688246071395</v>
      </c>
      <c r="T70" s="62">
        <f t="shared" si="88"/>
        <v>302.54354650449721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60.807243790413509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2.4138117815459772</v>
      </c>
      <c r="AC70" s="24">
        <f t="shared" si="57"/>
        <v>63.221055571959482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498.99999999999955</v>
      </c>
      <c r="O71" s="14">
        <f>N71*VLOOKUP('Données projet'!$B$9,Paramètres!$A$1:$I$89,3,0)*VLOOKUP('Données projet'!$B$9,Paramètres!$A$1:$I$89,5,0)</f>
        <v>298.40199999999976</v>
      </c>
      <c r="P71" s="14">
        <f t="shared" si="87"/>
        <v>70.841357234689283</v>
      </c>
      <c r="Q71" s="22">
        <f t="shared" si="54"/>
        <v>643.09884718374997</v>
      </c>
      <c r="R71" s="62">
        <f t="shared" si="55"/>
        <v>936.43218051708322</v>
      </c>
      <c r="S71" s="62">
        <f ca="1">AVERAGE(OFFSET($R$3,0,0,'Données projet'!$E$9+1,1))-AVERAGE(OFFSET($H$3,0,0,'Données projet'!$E$9+1,1))</f>
        <v>308.43688246071395</v>
      </c>
      <c r="T71" s="62">
        <f t="shared" si="88"/>
        <v>302.54354650449721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59.614850828439998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1.7068226792391419</v>
      </c>
      <c r="AC71" s="24">
        <f t="shared" si="57"/>
        <v>61.321673507679137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498.99999999999955</v>
      </c>
      <c r="O72" s="14">
        <f>N72*VLOOKUP('Données projet'!$B$9,Paramètres!$A$1:$I$89,3,0)*VLOOKUP('Données projet'!$B$9,Paramètres!$A$1:$I$89,5,0)</f>
        <v>298.40199999999976</v>
      </c>
      <c r="P72" s="14">
        <f t="shared" si="87"/>
        <v>70.841357234689283</v>
      </c>
      <c r="Q72" s="22">
        <f t="shared" si="54"/>
        <v>643.09884718374997</v>
      </c>
      <c r="R72" s="62">
        <f t="shared" si="55"/>
        <v>936.43218051708322</v>
      </c>
      <c r="S72" s="62">
        <f ca="1">AVERAGE(OFFSET($R$3,0,0,'Données projet'!$E$9+1,1))-AVERAGE(OFFSET($H$3,0,0,'Données projet'!$E$9+1,1))</f>
        <v>308.43688246071395</v>
      </c>
      <c r="T72" s="62">
        <f t="shared" si="88"/>
        <v>302.54354650449721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58.445839965162897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1.2069058907729888</v>
      </c>
      <c r="AC72" s="24">
        <f t="shared" si="57"/>
        <v>59.652745855935883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498.99999999999955</v>
      </c>
      <c r="O73" s="14">
        <f>N73*VLOOKUP('Données projet'!$B$9,Paramètres!$A$1:$I$89,3,0)*VLOOKUP('Données projet'!$B$9,Paramètres!$A$1:$I$89,5,0)</f>
        <v>298.40199999999976</v>
      </c>
      <c r="P73" s="14">
        <f t="shared" si="87"/>
        <v>70.841357234689283</v>
      </c>
      <c r="Q73" s="22">
        <f t="shared" si="54"/>
        <v>643.09884718374997</v>
      </c>
      <c r="R73" s="62">
        <f t="shared" si="55"/>
        <v>936.43218051708322</v>
      </c>
      <c r="S73" s="62">
        <f ca="1">AVERAGE(OFFSET($R$3,0,0,'Données projet'!$E$9+1,1))-AVERAGE(OFFSET($H$3,0,0,'Données projet'!$E$9+1,1))</f>
        <v>308.43688246071395</v>
      </c>
      <c r="T73" s="62">
        <f t="shared" si="88"/>
        <v>302.54354650449721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57.299752691888436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0.85341133961957105</v>
      </c>
      <c r="AC73" s="24">
        <f t="shared" si="57"/>
        <v>58.153164031508005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498.99999999999955</v>
      </c>
      <c r="O74" s="14">
        <f>N74*VLOOKUP('Données projet'!$B$9,Paramètres!$A$1:$I$89,3,0)*VLOOKUP('Données projet'!$B$9,Paramètres!$A$1:$I$89,5,0)</f>
        <v>298.40199999999976</v>
      </c>
      <c r="P74" s="14">
        <f t="shared" si="87"/>
        <v>70.841357234689283</v>
      </c>
      <c r="Q74" s="22">
        <f t="shared" si="54"/>
        <v>643.09884718374997</v>
      </c>
      <c r="R74" s="62">
        <f t="shared" si="55"/>
        <v>936.43218051708322</v>
      </c>
      <c r="S74" s="62">
        <f ca="1">AVERAGE(OFFSET($R$3,0,0,'Données projet'!$E$9+1,1))-AVERAGE(OFFSET($H$3,0,0,'Données projet'!$E$9+1,1))</f>
        <v>308.43688246071395</v>
      </c>
      <c r="T74" s="62">
        <f t="shared" si="88"/>
        <v>302.54354650449721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56.176139490998679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0.60345294538649441</v>
      </c>
      <c r="AC74" s="24">
        <f t="shared" si="57"/>
        <v>56.779592436385173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498.99999999999955</v>
      </c>
      <c r="O75" s="14">
        <f>N75*VLOOKUP('Données projet'!$B$9,Paramètres!$A$1:$I$89,3,0)*VLOOKUP('Données projet'!$B$9,Paramètres!$A$1:$I$89,5,0)</f>
        <v>298.40199999999976</v>
      </c>
      <c r="P75" s="14">
        <f t="shared" si="87"/>
        <v>70.841357234689283</v>
      </c>
      <c r="Q75" s="22">
        <f t="shared" si="54"/>
        <v>643.09884718374997</v>
      </c>
      <c r="R75" s="62">
        <f t="shared" si="55"/>
        <v>936.43218051708322</v>
      </c>
      <c r="S75" s="62">
        <f ca="1">AVERAGE(OFFSET($R$3,0,0,'Données projet'!$E$9+1,1))-AVERAGE(OFFSET($H$3,0,0,'Données projet'!$E$9+1,1))</f>
        <v>308.43688246071395</v>
      </c>
      <c r="T75" s="62">
        <f t="shared" si="88"/>
        <v>302.54354650449721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55.074559659641992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0.42670566980978553</v>
      </c>
      <c r="AC75" s="24">
        <f t="shared" si="57"/>
        <v>55.501265329451776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498.99999999999955</v>
      </c>
      <c r="O76" s="14">
        <f>N76*VLOOKUP('Données projet'!$B$9,Paramètres!$A$1:$I$89,3,0)*VLOOKUP('Données projet'!$B$9,Paramètres!$A$1:$I$89,5,0)</f>
        <v>298.40199999999976</v>
      </c>
      <c r="P76" s="14">
        <f t="shared" si="87"/>
        <v>70.841357234689283</v>
      </c>
      <c r="Q76" s="22">
        <f t="shared" si="54"/>
        <v>643.09884718374997</v>
      </c>
      <c r="R76" s="62">
        <f t="shared" si="55"/>
        <v>936.43218051708322</v>
      </c>
      <c r="S76" s="62">
        <f ca="1">AVERAGE(OFFSET($R$3,0,0,'Données projet'!$E$9+1,1))-AVERAGE(OFFSET($H$3,0,0,'Données projet'!$E$9+1,1))</f>
        <v>308.43688246071395</v>
      </c>
      <c r="T76" s="62">
        <f t="shared" si="88"/>
        <v>302.54354650449721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53.994581136880853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0.30172647269324721</v>
      </c>
      <c r="AC76" s="24">
        <f t="shared" si="57"/>
        <v>54.2963076095741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498.99999999999955</v>
      </c>
      <c r="O77" s="14">
        <f>N77*VLOOKUP('Données projet'!$B$9,Paramètres!$A$1:$I$89,3,0)*VLOOKUP('Données projet'!$B$9,Paramètres!$A$1:$I$89,5,0)</f>
        <v>298.40199999999976</v>
      </c>
      <c r="P77" s="14">
        <f t="shared" si="87"/>
        <v>70.841357234689283</v>
      </c>
      <c r="Q77" s="22">
        <f t="shared" si="54"/>
        <v>643.09884718374997</v>
      </c>
      <c r="R77" s="62">
        <f t="shared" si="55"/>
        <v>936.43218051708322</v>
      </c>
      <c r="S77" s="62">
        <f ca="1">AVERAGE(OFFSET($R$3,0,0,'Données projet'!$E$9+1,1))-AVERAGE(OFFSET($H$3,0,0,'Données projet'!$E$9+1,1))</f>
        <v>308.43688246071395</v>
      </c>
      <c r="T77" s="62">
        <f t="shared" si="88"/>
        <v>302.54354650449721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52.935780334229207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0.21335283490489276</v>
      </c>
      <c r="AC77" s="24">
        <f t="shared" si="57"/>
        <v>53.149133169134103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498.99999999999955</v>
      </c>
      <c r="O78" s="14">
        <f>N78*VLOOKUP('Données projet'!$B$9,Paramètres!$A$1:$I$89,3,0)*VLOOKUP('Données projet'!$B$9,Paramètres!$A$1:$I$89,5,0)</f>
        <v>298.40199999999976</v>
      </c>
      <c r="P78" s="14">
        <f t="shared" si="87"/>
        <v>70.841357234689283</v>
      </c>
      <c r="Q78" s="22">
        <f t="shared" si="54"/>
        <v>643.09884718374997</v>
      </c>
      <c r="R78" s="62">
        <f t="shared" si="55"/>
        <v>936.43218051708322</v>
      </c>
      <c r="S78" s="62">
        <f ca="1">AVERAGE(OFFSET($R$3,0,0,'Données projet'!$E$9+1,1))-AVERAGE(OFFSET($H$3,0,0,'Données projet'!$E$9+1,1))</f>
        <v>308.43688246071395</v>
      </c>
      <c r="T78" s="62">
        <f t="shared" si="88"/>
        <v>302.54354650449721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51.897741969512836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0.1508632363466236</v>
      </c>
      <c r="AC78" s="24">
        <f t="shared" si="57"/>
        <v>52.048605205859459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498.99999999999955</v>
      </c>
      <c r="O79" s="14">
        <f>N79*VLOOKUP('Données projet'!$B$9,Paramètres!$A$1:$I$89,3,0)*VLOOKUP('Données projet'!$B$9,Paramètres!$A$1:$I$89,5,0)</f>
        <v>298.40199999999976</v>
      </c>
      <c r="P79" s="14">
        <f t="shared" si="87"/>
        <v>70.841357234689283</v>
      </c>
      <c r="Q79" s="22">
        <f t="shared" si="54"/>
        <v>643.09884718374997</v>
      </c>
      <c r="R79" s="62">
        <f t="shared" si="55"/>
        <v>936.43218051708322</v>
      </c>
      <c r="S79" s="62">
        <f ca="1">AVERAGE(OFFSET($R$3,0,0,'Données projet'!$E$9+1,1))-AVERAGE(OFFSET($H$3,0,0,'Données projet'!$E$9+1,1))</f>
        <v>308.43688246071395</v>
      </c>
      <c r="T79" s="62">
        <f t="shared" si="88"/>
        <v>302.54354650449721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50.880058903987667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0.10667641745244638</v>
      </c>
      <c r="AC79" s="24">
        <f t="shared" si="57"/>
        <v>50.986735321440115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498.99999999999955</v>
      </c>
      <c r="O80" s="14">
        <f>N80*VLOOKUP('Données projet'!$B$9,Paramètres!$A$1:$I$89,3,0)*VLOOKUP('Données projet'!$B$9,Paramètres!$A$1:$I$89,5,0)</f>
        <v>298.40199999999976</v>
      </c>
      <c r="P80" s="14">
        <f t="shared" si="87"/>
        <v>70.841357234689283</v>
      </c>
      <c r="Q80" s="22">
        <f t="shared" si="54"/>
        <v>643.09884718374997</v>
      </c>
      <c r="R80" s="62">
        <f t="shared" si="55"/>
        <v>936.43218051708322</v>
      </c>
      <c r="S80" s="62">
        <f ca="1">AVERAGE(OFFSET($R$3,0,0,'Données projet'!$E$9+1,1))-AVERAGE(OFFSET($H$3,0,0,'Données projet'!$E$9+1,1))</f>
        <v>308.43688246071395</v>
      </c>
      <c r="T80" s="62">
        <f t="shared" si="88"/>
        <v>302.54354650449721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49.882331982652069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7.5431618173311801E-2</v>
      </c>
      <c r="AC80" s="24">
        <f t="shared" si="57"/>
        <v>49.95776360082538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498.99999999999955</v>
      </c>
      <c r="O81" s="14">
        <f>N81*VLOOKUP('Données projet'!$B$9,Paramètres!$A$1:$I$89,3,0)*VLOOKUP('Données projet'!$B$9,Paramètres!$A$1:$I$89,5,0)</f>
        <v>298.40199999999976</v>
      </c>
      <c r="P81" s="14">
        <f t="shared" si="87"/>
        <v>70.841357234689283</v>
      </c>
      <c r="Q81" s="22">
        <f t="shared" si="54"/>
        <v>643.09884718374997</v>
      </c>
      <c r="R81" s="62">
        <f t="shared" si="55"/>
        <v>936.43218051708322</v>
      </c>
      <c r="S81" s="62">
        <f ca="1">AVERAGE(OFFSET($R$3,0,0,'Données projet'!$E$9+1,1))-AVERAGE(OFFSET($H$3,0,0,'Données projet'!$E$9+1,1))</f>
        <v>308.43688246071395</v>
      </c>
      <c r="T81" s="62">
        <f t="shared" si="88"/>
        <v>302.54354650449721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48.904169877690528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5.3338208726223191E-2</v>
      </c>
      <c r="AC81" s="24">
        <f t="shared" si="57"/>
        <v>48.957508086416752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498.99999999999955</v>
      </c>
      <c r="O82" s="14">
        <f>N82*VLOOKUP('Données projet'!$B$9,Paramètres!$A$1:$I$89,3,0)*VLOOKUP('Données projet'!$B$9,Paramètres!$A$1:$I$89,5,0)</f>
        <v>298.40199999999976</v>
      </c>
      <c r="P82" s="14">
        <f t="shared" si="87"/>
        <v>70.841357234689283</v>
      </c>
      <c r="Q82" s="22">
        <f t="shared" si="54"/>
        <v>643.09884718374997</v>
      </c>
      <c r="R82" s="62">
        <f t="shared" si="55"/>
        <v>936.43218051708322</v>
      </c>
      <c r="S82" s="62">
        <f ca="1">AVERAGE(OFFSET($R$3,0,0,'Données projet'!$E$9+1,1))-AVERAGE(OFFSET($H$3,0,0,'Données projet'!$E$9+1,1))</f>
        <v>308.43688246071395</v>
      </c>
      <c r="T82" s="62">
        <f t="shared" si="88"/>
        <v>302.54354650449721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47.945188934987314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3.7715809086655901E-2</v>
      </c>
      <c r="AC82" s="24">
        <f t="shared" si="57"/>
        <v>47.98290474407397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498.99999999999955</v>
      </c>
      <c r="O83" s="14">
        <f>N83*VLOOKUP('Données projet'!$B$9,Paramètres!$A$1:$I$89,3,0)*VLOOKUP('Données projet'!$B$9,Paramètres!$A$1:$I$89,5,0)</f>
        <v>298.40199999999976</v>
      </c>
      <c r="P83" s="14">
        <f t="shared" si="87"/>
        <v>70.841357234689283</v>
      </c>
      <c r="Q83" s="22">
        <f t="shared" si="54"/>
        <v>643.09884718374997</v>
      </c>
      <c r="R83" s="62">
        <f t="shared" si="55"/>
        <v>936.43218051708322</v>
      </c>
      <c r="S83" s="62">
        <f ca="1">AVERAGE(OFFSET($R$3,0,0,'Données projet'!$E$9+1,1))-AVERAGE(OFFSET($H$3,0,0,'Données projet'!$E$9+1,1))</f>
        <v>308.43688246071395</v>
      </c>
      <c r="T83" s="62">
        <f t="shared" si="88"/>
        <v>302.54354650449721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47.005013023649887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2.6669104363111595E-2</v>
      </c>
      <c r="AC83" s="24">
        <f t="shared" si="57"/>
        <v>47.031682128012996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498.99999999999955</v>
      </c>
      <c r="O84" s="14">
        <f>N84*VLOOKUP('Données projet'!$B$9,Paramètres!$A$1:$I$89,3,0)*VLOOKUP('Données projet'!$B$9,Paramètres!$A$1:$I$89,5,0)</f>
        <v>298.40199999999976</v>
      </c>
      <c r="P84" s="14">
        <f t="shared" si="87"/>
        <v>70.841357234689283</v>
      </c>
      <c r="Q84" s="22">
        <f t="shared" si="54"/>
        <v>643.09884718374997</v>
      </c>
      <c r="R84" s="62">
        <f t="shared" si="55"/>
        <v>936.43218051708322</v>
      </c>
      <c r="S84" s="62">
        <f ca="1">AVERAGE(OFFSET($R$3,0,0,'Données projet'!$E$9+1,1))-AVERAGE(OFFSET($H$3,0,0,'Données projet'!$E$9+1,1))</f>
        <v>308.43688246071395</v>
      </c>
      <c r="T84" s="62">
        <f t="shared" si="88"/>
        <v>302.54354650449721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46.083273388483107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1.885790454332795E-2</v>
      </c>
      <c r="AC84" s="24">
        <f t="shared" si="57"/>
        <v>46.102131293026439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498.99999999999955</v>
      </c>
      <c r="O85" s="14">
        <f>N85*VLOOKUP('Données projet'!$B$9,Paramètres!$A$1:$I$89,3,0)*VLOOKUP('Données projet'!$B$9,Paramètres!$A$1:$I$89,5,0)</f>
        <v>298.40199999999976</v>
      </c>
      <c r="P85" s="14">
        <f t="shared" si="87"/>
        <v>70.841357234689283</v>
      </c>
      <c r="Q85" s="22">
        <f t="shared" si="54"/>
        <v>643.09884718374997</v>
      </c>
      <c r="R85" s="62">
        <f t="shared" si="55"/>
        <v>936.43218051708322</v>
      </c>
      <c r="S85" s="62">
        <f ca="1">AVERAGE(OFFSET($R$3,0,0,'Données projet'!$E$9+1,1))-AVERAGE(OFFSET($H$3,0,0,'Données projet'!$E$9+1,1))</f>
        <v>308.43688246071395</v>
      </c>
      <c r="T85" s="62">
        <f t="shared" si="88"/>
        <v>302.54354650449721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45.179608505356285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1.3334552181555798E-2</v>
      </c>
      <c r="AC85" s="24">
        <f t="shared" si="57"/>
        <v>45.192943057537839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498.99999999999955</v>
      </c>
      <c r="O86" s="14">
        <f>N86*VLOOKUP('Données projet'!$B$9,Paramètres!$A$1:$I$89,3,0)*VLOOKUP('Données projet'!$B$9,Paramètres!$A$1:$I$89,5,0)</f>
        <v>298.40199999999976</v>
      </c>
      <c r="P86" s="14">
        <f t="shared" si="87"/>
        <v>70.841357234689283</v>
      </c>
      <c r="Q86" s="22">
        <f t="shared" si="54"/>
        <v>643.09884718374997</v>
      </c>
      <c r="R86" s="62">
        <f t="shared" si="55"/>
        <v>936.43218051708322</v>
      </c>
      <c r="S86" s="62">
        <f ca="1">AVERAGE(OFFSET($R$3,0,0,'Données projet'!$E$9+1,1))-AVERAGE(OFFSET($H$3,0,0,'Données projet'!$E$9+1,1))</f>
        <v>308.43688246071395</v>
      </c>
      <c r="T86" s="62">
        <f t="shared" si="88"/>
        <v>302.54354650449721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44.293663939406422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9.4289522716639752E-3</v>
      </c>
      <c r="AC86" s="24">
        <f t="shared" si="57"/>
        <v>44.303092891678084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498.99999999999955</v>
      </c>
      <c r="O87" s="14">
        <f>N87*VLOOKUP('Données projet'!$B$9,Paramètres!$A$1:$I$89,3,0)*VLOOKUP('Données projet'!$B$9,Paramètres!$A$1:$I$89,5,0)</f>
        <v>298.40199999999976</v>
      </c>
      <c r="P87" s="14">
        <f t="shared" si="87"/>
        <v>70.841357234689283</v>
      </c>
      <c r="Q87" s="22">
        <f t="shared" si="54"/>
        <v>643.09884718374997</v>
      </c>
      <c r="R87" s="62">
        <f t="shared" si="55"/>
        <v>936.43218051708322</v>
      </c>
      <c r="S87" s="62">
        <f ca="1">AVERAGE(OFFSET($R$3,0,0,'Données projet'!$E$9+1,1))-AVERAGE(OFFSET($H$3,0,0,'Données projet'!$E$9+1,1))</f>
        <v>308.43688246071395</v>
      </c>
      <c r="T87" s="62">
        <f t="shared" si="88"/>
        <v>302.54354650449721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43.425092206022008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6.6672760907778988E-3</v>
      </c>
      <c r="AC87" s="24">
        <f t="shared" si="57"/>
        <v>43.431759482112788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498.99999999999955</v>
      </c>
      <c r="O88" s="14">
        <f>N88*VLOOKUP('Données projet'!$B$9,Paramètres!$A$1:$I$89,3,0)*VLOOKUP('Données projet'!$B$9,Paramètres!$A$1:$I$89,5,0)</f>
        <v>298.40199999999976</v>
      </c>
      <c r="P88" s="14">
        <f t="shared" si="87"/>
        <v>70.841357234689283</v>
      </c>
      <c r="Q88" s="22">
        <f t="shared" si="54"/>
        <v>643.09884718374997</v>
      </c>
      <c r="R88" s="62">
        <f t="shared" si="55"/>
        <v>936.43218051708322</v>
      </c>
      <c r="S88" s="62">
        <f ca="1">AVERAGE(OFFSET($R$3,0,0,'Données projet'!$E$9+1,1))-AVERAGE(OFFSET($H$3,0,0,'Données projet'!$E$9+1,1))</f>
        <v>308.43688246071395</v>
      </c>
      <c r="T88" s="62">
        <f t="shared" si="88"/>
        <v>302.54354650449721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42.573552634552819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4.7144761358319876E-3</v>
      </c>
      <c r="AC88" s="24">
        <f t="shared" si="57"/>
        <v>42.57826711068865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498.99999999999955</v>
      </c>
      <c r="O89" s="14">
        <f>N89*VLOOKUP('Données projet'!$B$9,Paramètres!$A$1:$I$89,3,0)*VLOOKUP('Données projet'!$B$9,Paramètres!$A$1:$I$89,5,0)</f>
        <v>298.40199999999976</v>
      </c>
      <c r="P89" s="14">
        <f t="shared" si="87"/>
        <v>70.841357234689283</v>
      </c>
      <c r="Q89" s="22">
        <f t="shared" si="54"/>
        <v>643.09884718374997</v>
      </c>
      <c r="R89" s="62">
        <f t="shared" si="55"/>
        <v>936.43218051708322</v>
      </c>
      <c r="S89" s="62">
        <f ca="1">AVERAGE(OFFSET($R$3,0,0,'Données projet'!$E$9+1,1))-AVERAGE(OFFSET($H$3,0,0,'Données projet'!$E$9+1,1))</f>
        <v>308.43688246071395</v>
      </c>
      <c r="T89" s="62">
        <f t="shared" si="88"/>
        <v>302.54354650449721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41.738711234692289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3.3336380453889494E-3</v>
      </c>
      <c r="AC89" s="24">
        <f t="shared" si="57"/>
        <v>41.742044872737679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498.99999999999955</v>
      </c>
      <c r="O90" s="14">
        <f>N90*VLOOKUP('Données projet'!$B$9,Paramètres!$A$1:$I$89,3,0)*VLOOKUP('Données projet'!$B$9,Paramètres!$A$1:$I$89,5,0)</f>
        <v>298.40199999999976</v>
      </c>
      <c r="P90" s="14">
        <f t="shared" si="87"/>
        <v>70.841357234689283</v>
      </c>
      <c r="Q90" s="22">
        <f t="shared" si="54"/>
        <v>643.09884718374997</v>
      </c>
      <c r="R90" s="62">
        <f t="shared" si="55"/>
        <v>936.43218051708322</v>
      </c>
      <c r="S90" s="62">
        <f ca="1">AVERAGE(OFFSET($R$3,0,0,'Données projet'!$E$9+1,1))-AVERAGE(OFFSET($H$3,0,0,'Données projet'!$E$9+1,1))</f>
        <v>308.43688246071395</v>
      </c>
      <c r="T90" s="62">
        <f t="shared" si="88"/>
        <v>302.54354650449721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40.92024056548005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2.3572380679159938E-3</v>
      </c>
      <c r="AC90" s="24">
        <f t="shared" si="57"/>
        <v>40.922597803547966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498.99999999999955</v>
      </c>
      <c r="O91" s="14">
        <f>N91*VLOOKUP('Données projet'!$B$9,Paramètres!$A$1:$I$89,3,0)*VLOOKUP('Données projet'!$B$9,Paramètres!$A$1:$I$89,5,0)</f>
        <v>298.40199999999976</v>
      </c>
      <c r="P91" s="14">
        <f t="shared" si="87"/>
        <v>70.841357234689283</v>
      </c>
      <c r="Q91" s="22">
        <f t="shared" si="54"/>
        <v>643.09884718374997</v>
      </c>
      <c r="R91" s="62">
        <f t="shared" si="55"/>
        <v>936.43218051708322</v>
      </c>
      <c r="S91" s="62">
        <f ca="1">AVERAGE(OFFSET($R$3,0,0,'Données projet'!$E$9+1,1))-AVERAGE(OFFSET($H$3,0,0,'Données projet'!$E$9+1,1))</f>
        <v>308.43688246071395</v>
      </c>
      <c r="T91" s="62">
        <f t="shared" si="88"/>
        <v>302.54354650449721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40.117819606873248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1.6668190226944747E-3</v>
      </c>
      <c r="AC91" s="24">
        <f t="shared" si="57"/>
        <v>40.119486425895943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498.99999999999955</v>
      </c>
      <c r="O92" s="14">
        <f>N92*VLOOKUP('Données projet'!$B$9,Paramètres!$A$1:$I$89,3,0)*VLOOKUP('Données projet'!$B$9,Paramètres!$A$1:$I$89,5,0)</f>
        <v>298.40199999999976</v>
      </c>
      <c r="P92" s="14">
        <f t="shared" si="87"/>
        <v>70.841357234689283</v>
      </c>
      <c r="Q92" s="22">
        <f t="shared" si="54"/>
        <v>643.09884718374997</v>
      </c>
      <c r="R92" s="62">
        <f t="shared" si="55"/>
        <v>936.43218051708322</v>
      </c>
      <c r="S92" s="62">
        <f ca="1">AVERAGE(OFFSET($R$3,0,0,'Données projet'!$E$9+1,1))-AVERAGE(OFFSET($H$3,0,0,'Données projet'!$E$9+1,1))</f>
        <v>308.43688246071395</v>
      </c>
      <c r="T92" s="62">
        <f t="shared" si="88"/>
        <v>302.54354650449721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39.331133633836266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1.1786190339579969E-3</v>
      </c>
      <c r="AC92" s="24">
        <f t="shared" si="57"/>
        <v>39.332312252870224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498.99999999999955</v>
      </c>
      <c r="O93" s="14">
        <f>N93*VLOOKUP('Données projet'!$B$9,Paramètres!$A$1:$I$89,3,0)*VLOOKUP('Données projet'!$B$9,Paramètres!$A$1:$I$89,5,0)</f>
        <v>298.40199999999976</v>
      </c>
      <c r="P93" s="14">
        <f t="shared" si="87"/>
        <v>70.841357234689283</v>
      </c>
      <c r="Q93" s="22">
        <f t="shared" si="54"/>
        <v>643.09884718374997</v>
      </c>
      <c r="R93" s="62">
        <f t="shared" si="55"/>
        <v>936.43218051708322</v>
      </c>
      <c r="S93" s="62">
        <f ca="1">AVERAGE(OFFSET($R$3,0,0,'Données projet'!$E$9+1,1))-AVERAGE(OFFSET($H$3,0,0,'Données projet'!$E$9+1,1))</f>
        <v>308.43688246071395</v>
      </c>
      <c r="T93" s="62">
        <f t="shared" si="88"/>
        <v>302.54354650449721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38.559874092899477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8.3340951134723736E-4</v>
      </c>
      <c r="AC93" s="24">
        <f t="shared" si="57"/>
        <v>38.560707502410821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498.99999999999955</v>
      </c>
      <c r="O94" s="14">
        <f>N94*VLOOKUP('Données projet'!$B$9,Paramètres!$A$1:$I$89,3,0)*VLOOKUP('Données projet'!$B$9,Paramètres!$A$1:$I$89,5,0)</f>
        <v>298.40199999999976</v>
      </c>
      <c r="P94" s="14">
        <f t="shared" si="87"/>
        <v>70.841357234689283</v>
      </c>
      <c r="Q94" s="22">
        <f t="shared" si="54"/>
        <v>643.09884718374997</v>
      </c>
      <c r="R94" s="62">
        <f t="shared" si="55"/>
        <v>936.43218051708322</v>
      </c>
      <c r="S94" s="62">
        <f ca="1">AVERAGE(OFFSET($R$3,0,0,'Données projet'!$E$9+1,1))-AVERAGE(OFFSET($H$3,0,0,'Données projet'!$E$9+1,1))</f>
        <v>308.43688246071395</v>
      </c>
      <c r="T94" s="62">
        <f t="shared" si="88"/>
        <v>302.54354650449721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37.803738481138588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5.8930951697899845E-4</v>
      </c>
      <c r="AC94" s="24">
        <f t="shared" si="57"/>
        <v>37.80432779065557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498.99999999999955</v>
      </c>
      <c r="O95" s="14">
        <f>N95*VLOOKUP('Données projet'!$B$9,Paramètres!$A$1:$I$89,3,0)*VLOOKUP('Données projet'!$B$9,Paramètres!$A$1:$I$89,5,0)</f>
        <v>298.40199999999976</v>
      </c>
      <c r="P95" s="14">
        <f t="shared" si="87"/>
        <v>70.841357234689283</v>
      </c>
      <c r="Q95" s="22">
        <f t="shared" si="54"/>
        <v>643.09884718374997</v>
      </c>
      <c r="R95" s="62">
        <f t="shared" si="55"/>
        <v>936.43218051708322</v>
      </c>
      <c r="S95" s="62">
        <f ca="1">AVERAGE(OFFSET($R$3,0,0,'Données projet'!$E$9+1,1))-AVERAGE(OFFSET($H$3,0,0,'Données projet'!$E$9+1,1))</f>
        <v>308.43688246071395</v>
      </c>
      <c r="T95" s="62">
        <f t="shared" si="88"/>
        <v>302.54354650449721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37.062430227527145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4.1670475567361868E-4</v>
      </c>
      <c r="AC95" s="24">
        <f t="shared" si="57"/>
        <v>37.062846932282817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498.99999999999955</v>
      </c>
      <c r="O96" s="14">
        <f>N96*VLOOKUP('Données projet'!$B$9,Paramètres!$A$1:$I$89,3,0)*VLOOKUP('Données projet'!$B$9,Paramètres!$A$1:$I$89,5,0)</f>
        <v>298.40199999999976</v>
      </c>
      <c r="P96" s="14">
        <f t="shared" si="87"/>
        <v>70.841357234689283</v>
      </c>
      <c r="Q96" s="22">
        <f t="shared" si="54"/>
        <v>643.09884718374997</v>
      </c>
      <c r="R96" s="62">
        <f t="shared" si="55"/>
        <v>936.43218051708322</v>
      </c>
      <c r="S96" s="62">
        <f ca="1">AVERAGE(OFFSET($R$3,0,0,'Données projet'!$E$9+1,1))-AVERAGE(OFFSET($H$3,0,0,'Données projet'!$E$9+1,1))</f>
        <v>308.43688246071395</v>
      </c>
      <c r="T96" s="62">
        <f t="shared" si="88"/>
        <v>302.54354650449721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36.335658576615636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2.9465475848949922E-4</v>
      </c>
      <c r="AC96" s="24">
        <f t="shared" si="57"/>
        <v>36.335953231374127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498.99999999999955</v>
      </c>
      <c r="O97" s="14">
        <f>N97*VLOOKUP('Données projet'!$B$9,Paramètres!$A$1:$I$89,3,0)*VLOOKUP('Données projet'!$B$9,Paramètres!$A$1:$I$89,5,0)</f>
        <v>298.40199999999976</v>
      </c>
      <c r="P97" s="14">
        <f t="shared" si="87"/>
        <v>70.841357234689283</v>
      </c>
      <c r="Q97" s="22">
        <f t="shared" si="54"/>
        <v>643.09884718374997</v>
      </c>
      <c r="R97" s="62">
        <f t="shared" si="55"/>
        <v>936.43218051708322</v>
      </c>
      <c r="S97" s="62">
        <f ca="1">AVERAGE(OFFSET($R$3,0,0,'Données projet'!$E$9+1,1))-AVERAGE(OFFSET($H$3,0,0,'Données projet'!$E$9+1,1))</f>
        <v>308.43688246071395</v>
      </c>
      <c r="T97" s="62">
        <f t="shared" si="88"/>
        <v>302.54354650449721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35.623138474491562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2.0835237783680934E-4</v>
      </c>
      <c r="AC97" s="24">
        <f t="shared" si="57"/>
        <v>35.623346826869401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498.99999999999955</v>
      </c>
      <c r="O98" s="14">
        <f>N98*VLOOKUP('Données projet'!$B$9,Paramètres!$A$1:$I$89,3,0)*VLOOKUP('Données projet'!$B$9,Paramètres!$A$1:$I$89,5,0)</f>
        <v>298.40199999999976</v>
      </c>
      <c r="P98" s="14">
        <f t="shared" si="87"/>
        <v>70.841357234689283</v>
      </c>
      <c r="Q98" s="22">
        <f t="shared" si="54"/>
        <v>643.09884718374997</v>
      </c>
      <c r="R98" s="62">
        <f t="shared" si="55"/>
        <v>936.43218051708322</v>
      </c>
      <c r="S98" s="62">
        <f ca="1">AVERAGE(OFFSET($R$3,0,0,'Données projet'!$E$9+1,1))-AVERAGE(OFFSET($H$3,0,0,'Données projet'!$E$9+1,1))</f>
        <v>308.43688246071395</v>
      </c>
      <c r="T98" s="62">
        <f t="shared" si="88"/>
        <v>302.54354650449721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34.924590456975793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1.4732737924474961E-4</v>
      </c>
      <c r="AC98" s="24">
        <f t="shared" si="57"/>
        <v>34.924737784355038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498.99999999999955</v>
      </c>
      <c r="O99" s="14">
        <f>N99*VLOOKUP('Données projet'!$B$9,Paramètres!$A$1:$I$89,3,0)*VLOOKUP('Données projet'!$B$9,Paramètres!$A$1:$I$89,5,0)</f>
        <v>298.40199999999976</v>
      </c>
      <c r="P99" s="14">
        <f t="shared" si="87"/>
        <v>70.841357234689283</v>
      </c>
      <c r="Q99" s="22">
        <f t="shared" ref="Q99:Q130" si="107">(O99+P99)*0.475*44/12</f>
        <v>643.09884718374997</v>
      </c>
      <c r="R99" s="62">
        <f t="shared" si="55"/>
        <v>936.43218051708322</v>
      </c>
      <c r="S99" s="62">
        <f ca="1">AVERAGE(OFFSET($R$3,0,0,'Données projet'!$E$9+1,1))-AVERAGE(OFFSET($H$3,0,0,'Données projet'!$E$9+1,1))</f>
        <v>308.43688246071395</v>
      </c>
      <c r="T99" s="62">
        <f t="shared" si="88"/>
        <v>302.54354650449721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34.23974054001129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1.0417618891840467E-4</v>
      </c>
      <c r="AC99" s="24">
        <f t="shared" si="57"/>
        <v>34.23984471620021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498.99999999999955</v>
      </c>
      <c r="O100" s="14">
        <f>N100*VLOOKUP('Données projet'!$B$9,Paramètres!$A$1:$I$89,3,0)*VLOOKUP('Données projet'!$B$9,Paramètres!$A$1:$I$89,5,0)</f>
        <v>298.40199999999976</v>
      </c>
      <c r="P100" s="14">
        <f t="shared" si="87"/>
        <v>70.841357234689283</v>
      </c>
      <c r="Q100" s="22">
        <f t="shared" si="107"/>
        <v>643.09884718374997</v>
      </c>
      <c r="R100" s="62">
        <f t="shared" si="55"/>
        <v>936.43218051708322</v>
      </c>
      <c r="S100" s="62">
        <f ca="1">AVERAGE(OFFSET($R$3,0,0,'Données projet'!$E$9+1,1))-AVERAGE(OFFSET($H$3,0,0,'Données projet'!$E$9+1,1))</f>
        <v>308.43688246071395</v>
      </c>
      <c r="T100" s="62">
        <f t="shared" si="88"/>
        <v>302.54354650449721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33.568320112201256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7.3663689622374806E-5</v>
      </c>
      <c r="AC100" s="24">
        <f t="shared" si="57"/>
        <v>33.568393775890875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498.99999999999955</v>
      </c>
      <c r="O101" s="14">
        <f>N101*VLOOKUP('Données projet'!$B$9,Paramètres!$A$1:$I$89,3,0)*VLOOKUP('Données projet'!$B$9,Paramètres!$A$1:$I$89,5,0)</f>
        <v>298.40199999999976</v>
      </c>
      <c r="P101" s="14">
        <f t="shared" si="87"/>
        <v>70.841357234689283</v>
      </c>
      <c r="Q101" s="22">
        <f t="shared" si="107"/>
        <v>643.09884718374997</v>
      </c>
      <c r="R101" s="62">
        <f t="shared" si="55"/>
        <v>936.43218051708322</v>
      </c>
      <c r="S101" s="62">
        <f ca="1">AVERAGE(OFFSET($R$3,0,0,'Données projet'!$E$9+1,1))-AVERAGE(OFFSET($H$3,0,0,'Données projet'!$E$9+1,1))</f>
        <v>308.43688246071395</v>
      </c>
      <c r="T101" s="62">
        <f t="shared" si="88"/>
        <v>302.54354650449721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32.910065829454552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5.2088094459202335E-5</v>
      </c>
      <c r="AC101" s="24">
        <f t="shared" si="57"/>
        <v>32.910117917549009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498.99999999999955</v>
      </c>
      <c r="O102" s="14">
        <f>N102*VLOOKUP('Données projet'!$B$9,Paramètres!$A$1:$I$89,3,0)*VLOOKUP('Données projet'!$B$9,Paramètres!$A$1:$I$89,5,0)</f>
        <v>298.40199999999976</v>
      </c>
      <c r="P102" s="14">
        <f t="shared" si="87"/>
        <v>70.841357234689283</v>
      </c>
      <c r="Q102" s="22">
        <f t="shared" si="107"/>
        <v>643.09884718374997</v>
      </c>
      <c r="R102" s="62">
        <f t="shared" si="55"/>
        <v>936.43218051708322</v>
      </c>
      <c r="S102" s="62">
        <f ca="1">AVERAGE(OFFSET($R$3,0,0,'Données projet'!$E$9+1,1))-AVERAGE(OFFSET($H$3,0,0,'Données projet'!$E$9+1,1))</f>
        <v>308.43688246071395</v>
      </c>
      <c r="T102" s="62">
        <f t="shared" si="88"/>
        <v>302.54354650449721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32.264719511697045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3.6831844811187403E-5</v>
      </c>
      <c r="AC102" s="24">
        <f t="shared" si="57"/>
        <v>32.264756343541855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498.99999999999955</v>
      </c>
      <c r="O103" s="14">
        <f>N103*VLOOKUP('Données projet'!$B$9,Paramètres!$A$1:$I$89,3,0)*VLOOKUP('Données projet'!$B$9,Paramètres!$A$1:$I$89,5,0)</f>
        <v>298.40199999999976</v>
      </c>
      <c r="P103" s="14">
        <f t="shared" si="87"/>
        <v>70.841357234689283</v>
      </c>
      <c r="Q103" s="22">
        <f t="shared" si="107"/>
        <v>643.09884718374997</v>
      </c>
      <c r="R103" s="62">
        <f t="shared" si="55"/>
        <v>936.43218051708322</v>
      </c>
      <c r="S103" s="62">
        <f ca="1">AVERAGE(OFFSET($R$3,0,0,'Données projet'!$E$9+1,1))-AVERAGE(OFFSET($H$3,0,0,'Données projet'!$E$9+1,1))</f>
        <v>308.43688246071395</v>
      </c>
      <c r="T103" s="62">
        <f t="shared" si="88"/>
        <v>302.54354650449721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31.632028041608375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2.6044047229601167E-5</v>
      </c>
      <c r="AC103" s="24">
        <f t="shared" si="57"/>
        <v>31.632054085655604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498.99999999999955</v>
      </c>
      <c r="O104" s="14">
        <f>N104*VLOOKUP('Données projet'!$B$9,Paramètres!$A$1:$I$89,3,0)*VLOOKUP('Données projet'!$B$9,Paramètres!$A$1:$I$89,5,0)</f>
        <v>298.40199999999976</v>
      </c>
      <c r="P104" s="14">
        <f t="shared" si="87"/>
        <v>70.841357234689283</v>
      </c>
      <c r="Q104" s="22">
        <f t="shared" si="107"/>
        <v>643.09884718374997</v>
      </c>
      <c r="R104" s="62">
        <f t="shared" si="55"/>
        <v>936.43218051708322</v>
      </c>
      <c r="S104" s="62">
        <f ca="1">AVERAGE(OFFSET($R$3,0,0,'Données projet'!$E$9+1,1))-AVERAGE(OFFSET($H$3,0,0,'Données projet'!$E$9+1,1))</f>
        <v>308.43688246071395</v>
      </c>
      <c r="T104" s="62">
        <f t="shared" si="88"/>
        <v>302.54354650449721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31.011743265344453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1.8415922405593701E-5</v>
      </c>
      <c r="AC104" s="24">
        <f t="shared" si="57"/>
        <v>31.011761681266858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498.99999999999955</v>
      </c>
      <c r="O105" s="14">
        <f>N105*VLOOKUP('Données projet'!$B$9,Paramètres!$A$1:$I$89,3,0)*VLOOKUP('Données projet'!$B$9,Paramètres!$A$1:$I$89,5,0)</f>
        <v>298.40199999999976</v>
      </c>
      <c r="P105" s="14">
        <f t="shared" si="87"/>
        <v>70.841357234689283</v>
      </c>
      <c r="Q105" s="22">
        <f t="shared" si="107"/>
        <v>643.09884718374997</v>
      </c>
      <c r="R105" s="62">
        <f t="shared" si="55"/>
        <v>936.43218051708322</v>
      </c>
      <c r="S105" s="62">
        <f ca="1">AVERAGE(OFFSET($R$3,0,0,'Données projet'!$E$9+1,1))-AVERAGE(OFFSET($H$3,0,0,'Données projet'!$E$9+1,1))</f>
        <v>308.43688246071395</v>
      </c>
      <c r="T105" s="62">
        <f t="shared" si="88"/>
        <v>302.54354650449721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30.403621895206712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1.3022023614800584E-5</v>
      </c>
      <c r="AC105" s="24">
        <f t="shared" si="57"/>
        <v>30.403634917230328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498.99999999999955</v>
      </c>
      <c r="O106" s="14">
        <f>N106*VLOOKUP('Données projet'!$B$9,Paramètres!$A$1:$I$89,3,0)*VLOOKUP('Données projet'!$B$9,Paramètres!$A$1:$I$89,5,0)</f>
        <v>298.40199999999976</v>
      </c>
      <c r="P106" s="14">
        <f t="shared" si="87"/>
        <v>70.841357234689283</v>
      </c>
      <c r="Q106" s="22">
        <f t="shared" si="107"/>
        <v>643.09884718374997</v>
      </c>
      <c r="R106" s="62">
        <f t="shared" si="55"/>
        <v>936.43218051708322</v>
      </c>
      <c r="S106" s="62">
        <f ca="1">AVERAGE(OFFSET($R$3,0,0,'Données projet'!$E$9+1,1))-AVERAGE(OFFSET($H$3,0,0,'Données projet'!$E$9+1,1))</f>
        <v>308.43688246071395</v>
      </c>
      <c r="T106" s="62">
        <f t="shared" si="88"/>
        <v>302.54354650449721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29.80742541421996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9.2079612027968507E-6</v>
      </c>
      <c r="AC106" s="24">
        <f t="shared" si="57"/>
        <v>29.807434622181162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498.99999999999955</v>
      </c>
      <c r="O107" s="14">
        <f>N107*VLOOKUP('Données projet'!$B$9,Paramètres!$A$1:$I$89,3,0)*VLOOKUP('Données projet'!$B$9,Paramètres!$A$1:$I$89,5,0)</f>
        <v>298.40199999999976</v>
      </c>
      <c r="P107" s="14">
        <f t="shared" si="87"/>
        <v>70.841357234689283</v>
      </c>
      <c r="Q107" s="22">
        <f t="shared" si="107"/>
        <v>643.09884718374997</v>
      </c>
      <c r="R107" s="62">
        <f t="shared" si="55"/>
        <v>936.43218051708322</v>
      </c>
      <c r="S107" s="62">
        <f ca="1">AVERAGE(OFFSET($R$3,0,0,'Données projet'!$E$9+1,1))-AVERAGE(OFFSET($H$3,0,0,'Données projet'!$E$9+1,1))</f>
        <v>308.43688246071395</v>
      </c>
      <c r="T107" s="62">
        <f t="shared" si="88"/>
        <v>302.54354650449721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29.222919982581409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6.5110118074002918E-6</v>
      </c>
      <c r="AC107" s="24">
        <f t="shared" si="57"/>
        <v>29.222926493593217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498.99999999999955</v>
      </c>
      <c r="O108" s="14">
        <f>N108*VLOOKUP('Données projet'!$B$9,Paramètres!$A$1:$I$89,3,0)*VLOOKUP('Données projet'!$B$9,Paramètres!$A$1:$I$89,5,0)</f>
        <v>298.40199999999976</v>
      </c>
      <c r="P108" s="14">
        <f t="shared" si="87"/>
        <v>70.841357234689283</v>
      </c>
      <c r="Q108" s="22">
        <f t="shared" si="107"/>
        <v>643.09884718374997</v>
      </c>
      <c r="R108" s="62">
        <f t="shared" si="55"/>
        <v>936.43218051708322</v>
      </c>
      <c r="S108" s="62">
        <f ca="1">AVERAGE(OFFSET($R$3,0,0,'Données projet'!$E$9+1,1))-AVERAGE(OFFSET($H$3,0,0,'Données projet'!$E$9+1,1))</f>
        <v>308.43688246071395</v>
      </c>
      <c r="T108" s="62">
        <f t="shared" si="88"/>
        <v>302.54354650449721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28.649876345944183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4.6039806013984254E-6</v>
      </c>
      <c r="AC108" s="24">
        <f t="shared" si="57"/>
        <v>28.649880949924786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498.99999999999955</v>
      </c>
      <c r="O109" s="14">
        <f>N109*VLOOKUP('Données projet'!$B$9,Paramètres!$A$1:$I$89,3,0)*VLOOKUP('Données projet'!$B$9,Paramètres!$A$1:$I$89,5,0)</f>
        <v>298.40199999999976</v>
      </c>
      <c r="P109" s="14">
        <f t="shared" si="87"/>
        <v>70.841357234689283</v>
      </c>
      <c r="Q109" s="22">
        <f t="shared" si="107"/>
        <v>643.09884718374997</v>
      </c>
      <c r="R109" s="62">
        <f t="shared" si="55"/>
        <v>936.43218051708322</v>
      </c>
      <c r="S109" s="62">
        <f ca="1">AVERAGE(OFFSET($R$3,0,0,'Données projet'!$E$9+1,1))-AVERAGE(OFFSET($H$3,0,0,'Données projet'!$E$9+1,1))</f>
        <v>308.43688246071395</v>
      </c>
      <c r="T109" s="62">
        <f t="shared" si="88"/>
        <v>302.54354650449721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28.088069745499304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3.2555059037001459E-6</v>
      </c>
      <c r="AC109" s="24">
        <f t="shared" si="57"/>
        <v>28.088073001005206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498.99999999999955</v>
      </c>
      <c r="O110" s="14">
        <f>N110*VLOOKUP('Données projet'!$B$9,Paramètres!$A$1:$I$89,3,0)*VLOOKUP('Données projet'!$B$9,Paramètres!$A$1:$I$89,5,0)</f>
        <v>298.40199999999976</v>
      </c>
      <c r="P110" s="14">
        <f t="shared" si="87"/>
        <v>70.841357234689283</v>
      </c>
      <c r="Q110" s="22">
        <f t="shared" si="107"/>
        <v>643.09884718374997</v>
      </c>
      <c r="R110" s="62">
        <f t="shared" si="55"/>
        <v>936.43218051708322</v>
      </c>
      <c r="S110" s="62">
        <f ca="1">AVERAGE(OFFSET($R$3,0,0,'Données projet'!$E$9+1,1))-AVERAGE(OFFSET($H$3,0,0,'Données projet'!$E$9+1,1))</f>
        <v>308.43688246071395</v>
      </c>
      <c r="T110" s="62">
        <f t="shared" si="88"/>
        <v>302.54354650449721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27.53727982982096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2.3019903006992127E-6</v>
      </c>
      <c r="AC110" s="24">
        <f t="shared" si="57"/>
        <v>27.53728213181126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498.99999999999955</v>
      </c>
      <c r="O111" s="14">
        <f>N111*VLOOKUP('Données projet'!$B$9,Paramètres!$A$1:$I$89,3,0)*VLOOKUP('Données projet'!$B$9,Paramètres!$A$1:$I$89,5,0)</f>
        <v>298.40199999999976</v>
      </c>
      <c r="P111" s="14">
        <f t="shared" si="87"/>
        <v>70.841357234689283</v>
      </c>
      <c r="Q111" s="22">
        <f t="shared" si="107"/>
        <v>643.09884718374997</v>
      </c>
      <c r="R111" s="62">
        <f t="shared" si="55"/>
        <v>936.43218051708322</v>
      </c>
      <c r="S111" s="62">
        <f ca="1">AVERAGE(OFFSET($R$3,0,0,'Données projet'!$E$9+1,1))-AVERAGE(OFFSET($H$3,0,0,'Données projet'!$E$9+1,1))</f>
        <v>308.43688246071395</v>
      </c>
      <c r="T111" s="62">
        <f t="shared" si="88"/>
        <v>302.54354650449721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26.997290568440391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1.627752951850073E-6</v>
      </c>
      <c r="AC111" s="24">
        <f t="shared" si="57"/>
        <v>26.997292196193342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498.99999999999955</v>
      </c>
      <c r="O112" s="14">
        <f>N112*VLOOKUP('Données projet'!$B$9,Paramètres!$A$1:$I$89,3,0)*VLOOKUP('Données projet'!$B$9,Paramètres!$A$1:$I$89,5,0)</f>
        <v>298.40199999999976</v>
      </c>
      <c r="P112" s="14">
        <f t="shared" si="87"/>
        <v>70.841357234689283</v>
      </c>
      <c r="Q112" s="22">
        <f t="shared" si="107"/>
        <v>643.09884718374997</v>
      </c>
      <c r="R112" s="62">
        <f t="shared" si="55"/>
        <v>936.43218051708322</v>
      </c>
      <c r="S112" s="62">
        <f ca="1">AVERAGE(OFFSET($R$3,0,0,'Données projet'!$E$9+1,1))-AVERAGE(OFFSET($H$3,0,0,'Données projet'!$E$9+1,1))</f>
        <v>308.43688246071395</v>
      </c>
      <c r="T112" s="62">
        <f t="shared" si="88"/>
        <v>302.54354650449721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26.467890167114568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1.1509951503496063E-6</v>
      </c>
      <c r="AC112" s="24">
        <f t="shared" si="57"/>
        <v>26.467891318109718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498.99999999999955</v>
      </c>
      <c r="O113" s="14">
        <f>N113*VLOOKUP('Données projet'!$B$9,Paramètres!$A$1:$I$89,3,0)*VLOOKUP('Données projet'!$B$9,Paramètres!$A$1:$I$89,5,0)</f>
        <v>298.40199999999976</v>
      </c>
      <c r="P113" s="14">
        <f t="shared" si="87"/>
        <v>70.841357234689283</v>
      </c>
      <c r="Q113" s="22">
        <f t="shared" si="107"/>
        <v>643.09884718374997</v>
      </c>
      <c r="R113" s="62">
        <f t="shared" si="55"/>
        <v>936.43218051708322</v>
      </c>
      <c r="S113" s="62">
        <f ca="1">AVERAGE(OFFSET($R$3,0,0,'Données projet'!$E$9+1,1))-AVERAGE(OFFSET($H$3,0,0,'Données projet'!$E$9+1,1))</f>
        <v>308.43688246071395</v>
      </c>
      <c r="T113" s="62">
        <f t="shared" si="88"/>
        <v>302.54354650449721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25.948870984756383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8.1387647592503648E-7</v>
      </c>
      <c r="AC113" s="24">
        <f t="shared" si="57"/>
        <v>25.948871798632858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498.99999999999955</v>
      </c>
      <c r="O114" s="14">
        <f>N114*VLOOKUP('Données projet'!$B$9,Paramètres!$A$1:$I$89,3,0)*VLOOKUP('Données projet'!$B$9,Paramètres!$A$1:$I$89,5,0)</f>
        <v>298.40199999999976</v>
      </c>
      <c r="P114" s="14">
        <f t="shared" si="87"/>
        <v>70.841357234689283</v>
      </c>
      <c r="Q114" s="22">
        <f t="shared" si="107"/>
        <v>643.09884718374997</v>
      </c>
      <c r="R114" s="62">
        <f t="shared" si="55"/>
        <v>936.43218051708322</v>
      </c>
      <c r="S114" s="62">
        <f ca="1">AVERAGE(OFFSET($R$3,0,0,'Données projet'!$E$9+1,1))-AVERAGE(OFFSET($H$3,0,0,'Données projet'!$E$9+1,1))</f>
        <v>308.43688246071395</v>
      </c>
      <c r="T114" s="62">
        <f t="shared" si="88"/>
        <v>302.54354650449721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25.440029451993798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5.7549757517480317E-7</v>
      </c>
      <c r="AC114" s="24">
        <f t="shared" si="57"/>
        <v>25.440030027491375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498.99999999999955</v>
      </c>
      <c r="O115" s="14">
        <f>N115*VLOOKUP('Données projet'!$B$9,Paramètres!$A$1:$I$89,3,0)*VLOOKUP('Données projet'!$B$9,Paramètres!$A$1:$I$89,5,0)</f>
        <v>298.40199999999976</v>
      </c>
      <c r="P115" s="14">
        <f t="shared" si="87"/>
        <v>70.841357234689283</v>
      </c>
      <c r="Q115" s="22">
        <f t="shared" si="107"/>
        <v>643.09884718374997</v>
      </c>
      <c r="R115" s="62">
        <f t="shared" si="55"/>
        <v>936.43218051708322</v>
      </c>
      <c r="S115" s="62">
        <f ca="1">AVERAGE(OFFSET($R$3,0,0,'Données projet'!$E$9+1,1))-AVERAGE(OFFSET($H$3,0,0,'Données projet'!$E$9+1,1))</f>
        <v>308.43688246071395</v>
      </c>
      <c r="T115" s="62">
        <f t="shared" si="88"/>
        <v>302.54354650449721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24.941165991325999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4.0693823796251824E-7</v>
      </c>
      <c r="AC115" s="24">
        <f t="shared" si="57"/>
        <v>24.941166398264237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498.99999999999955</v>
      </c>
      <c r="O116" s="14">
        <f>N116*VLOOKUP('Données projet'!$B$9,Paramètres!$A$1:$I$89,3,0)*VLOOKUP('Données projet'!$B$9,Paramètres!$A$1:$I$89,5,0)</f>
        <v>298.40199999999976</v>
      </c>
      <c r="P116" s="14">
        <f t="shared" si="87"/>
        <v>70.841357234689283</v>
      </c>
      <c r="Q116" s="22">
        <f t="shared" si="107"/>
        <v>643.09884718374997</v>
      </c>
      <c r="R116" s="62">
        <f t="shared" si="55"/>
        <v>936.43218051708322</v>
      </c>
      <c r="S116" s="62">
        <f ca="1">AVERAGE(OFFSET($R$3,0,0,'Données projet'!$E$9+1,1))-AVERAGE(OFFSET($H$3,0,0,'Données projet'!$E$9+1,1))</f>
        <v>308.43688246071395</v>
      </c>
      <c r="T116" s="62">
        <f t="shared" si="88"/>
        <v>302.54354650449721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24.452084938845232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2.8774878758740159E-7</v>
      </c>
      <c r="AC116" s="24">
        <f t="shared" si="57"/>
        <v>24.452085226594019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498.99999999999955</v>
      </c>
      <c r="O117" s="14">
        <f>N117*VLOOKUP('Données projet'!$B$9,Paramètres!$A$1:$I$89,3,0)*VLOOKUP('Données projet'!$B$9,Paramètres!$A$1:$I$89,5,0)</f>
        <v>298.40199999999976</v>
      </c>
      <c r="P117" s="14">
        <f t="shared" si="87"/>
        <v>70.841357234689283</v>
      </c>
      <c r="Q117" s="22">
        <f t="shared" si="107"/>
        <v>643.09884718374997</v>
      </c>
      <c r="R117" s="62">
        <f t="shared" si="55"/>
        <v>936.43218051708322</v>
      </c>
      <c r="S117" s="62">
        <f ca="1">AVERAGE(OFFSET($R$3,0,0,'Données projet'!$E$9+1,1))-AVERAGE(OFFSET($H$3,0,0,'Données projet'!$E$9+1,1))</f>
        <v>308.43688246071395</v>
      </c>
      <c r="T117" s="62">
        <f t="shared" si="88"/>
        <v>302.54354650449721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23.972594467493625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2.0346911898125912E-7</v>
      </c>
      <c r="AC117" s="24">
        <f t="shared" si="57"/>
        <v>23.972594670962746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498.99999999999955</v>
      </c>
      <c r="O118" s="14">
        <f>N118*VLOOKUP('Données projet'!$B$9,Paramètres!$A$1:$I$89,3,0)*VLOOKUP('Données projet'!$B$9,Paramètres!$A$1:$I$89,5,0)</f>
        <v>298.40199999999976</v>
      </c>
      <c r="P118" s="14">
        <f t="shared" si="87"/>
        <v>70.841357234689283</v>
      </c>
      <c r="Q118" s="22">
        <f t="shared" si="107"/>
        <v>643.09884718374997</v>
      </c>
      <c r="R118" s="62">
        <f t="shared" si="55"/>
        <v>936.43218051708322</v>
      </c>
      <c r="S118" s="62">
        <f ca="1">AVERAGE(OFFSET($R$3,0,0,'Données projet'!$E$9+1,1))-AVERAGE(OFFSET($H$3,0,0,'Données projet'!$E$9+1,1))</f>
        <v>308.43688246071395</v>
      </c>
      <c r="T118" s="62">
        <f t="shared" si="88"/>
        <v>302.54354650449721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23.502506511824915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1.4387439379370079E-7</v>
      </c>
      <c r="AC118" s="24">
        <f t="shared" si="57"/>
        <v>23.50250665569931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498.99999999999955</v>
      </c>
      <c r="O119" s="14">
        <f>N119*VLOOKUP('Données projet'!$B$9,Paramètres!$A$1:$I$89,3,0)*VLOOKUP('Données projet'!$B$9,Paramètres!$A$1:$I$89,5,0)</f>
        <v>298.40199999999976</v>
      </c>
      <c r="P119" s="14">
        <f t="shared" si="87"/>
        <v>70.841357234689283</v>
      </c>
      <c r="Q119" s="22">
        <f t="shared" si="107"/>
        <v>643.09884718374997</v>
      </c>
      <c r="R119" s="62">
        <f t="shared" si="55"/>
        <v>936.43218051708322</v>
      </c>
      <c r="S119" s="62">
        <f ca="1">AVERAGE(OFFSET($R$3,0,0,'Données projet'!$E$9+1,1))-AVERAGE(OFFSET($H$3,0,0,'Données projet'!$E$9+1,1))</f>
        <v>308.43688246071395</v>
      </c>
      <c r="T119" s="62">
        <f t="shared" si="88"/>
        <v>302.54354650449721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23.041636694241525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1.0173455949062956E-7</v>
      </c>
      <c r="AC119" s="24">
        <f t="shared" si="57"/>
        <v>23.041636795976085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498.99999999999955</v>
      </c>
      <c r="O120" s="14">
        <f>N120*VLOOKUP('Données projet'!$B$9,Paramètres!$A$1:$I$89,3,0)*VLOOKUP('Données projet'!$B$9,Paramètres!$A$1:$I$89,5,0)</f>
        <v>298.40199999999976</v>
      </c>
      <c r="P120" s="14">
        <f t="shared" si="87"/>
        <v>70.841357234689283</v>
      </c>
      <c r="Q120" s="22">
        <f t="shared" si="107"/>
        <v>643.09884718374997</v>
      </c>
      <c r="R120" s="62">
        <f t="shared" si="55"/>
        <v>936.43218051708322</v>
      </c>
      <c r="S120" s="62">
        <f ca="1">AVERAGE(OFFSET($R$3,0,0,'Données projet'!$E$9+1,1))-AVERAGE(OFFSET($H$3,0,0,'Données projet'!$E$9+1,1))</f>
        <v>308.43688246071395</v>
      </c>
      <c r="T120" s="62">
        <f t="shared" si="88"/>
        <v>302.54354650449721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22.589804252678114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7.1937196896850396E-8</v>
      </c>
      <c r="AC120" s="24">
        <f t="shared" si="57"/>
        <v>22.589804324615312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498.99999999999955</v>
      </c>
      <c r="O121" s="14">
        <f>N121*VLOOKUP('Données projet'!$B$9,Paramètres!$A$1:$I$89,3,0)*VLOOKUP('Données projet'!$B$9,Paramètres!$A$1:$I$89,5,0)</f>
        <v>298.40199999999976</v>
      </c>
      <c r="P121" s="14">
        <f t="shared" si="87"/>
        <v>70.841357234689283</v>
      </c>
      <c r="Q121" s="22">
        <f t="shared" si="107"/>
        <v>643.09884718374997</v>
      </c>
      <c r="R121" s="62">
        <f t="shared" si="55"/>
        <v>936.43218051708322</v>
      </c>
      <c r="S121" s="62">
        <f ca="1">AVERAGE(OFFSET($R$3,0,0,'Données projet'!$E$9+1,1))-AVERAGE(OFFSET($H$3,0,0,'Données projet'!$E$9+1,1))</f>
        <v>308.43688246071395</v>
      </c>
      <c r="T121" s="62">
        <f t="shared" si="88"/>
        <v>302.54354650449721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22.146831969703186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5.086727974531478E-8</v>
      </c>
      <c r="AC121" s="24">
        <f t="shared" si="57"/>
        <v>22.146832020570464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498.99999999999955</v>
      </c>
      <c r="O122" s="14">
        <f>N122*VLOOKUP('Données projet'!$B$9,Paramètres!$A$1:$I$89,3,0)*VLOOKUP('Données projet'!$B$9,Paramètres!$A$1:$I$89,5,0)</f>
        <v>298.40199999999976</v>
      </c>
      <c r="P122" s="14">
        <f t="shared" si="87"/>
        <v>70.841357234689283</v>
      </c>
      <c r="Q122" s="22">
        <f t="shared" si="107"/>
        <v>643.09884718374997</v>
      </c>
      <c r="R122" s="62">
        <f t="shared" si="55"/>
        <v>936.43218051708322</v>
      </c>
      <c r="S122" s="62">
        <f ca="1">AVERAGE(OFFSET($R$3,0,0,'Données projet'!$E$9+1,1))-AVERAGE(OFFSET($H$3,0,0,'Données projet'!$E$9+1,1))</f>
        <v>308.43688246071395</v>
      </c>
      <c r="T122" s="62">
        <f t="shared" si="88"/>
        <v>302.54354650449721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21.712546103010979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3.5968598448425198E-8</v>
      </c>
      <c r="AC122" s="24">
        <f t="shared" si="57"/>
        <v>21.712546138979576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498.99999999999955</v>
      </c>
      <c r="O123" s="14">
        <f>N123*VLOOKUP('Données projet'!$B$9,Paramètres!$A$1:$I$89,3,0)*VLOOKUP('Données projet'!$B$9,Paramètres!$A$1:$I$89,5,0)</f>
        <v>298.40199999999976</v>
      </c>
      <c r="P123" s="14">
        <f t="shared" si="87"/>
        <v>70.841357234689283</v>
      </c>
      <c r="Q123" s="22">
        <f t="shared" si="107"/>
        <v>643.09884718374997</v>
      </c>
      <c r="R123" s="62">
        <f t="shared" si="55"/>
        <v>936.43218051708322</v>
      </c>
      <c r="S123" s="62">
        <f ca="1">AVERAGE(OFFSET($R$3,0,0,'Données projet'!$E$9+1,1))-AVERAGE(OFFSET($H$3,0,0,'Données projet'!$E$9+1,1))</f>
        <v>308.43688246071395</v>
      </c>
      <c r="T123" s="62">
        <f t="shared" si="88"/>
        <v>302.54354650449721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21.286776317276384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2.543363987265739E-8</v>
      </c>
      <c r="AC123" s="24">
        <f t="shared" si="57"/>
        <v>21.286776342710024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498.99999999999955</v>
      </c>
      <c r="O124" s="14">
        <f>N124*VLOOKUP('Données projet'!$B$9,Paramètres!$A$1:$I$89,3,0)*VLOOKUP('Données projet'!$B$9,Paramètres!$A$1:$I$89,5,0)</f>
        <v>298.40199999999976</v>
      </c>
      <c r="P124" s="14">
        <f t="shared" si="87"/>
        <v>70.841357234689283</v>
      </c>
      <c r="Q124" s="22">
        <f t="shared" si="107"/>
        <v>643.09884718374997</v>
      </c>
      <c r="R124" s="62">
        <f t="shared" si="55"/>
        <v>936.43218051708322</v>
      </c>
      <c r="S124" s="62">
        <f ca="1">AVERAGE(OFFSET($R$3,0,0,'Données projet'!$E$9+1,1))-AVERAGE(OFFSET($H$3,0,0,'Données projet'!$E$9+1,1))</f>
        <v>308.43688246071395</v>
      </c>
      <c r="T124" s="62">
        <f t="shared" si="88"/>
        <v>302.54354650449721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20.86935561734612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1.7984299224212599E-8</v>
      </c>
      <c r="AC124" s="24">
        <f t="shared" si="57"/>
        <v>20.869355635330418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498.99999999999955</v>
      </c>
      <c r="O125" s="14">
        <f>N125*VLOOKUP('Données projet'!$B$9,Paramètres!$A$1:$I$89,3,0)*VLOOKUP('Données projet'!$B$9,Paramètres!$A$1:$I$89,5,0)</f>
        <v>298.40199999999976</v>
      </c>
      <c r="P125" s="14">
        <f t="shared" si="87"/>
        <v>70.841357234689283</v>
      </c>
      <c r="Q125" s="22">
        <f t="shared" si="107"/>
        <v>643.09884718374997</v>
      </c>
      <c r="R125" s="62">
        <f t="shared" si="55"/>
        <v>936.43218051708322</v>
      </c>
      <c r="S125" s="62">
        <f ca="1">AVERAGE(OFFSET($R$3,0,0,'Données projet'!$E$9+1,1))-AVERAGE(OFFSET($H$3,0,0,'Données projet'!$E$9+1,1))</f>
        <v>308.43688246071395</v>
      </c>
      <c r="T125" s="62">
        <f t="shared" si="88"/>
        <v>302.54354650449721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20.46012028274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1.2716819936328695E-8</v>
      </c>
      <c r="AC125" s="24">
        <f t="shared" si="57"/>
        <v>20.460120295456822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498.99999999999955</v>
      </c>
      <c r="O126" s="14">
        <f>N126*VLOOKUP('Données projet'!$B$9,Paramètres!$A$1:$I$89,3,0)*VLOOKUP('Données projet'!$B$9,Paramètres!$A$1:$I$89,5,0)</f>
        <v>298.40199999999976</v>
      </c>
      <c r="P126" s="14">
        <f t="shared" si="87"/>
        <v>70.841357234689283</v>
      </c>
      <c r="Q126" s="22">
        <f t="shared" si="107"/>
        <v>643.09884718374997</v>
      </c>
      <c r="R126" s="62">
        <f t="shared" si="55"/>
        <v>936.43218051708322</v>
      </c>
      <c r="S126" s="62">
        <f ca="1">AVERAGE(OFFSET($R$3,0,0,'Données projet'!$E$9+1,1))-AVERAGE(OFFSET($H$3,0,0,'Données projet'!$E$9+1,1))</f>
        <v>308.43688246071395</v>
      </c>
      <c r="T126" s="62">
        <f t="shared" si="88"/>
        <v>302.54354650449721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20.058909803436599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8.9921496121062996E-9</v>
      </c>
      <c r="AC126" s="24">
        <f t="shared" si="57"/>
        <v>20.058909812428748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498.99999999999955</v>
      </c>
      <c r="O127" s="14">
        <f>N127*VLOOKUP('Données projet'!$B$9,Paramètres!$A$1:$I$89,3,0)*VLOOKUP('Données projet'!$B$9,Paramètres!$A$1:$I$89,5,0)</f>
        <v>298.40199999999976</v>
      </c>
      <c r="P127" s="14">
        <f t="shared" si="87"/>
        <v>70.841357234689283</v>
      </c>
      <c r="Q127" s="22">
        <f t="shared" si="107"/>
        <v>643.09884718374997</v>
      </c>
      <c r="R127" s="62">
        <f t="shared" si="55"/>
        <v>936.43218051708322</v>
      </c>
      <c r="S127" s="62">
        <f ca="1">AVERAGE(OFFSET($R$3,0,0,'Données projet'!$E$9+1,1))-AVERAGE(OFFSET($H$3,0,0,'Données projet'!$E$9+1,1))</f>
        <v>308.43688246071395</v>
      </c>
      <c r="T127" s="62">
        <f t="shared" si="88"/>
        <v>302.54354650449721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19.665566816918108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6.3584099681643475E-9</v>
      </c>
      <c r="AC127" s="24">
        <f t="shared" si="57"/>
        <v>19.665566823276517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498.99999999999955</v>
      </c>
      <c r="O128" s="14">
        <f>N128*VLOOKUP('Données projet'!$B$9,Paramètres!$A$1:$I$89,3,0)*VLOOKUP('Données projet'!$B$9,Paramètres!$A$1:$I$89,5,0)</f>
        <v>298.40199999999976</v>
      </c>
      <c r="P128" s="14">
        <f t="shared" si="87"/>
        <v>70.841357234689283</v>
      </c>
      <c r="Q128" s="22">
        <f t="shared" si="107"/>
        <v>643.09884718374997</v>
      </c>
      <c r="R128" s="62">
        <f t="shared" si="55"/>
        <v>936.43218051708322</v>
      </c>
      <c r="S128" s="62">
        <f ca="1">AVERAGE(OFFSET($R$3,0,0,'Données projet'!$E$9+1,1))-AVERAGE(OFFSET($H$3,0,0,'Données projet'!$E$9+1,1))</f>
        <v>308.43688246071395</v>
      </c>
      <c r="T128" s="62">
        <f t="shared" si="88"/>
        <v>302.54354650449721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19.279937046449714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4.4960748060531498E-9</v>
      </c>
      <c r="AC128" s="24">
        <f t="shared" si="57"/>
        <v>19.27993705094579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498.99999999999955</v>
      </c>
      <c r="O129" s="14">
        <f>N129*VLOOKUP('Données projet'!$B$9,Paramètres!$A$1:$I$89,3,0)*VLOOKUP('Données projet'!$B$9,Paramètres!$A$1:$I$89,5,0)</f>
        <v>298.40199999999976</v>
      </c>
      <c r="P129" s="14">
        <f t="shared" si="87"/>
        <v>70.841357234689283</v>
      </c>
      <c r="Q129" s="22">
        <f t="shared" si="107"/>
        <v>643.09884718374997</v>
      </c>
      <c r="R129" s="62">
        <f t="shared" si="55"/>
        <v>936.43218051708322</v>
      </c>
      <c r="S129" s="62">
        <f ca="1">AVERAGE(OFFSET($R$3,0,0,'Données projet'!$E$9+1,1))-AVERAGE(OFFSET($H$3,0,0,'Données projet'!$E$9+1,1))</f>
        <v>308.43688246071395</v>
      </c>
      <c r="T129" s="62">
        <f t="shared" si="88"/>
        <v>302.54354650449721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18.901869240569269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3.1792049840821738E-9</v>
      </c>
      <c r="AC129" s="24">
        <f t="shared" si="57"/>
        <v>18.901869243748475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498.99999999999955</v>
      </c>
      <c r="O130" s="14">
        <f>N130*VLOOKUP('Données projet'!$B$9,Paramètres!$A$1:$I$89,3,0)*VLOOKUP('Données projet'!$B$9,Paramètres!$A$1:$I$89,5,0)</f>
        <v>298.40199999999976</v>
      </c>
      <c r="P130" s="14">
        <f t="shared" si="87"/>
        <v>70.841357234689283</v>
      </c>
      <c r="Q130" s="22">
        <f t="shared" si="107"/>
        <v>643.09884718374997</v>
      </c>
      <c r="R130" s="62">
        <f t="shared" si="55"/>
        <v>936.43218051708322</v>
      </c>
      <c r="S130" s="62">
        <f ca="1">AVERAGE(OFFSET($R$3,0,0,'Données projet'!$E$9+1,1))-AVERAGE(OFFSET($H$3,0,0,'Données projet'!$E$9+1,1))</f>
        <v>308.43688246071395</v>
      </c>
      <c r="T130" s="62">
        <f t="shared" si="88"/>
        <v>302.54354650449721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18.531215113763547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2.2480374030265749E-9</v>
      </c>
      <c r="AC130" s="24">
        <f t="shared" si="57"/>
        <v>18.531215116011584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498.99999999999955</v>
      </c>
      <c r="O131" s="14">
        <f>N131*VLOOKUP('Données projet'!$B$9,Paramètres!$A$1:$I$89,3,0)*VLOOKUP('Données projet'!$B$9,Paramètres!$A$1:$I$89,5,0)</f>
        <v>298.40199999999976</v>
      </c>
      <c r="P131" s="14">
        <f t="shared" si="87"/>
        <v>70.841357234689283</v>
      </c>
      <c r="Q131" s="22">
        <f t="shared" ref="Q131:Q153" si="108">(O131+P131)*0.475*44/12</f>
        <v>643.09884718374997</v>
      </c>
      <c r="R131" s="62">
        <f t="shared" ref="R131:R194" si="109">Q131+(I131+J131)*44/12</f>
        <v>936.43218051708322</v>
      </c>
      <c r="S131" s="62">
        <f ca="1">AVERAGE(OFFSET($R$3,0,0,'Données projet'!$E$9+1,1))-AVERAGE(OFFSET($H$3,0,0,'Données projet'!$E$9+1,1))</f>
        <v>308.43688246071395</v>
      </c>
      <c r="T131" s="62">
        <f t="shared" si="88"/>
        <v>302.54354650449721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18.167829288307793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1.5896024920410869E-9</v>
      </c>
      <c r="AC131" s="24">
        <f t="shared" si="57"/>
        <v>18.167829289897394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498.99999999999955</v>
      </c>
      <c r="O132" s="14">
        <f>N132*VLOOKUP('Données projet'!$B$9,Paramètres!$A$1:$I$89,3,0)*VLOOKUP('Données projet'!$B$9,Paramètres!$A$1:$I$89,5,0)</f>
        <v>298.40199999999976</v>
      </c>
      <c r="P132" s="14">
        <f t="shared" si="87"/>
        <v>70.841357234689283</v>
      </c>
      <c r="Q132" s="22">
        <f t="shared" si="108"/>
        <v>643.09884718374997</v>
      </c>
      <c r="R132" s="62">
        <f t="shared" si="109"/>
        <v>936.43218051708322</v>
      </c>
      <c r="S132" s="62">
        <f ca="1">AVERAGE(OFFSET($R$3,0,0,'Données projet'!$E$9+1,1))-AVERAGE(OFFSET($H$3,0,0,'Données projet'!$E$9+1,1))</f>
        <v>308.43688246071395</v>
      </c>
      <c r="T132" s="62">
        <f t="shared" si="88"/>
        <v>302.54354650449721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17.811569237245756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1.1240187015132874E-9</v>
      </c>
      <c r="AC132" s="24">
        <f t="shared" ref="AC132:AC153" si="111">SUM(Z132:AB132)</f>
        <v>17.811569238369774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498.99999999999955</v>
      </c>
      <c r="O133" s="14">
        <f>N133*VLOOKUP('Données projet'!$B$9,Paramètres!$A$1:$I$89,3,0)*VLOOKUP('Données projet'!$B$9,Paramètres!$A$1:$I$89,5,0)</f>
        <v>298.40199999999976</v>
      </c>
      <c r="P133" s="14">
        <f t="shared" ref="P133:P196" si="141">EXP(-1.0587+0.8836*LN(O133)+0.284)</f>
        <v>70.841357234689283</v>
      </c>
      <c r="Q133" s="22">
        <f t="shared" si="108"/>
        <v>643.09884718374997</v>
      </c>
      <c r="R133" s="62">
        <f t="shared" si="109"/>
        <v>936.43218051708322</v>
      </c>
      <c r="S133" s="62">
        <f ca="1">AVERAGE(OFFSET($R$3,0,0,'Données projet'!$E$9+1,1))-AVERAGE(OFFSET($H$3,0,0,'Données projet'!$E$9+1,1))</f>
        <v>308.43688246071395</v>
      </c>
      <c r="T133" s="62">
        <f t="shared" ref="T133:T196" si="142">$T$3</f>
        <v>302.54354650449721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17.462295228487871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7.9480124602054344E-10</v>
      </c>
      <c r="AC133" s="24">
        <f t="shared" si="111"/>
        <v>17.462295229282674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498.99999999999955</v>
      </c>
      <c r="O134" s="14">
        <f>N134*VLOOKUP('Données projet'!$B$9,Paramètres!$A$1:$I$89,3,0)*VLOOKUP('Données projet'!$B$9,Paramètres!$A$1:$I$89,5,0)</f>
        <v>298.40199999999976</v>
      </c>
      <c r="P134" s="14">
        <f t="shared" si="141"/>
        <v>70.841357234689283</v>
      </c>
      <c r="Q134" s="22">
        <f t="shared" si="108"/>
        <v>643.09884718374997</v>
      </c>
      <c r="R134" s="62">
        <f t="shared" si="109"/>
        <v>936.43218051708322</v>
      </c>
      <c r="S134" s="62">
        <f ca="1">AVERAGE(OFFSET($R$3,0,0,'Données projet'!$E$9+1,1))-AVERAGE(OFFSET($H$3,0,0,'Données projet'!$E$9+1,1))</f>
        <v>308.43688246071395</v>
      </c>
      <c r="T134" s="62">
        <f t="shared" si="142"/>
        <v>302.54354650449721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17.11987027000562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5.6200935075664372E-10</v>
      </c>
      <c r="AC134" s="24">
        <f t="shared" si="111"/>
        <v>17.119870270567631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498.99999999999955</v>
      </c>
      <c r="O135" s="14">
        <f>N135*VLOOKUP('Données projet'!$B$9,Paramètres!$A$1:$I$89,3,0)*VLOOKUP('Données projet'!$B$9,Paramètres!$A$1:$I$89,5,0)</f>
        <v>298.40199999999976</v>
      </c>
      <c r="P135" s="14">
        <f t="shared" si="141"/>
        <v>70.841357234689283</v>
      </c>
      <c r="Q135" s="22">
        <f t="shared" si="108"/>
        <v>643.09884718374997</v>
      </c>
      <c r="R135" s="62">
        <f t="shared" si="109"/>
        <v>936.43218051708322</v>
      </c>
      <c r="S135" s="62">
        <f ca="1">AVERAGE(OFFSET($R$3,0,0,'Données projet'!$E$9+1,1))-AVERAGE(OFFSET($H$3,0,0,'Données projet'!$E$9+1,1))</f>
        <v>308.43688246071395</v>
      </c>
      <c r="T135" s="62">
        <f t="shared" si="142"/>
        <v>302.54354650449721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16.784160056100603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3.9740062301027172E-10</v>
      </c>
      <c r="AC135" s="24">
        <f t="shared" si="111"/>
        <v>16.784160056498003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498.99999999999955</v>
      </c>
      <c r="O136" s="14">
        <f>N136*VLOOKUP('Données projet'!$B$9,Paramètres!$A$1:$I$89,3,0)*VLOOKUP('Données projet'!$B$9,Paramètres!$A$1:$I$89,5,0)</f>
        <v>298.40199999999976</v>
      </c>
      <c r="P136" s="14">
        <f t="shared" si="141"/>
        <v>70.841357234689283</v>
      </c>
      <c r="Q136" s="22">
        <f t="shared" si="108"/>
        <v>643.09884718374997</v>
      </c>
      <c r="R136" s="62">
        <f t="shared" si="109"/>
        <v>936.43218051708322</v>
      </c>
      <c r="S136" s="62">
        <f ca="1">AVERAGE(OFFSET($R$3,0,0,'Données projet'!$E$9+1,1))-AVERAGE(OFFSET($H$3,0,0,'Données projet'!$E$9+1,1))</f>
        <v>308.43688246071395</v>
      </c>
      <c r="T136" s="62">
        <f t="shared" si="142"/>
        <v>302.54354650449721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16.455032914727251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2.8100467537832186E-10</v>
      </c>
      <c r="AC136" s="24">
        <f t="shared" si="111"/>
        <v>16.455032915008257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498.99999999999955</v>
      </c>
      <c r="O137" s="14">
        <f>N137*VLOOKUP('Données projet'!$B$9,Paramètres!$A$1:$I$89,3,0)*VLOOKUP('Données projet'!$B$9,Paramètres!$A$1:$I$89,5,0)</f>
        <v>298.40199999999976</v>
      </c>
      <c r="P137" s="14">
        <f t="shared" si="141"/>
        <v>70.841357234689283</v>
      </c>
      <c r="Q137" s="22">
        <f t="shared" si="108"/>
        <v>643.09884718374997</v>
      </c>
      <c r="R137" s="62">
        <f t="shared" si="109"/>
        <v>936.43218051708322</v>
      </c>
      <c r="S137" s="62">
        <f ca="1">AVERAGE(OFFSET($R$3,0,0,'Données projet'!$E$9+1,1))-AVERAGE(OFFSET($H$3,0,0,'Données projet'!$E$9+1,1))</f>
        <v>308.43688246071395</v>
      </c>
      <c r="T137" s="62">
        <f t="shared" si="142"/>
        <v>302.54354650449721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16.132359755848498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1.9870031150513586E-10</v>
      </c>
      <c r="AC137" s="24">
        <f t="shared" si="111"/>
        <v>16.132359756047197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498.99999999999955</v>
      </c>
      <c r="O138" s="14">
        <f>N138*VLOOKUP('Données projet'!$B$9,Paramètres!$A$1:$I$89,3,0)*VLOOKUP('Données projet'!$B$9,Paramètres!$A$1:$I$89,5,0)</f>
        <v>298.40199999999976</v>
      </c>
      <c r="P138" s="14">
        <f t="shared" si="141"/>
        <v>70.841357234689283</v>
      </c>
      <c r="Q138" s="22">
        <f t="shared" si="108"/>
        <v>643.09884718374997</v>
      </c>
      <c r="R138" s="62">
        <f t="shared" si="109"/>
        <v>936.43218051708322</v>
      </c>
      <c r="S138" s="62">
        <f ca="1">AVERAGE(OFFSET($R$3,0,0,'Données projet'!$E$9+1,1))-AVERAGE(OFFSET($H$3,0,0,'Données projet'!$E$9+1,1))</f>
        <v>308.43688246071395</v>
      </c>
      <c r="T138" s="62">
        <f t="shared" si="142"/>
        <v>302.54354650449721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15.816014020804163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1.4050233768916093E-10</v>
      </c>
      <c r="AC138" s="24">
        <f t="shared" si="111"/>
        <v>15.816014020944666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498.99999999999955</v>
      </c>
      <c r="O139" s="14">
        <f>N139*VLOOKUP('Données projet'!$B$9,Paramètres!$A$1:$I$89,3,0)*VLOOKUP('Données projet'!$B$9,Paramètres!$A$1:$I$89,5,0)</f>
        <v>298.40199999999976</v>
      </c>
      <c r="P139" s="14">
        <f t="shared" si="141"/>
        <v>70.841357234689283</v>
      </c>
      <c r="Q139" s="22">
        <f t="shared" si="108"/>
        <v>643.09884718374997</v>
      </c>
      <c r="R139" s="62">
        <f t="shared" si="109"/>
        <v>936.43218051708322</v>
      </c>
      <c r="S139" s="62">
        <f ca="1">AVERAGE(OFFSET($R$3,0,0,'Données projet'!$E$9+1,1))-AVERAGE(OFFSET($H$3,0,0,'Données projet'!$E$9+1,1))</f>
        <v>308.43688246071395</v>
      </c>
      <c r="T139" s="62">
        <f t="shared" si="142"/>
        <v>302.54354650449721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15.505871632672202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9.935015575256793E-11</v>
      </c>
      <c r="AC139" s="24">
        <f t="shared" si="111"/>
        <v>15.505871632771552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498.99999999999955</v>
      </c>
      <c r="O140" s="14">
        <f>N140*VLOOKUP('Données projet'!$B$9,Paramètres!$A$1:$I$89,3,0)*VLOOKUP('Données projet'!$B$9,Paramètres!$A$1:$I$89,5,0)</f>
        <v>298.40199999999976</v>
      </c>
      <c r="P140" s="14">
        <f t="shared" si="141"/>
        <v>70.841357234689283</v>
      </c>
      <c r="Q140" s="22">
        <f t="shared" si="108"/>
        <v>643.09884718374997</v>
      </c>
      <c r="R140" s="62">
        <f t="shared" si="109"/>
        <v>936.43218051708322</v>
      </c>
      <c r="S140" s="62">
        <f ca="1">AVERAGE(OFFSET($R$3,0,0,'Données projet'!$E$9+1,1))-AVERAGE(OFFSET($H$3,0,0,'Données projet'!$E$9+1,1))</f>
        <v>308.43688246071395</v>
      </c>
      <c r="T140" s="62">
        <f t="shared" si="142"/>
        <v>302.54354650449721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15.201810947603331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7.0251168844580465E-11</v>
      </c>
      <c r="AC140" s="24">
        <f t="shared" si="111"/>
        <v>15.201810947673582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498.99999999999955</v>
      </c>
      <c r="O141" s="14">
        <f>N141*VLOOKUP('Données projet'!$B$9,Paramètres!$A$1:$I$89,3,0)*VLOOKUP('Données projet'!$B$9,Paramètres!$A$1:$I$89,5,0)</f>
        <v>298.40199999999976</v>
      </c>
      <c r="P141" s="14">
        <f t="shared" si="141"/>
        <v>70.841357234689283</v>
      </c>
      <c r="Q141" s="22">
        <f t="shared" si="108"/>
        <v>643.09884718374997</v>
      </c>
      <c r="R141" s="62">
        <f t="shared" si="109"/>
        <v>936.43218051708322</v>
      </c>
      <c r="S141" s="62">
        <f ca="1">AVERAGE(OFFSET($R$3,0,0,'Données projet'!$E$9+1,1))-AVERAGE(OFFSET($H$3,0,0,'Données projet'!$E$9+1,1))</f>
        <v>308.43688246071395</v>
      </c>
      <c r="T141" s="62">
        <f t="shared" si="142"/>
        <v>302.54354650449721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14.903712707109955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4.9675077876283965E-11</v>
      </c>
      <c r="AC141" s="24">
        <f t="shared" si="111"/>
        <v>14.903712707159631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498.99999999999955</v>
      </c>
      <c r="O142" s="14">
        <f>N142*VLOOKUP('Données projet'!$B$9,Paramètres!$A$1:$I$89,3,0)*VLOOKUP('Données projet'!$B$9,Paramètres!$A$1:$I$89,5,0)</f>
        <v>298.40199999999976</v>
      </c>
      <c r="P142" s="14">
        <f t="shared" si="141"/>
        <v>70.841357234689283</v>
      </c>
      <c r="Q142" s="22">
        <f t="shared" si="108"/>
        <v>643.09884718374997</v>
      </c>
      <c r="R142" s="62">
        <f t="shared" si="109"/>
        <v>936.43218051708322</v>
      </c>
      <c r="S142" s="62">
        <f ca="1">AVERAGE(OFFSET($R$3,0,0,'Données projet'!$E$9+1,1))-AVERAGE(OFFSET($H$3,0,0,'Données projet'!$E$9+1,1))</f>
        <v>308.43688246071395</v>
      </c>
      <c r="T142" s="62">
        <f t="shared" si="142"/>
        <v>302.54354650449721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14.611459991290682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3.5125584422290233E-11</v>
      </c>
      <c r="AC142" s="24">
        <f t="shared" si="111"/>
        <v>14.611459991325807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498.99999999999955</v>
      </c>
      <c r="O143" s="14">
        <f>N143*VLOOKUP('Données projet'!$B$9,Paramètres!$A$1:$I$89,3,0)*VLOOKUP('Données projet'!$B$9,Paramètres!$A$1:$I$89,5,0)</f>
        <v>298.40199999999976</v>
      </c>
      <c r="P143" s="14">
        <f t="shared" si="141"/>
        <v>70.841357234689283</v>
      </c>
      <c r="Q143" s="22">
        <f t="shared" si="108"/>
        <v>643.09884718374997</v>
      </c>
      <c r="R143" s="62">
        <f t="shared" si="109"/>
        <v>936.43218051708322</v>
      </c>
      <c r="S143" s="62">
        <f ca="1">AVERAGE(OFFSET($R$3,0,0,'Données projet'!$E$9+1,1))-AVERAGE(OFFSET($H$3,0,0,'Données projet'!$E$9+1,1))</f>
        <v>308.43688246071395</v>
      </c>
      <c r="T143" s="62">
        <f t="shared" si="142"/>
        <v>302.54354650449721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14.324938172972068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2.4837538938141982E-11</v>
      </c>
      <c r="AC143" s="24">
        <f t="shared" si="111"/>
        <v>14.324938172996905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498.99999999999955</v>
      </c>
      <c r="O144" s="14">
        <f>N144*VLOOKUP('Données projet'!$B$9,Paramètres!$A$1:$I$89,3,0)*VLOOKUP('Données projet'!$B$9,Paramètres!$A$1:$I$89,5,0)</f>
        <v>298.40199999999976</v>
      </c>
      <c r="P144" s="14">
        <f t="shared" si="141"/>
        <v>70.841357234689283</v>
      </c>
      <c r="Q144" s="22">
        <f t="shared" si="108"/>
        <v>643.09884718374997</v>
      </c>
      <c r="R144" s="62">
        <f t="shared" si="109"/>
        <v>936.43218051708322</v>
      </c>
      <c r="S144" s="62">
        <f ca="1">AVERAGE(OFFSET($R$3,0,0,'Données projet'!$E$9+1,1))-AVERAGE(OFFSET($H$3,0,0,'Données projet'!$E$9+1,1))</f>
        <v>308.43688246071395</v>
      </c>
      <c r="T144" s="62">
        <f t="shared" si="142"/>
        <v>302.54354650449721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14.044034872749631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1.7562792211145116E-11</v>
      </c>
      <c r="AC144" s="24">
        <f t="shared" si="111"/>
        <v>14.044034872767194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498.99999999999955</v>
      </c>
      <c r="O145" s="14">
        <f>N145*VLOOKUP('Données projet'!$B$9,Paramètres!$A$1:$I$89,3,0)*VLOOKUP('Données projet'!$B$9,Paramètres!$A$1:$I$89,5,0)</f>
        <v>298.40199999999976</v>
      </c>
      <c r="P145" s="14">
        <f t="shared" si="141"/>
        <v>70.841357234689283</v>
      </c>
      <c r="Q145" s="22">
        <f t="shared" si="108"/>
        <v>643.09884718374997</v>
      </c>
      <c r="R145" s="62">
        <f t="shared" si="109"/>
        <v>936.43218051708322</v>
      </c>
      <c r="S145" s="62">
        <f ca="1">AVERAGE(OFFSET($R$3,0,0,'Données projet'!$E$9+1,1))-AVERAGE(OFFSET($H$3,0,0,'Données projet'!$E$9+1,1))</f>
        <v>308.43688246071395</v>
      </c>
      <c r="T145" s="62">
        <f t="shared" si="142"/>
        <v>302.54354650449721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13.768639914910459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1.2418769469070991E-11</v>
      </c>
      <c r="AC145" s="24">
        <f t="shared" si="111"/>
        <v>13.768639914922877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498.99999999999955</v>
      </c>
      <c r="O146" s="14">
        <f>N146*VLOOKUP('Données projet'!$B$9,Paramètres!$A$1:$I$89,3,0)*VLOOKUP('Données projet'!$B$9,Paramètres!$A$1:$I$89,5,0)</f>
        <v>298.40199999999976</v>
      </c>
      <c r="P146" s="14">
        <f t="shared" si="141"/>
        <v>70.841357234689283</v>
      </c>
      <c r="Q146" s="22">
        <f t="shared" si="108"/>
        <v>643.09884718374997</v>
      </c>
      <c r="R146" s="62">
        <f t="shared" si="109"/>
        <v>936.43218051708322</v>
      </c>
      <c r="S146" s="62">
        <f ca="1">AVERAGE(OFFSET($R$3,0,0,'Données projet'!$E$9+1,1))-AVERAGE(OFFSET($H$3,0,0,'Données projet'!$E$9+1,1))</f>
        <v>308.43688246071395</v>
      </c>
      <c r="T146" s="62">
        <f t="shared" si="142"/>
        <v>302.54354650449721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13.498645284220174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8.7813961055725582E-12</v>
      </c>
      <c r="AC146" s="24">
        <f t="shared" si="111"/>
        <v>13.498645284228955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498.99999999999955</v>
      </c>
      <c r="O147" s="14">
        <f>N147*VLOOKUP('Données projet'!$B$9,Paramètres!$A$1:$I$89,3,0)*VLOOKUP('Données projet'!$B$9,Paramètres!$A$1:$I$89,5,0)</f>
        <v>298.40199999999976</v>
      </c>
      <c r="P147" s="14">
        <f t="shared" si="141"/>
        <v>70.841357234689283</v>
      </c>
      <c r="Q147" s="22">
        <f t="shared" si="108"/>
        <v>643.09884718374997</v>
      </c>
      <c r="R147" s="62">
        <f t="shared" si="109"/>
        <v>936.43218051708322</v>
      </c>
      <c r="S147" s="62">
        <f ca="1">AVERAGE(OFFSET($R$3,0,0,'Données projet'!$E$9+1,1))-AVERAGE(OFFSET($H$3,0,0,'Données projet'!$E$9+1,1))</f>
        <v>308.43688246071395</v>
      </c>
      <c r="T147" s="62">
        <f t="shared" si="142"/>
        <v>302.54354650449721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13.233945083557263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6.2093847345354956E-12</v>
      </c>
      <c r="AC147" s="24">
        <f t="shared" si="111"/>
        <v>13.233945083563473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498.99999999999955</v>
      </c>
      <c r="O148" s="14">
        <f>N148*VLOOKUP('Données projet'!$B$9,Paramètres!$A$1:$I$89,3,0)*VLOOKUP('Données projet'!$B$9,Paramètres!$A$1:$I$89,5,0)</f>
        <v>298.40199999999976</v>
      </c>
      <c r="P148" s="14">
        <f t="shared" si="141"/>
        <v>70.841357234689283</v>
      </c>
      <c r="Q148" s="22">
        <f t="shared" si="108"/>
        <v>643.09884718374997</v>
      </c>
      <c r="R148" s="62">
        <f t="shared" si="109"/>
        <v>936.43218051708322</v>
      </c>
      <c r="S148" s="62">
        <f ca="1">AVERAGE(OFFSET($R$3,0,0,'Données projet'!$E$9+1,1))-AVERAGE(OFFSET($H$3,0,0,'Données projet'!$E$9+1,1))</f>
        <v>308.43688246071395</v>
      </c>
      <c r="T148" s="62">
        <f t="shared" si="142"/>
        <v>302.54354650449721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12.974435492378172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4.3906980527862791E-12</v>
      </c>
      <c r="AC148" s="24">
        <f t="shared" si="111"/>
        <v>12.974435492382563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498.99999999999955</v>
      </c>
      <c r="O149" s="14">
        <f>N149*VLOOKUP('Données projet'!$B$9,Paramètres!$A$1:$I$89,3,0)*VLOOKUP('Données projet'!$B$9,Paramètres!$A$1:$I$89,5,0)</f>
        <v>298.40199999999976</v>
      </c>
      <c r="P149" s="14">
        <f t="shared" si="141"/>
        <v>70.841357234689283</v>
      </c>
      <c r="Q149" s="22">
        <f t="shared" si="108"/>
        <v>643.09884718374997</v>
      </c>
      <c r="R149" s="62">
        <f t="shared" si="109"/>
        <v>936.43218051708322</v>
      </c>
      <c r="S149" s="62">
        <f ca="1">AVERAGE(OFFSET($R$3,0,0,'Données projet'!$E$9+1,1))-AVERAGE(OFFSET($H$3,0,0,'Données projet'!$E$9+1,1))</f>
        <v>308.43688246071395</v>
      </c>
      <c r="T149" s="62">
        <f t="shared" si="142"/>
        <v>302.54354650449721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12.720014725996881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3.1046923672677478E-12</v>
      </c>
      <c r="AC149" s="24">
        <f t="shared" si="111"/>
        <v>12.720014725999986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498.99999999999955</v>
      </c>
      <c r="O150" s="14">
        <f>N150*VLOOKUP('Données projet'!$B$9,Paramètres!$A$1:$I$89,3,0)*VLOOKUP('Données projet'!$B$9,Paramètres!$A$1:$I$89,5,0)</f>
        <v>298.40199999999976</v>
      </c>
      <c r="P150" s="14">
        <f t="shared" si="141"/>
        <v>70.841357234689283</v>
      </c>
      <c r="Q150" s="22">
        <f t="shared" si="108"/>
        <v>643.09884718374997</v>
      </c>
      <c r="R150" s="62">
        <f t="shared" si="109"/>
        <v>936.43218051708322</v>
      </c>
      <c r="S150" s="62">
        <f ca="1">AVERAGE(OFFSET($R$3,0,0,'Données projet'!$E$9+1,1))-AVERAGE(OFFSET($H$3,0,0,'Données projet'!$E$9+1,1))</f>
        <v>308.43688246071395</v>
      </c>
      <c r="T150" s="62">
        <f t="shared" si="142"/>
        <v>302.54354650449721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12.470582995662983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2.1953490263931395E-12</v>
      </c>
      <c r="AC150" s="24">
        <f t="shared" si="111"/>
        <v>12.470582995665179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498.99999999999955</v>
      </c>
      <c r="O151" s="14">
        <f>N151*VLOOKUP('Données projet'!$B$9,Paramètres!$A$1:$I$89,3,0)*VLOOKUP('Données projet'!$B$9,Paramètres!$A$1:$I$89,5,0)</f>
        <v>298.40199999999976</v>
      </c>
      <c r="P151" s="14">
        <f t="shared" si="141"/>
        <v>70.841357234689283</v>
      </c>
      <c r="Q151" s="22">
        <f t="shared" si="108"/>
        <v>643.09884718374997</v>
      </c>
      <c r="R151" s="62">
        <f t="shared" si="109"/>
        <v>936.43218051708322</v>
      </c>
      <c r="S151" s="62">
        <f ca="1">AVERAGE(OFFSET($R$3,0,0,'Données projet'!$E$9+1,1))-AVERAGE(OFFSET($H$3,0,0,'Données projet'!$E$9+1,1))</f>
        <v>308.43688246071395</v>
      </c>
      <c r="T151" s="62">
        <f t="shared" si="142"/>
        <v>302.54354650449721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12.2260424694226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1.5523461836338739E-12</v>
      </c>
      <c r="AC151" s="24">
        <f t="shared" si="111"/>
        <v>12.226042469424153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498.99999999999955</v>
      </c>
      <c r="O152" s="14">
        <f>N152*VLOOKUP('Données projet'!$B$9,Paramètres!$A$1:$I$89,3,0)*VLOOKUP('Données projet'!$B$9,Paramètres!$A$1:$I$89,5,0)</f>
        <v>298.40199999999976</v>
      </c>
      <c r="P152" s="14">
        <f t="shared" si="141"/>
        <v>70.841357234689283</v>
      </c>
      <c r="Q152" s="22">
        <f t="shared" si="108"/>
        <v>643.09884718374997</v>
      </c>
      <c r="R152" s="62">
        <f t="shared" si="109"/>
        <v>936.43218051708322</v>
      </c>
      <c r="S152" s="62">
        <f ca="1">AVERAGE(OFFSET($R$3,0,0,'Données projet'!$E$9+1,1))-AVERAGE(OFFSET($H$3,0,0,'Données projet'!$E$9+1,1))</f>
        <v>308.43688246071395</v>
      </c>
      <c r="T152" s="62">
        <f t="shared" si="142"/>
        <v>302.54354650449721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11.986297233746797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1.0976745131965698E-12</v>
      </c>
      <c r="AC152" s="24">
        <f t="shared" si="111"/>
        <v>11.986297233747894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498.99999999999955</v>
      </c>
      <c r="O153" s="14">
        <f>N153*VLOOKUP('Données projet'!$B$9,Paramètres!$A$1:$I$89,3,0)*VLOOKUP('Données projet'!$B$9,Paramètres!$A$1:$I$89,5,0)</f>
        <v>298.40199999999976</v>
      </c>
      <c r="P153" s="14">
        <f t="shared" si="141"/>
        <v>70.841357234689283</v>
      </c>
      <c r="Q153" s="22">
        <f t="shared" si="108"/>
        <v>643.09884718374997</v>
      </c>
      <c r="R153" s="62">
        <f t="shared" si="109"/>
        <v>936.43218051708322</v>
      </c>
      <c r="S153" s="62">
        <f ca="1">AVERAGE(OFFSET($R$3,0,0,'Données projet'!$E$9+1,1))-AVERAGE(OFFSET($H$3,0,0,'Données projet'!$E$9+1,1))</f>
        <v>308.43688246071395</v>
      </c>
      <c r="T153" s="62">
        <f t="shared" si="142"/>
        <v>302.54354650449721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11.751253255912442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7.7617309181693695E-13</v>
      </c>
      <c r="AC153" s="24">
        <f t="shared" si="111"/>
        <v>11.751253255913218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498.99999999999955</v>
      </c>
      <c r="O154" s="14">
        <f>N154*VLOOKUP('Données projet'!$B$9,Paramètres!$A$1:$I$89,3,0)*VLOOKUP('Données projet'!$B$9,Paramètres!$A$1:$I$89,5,0)</f>
        <v>298.40199999999976</v>
      </c>
      <c r="P154" s="14">
        <f t="shared" si="141"/>
        <v>70.841357234689283</v>
      </c>
      <c r="Q154" s="22">
        <f t="shared" ref="Q154:Q203" si="162">(O154+P154)*0.475*44/12</f>
        <v>643.09884718374997</v>
      </c>
      <c r="R154" s="62">
        <f t="shared" si="109"/>
        <v>936.43218051708322</v>
      </c>
      <c r="S154" s="62">
        <f ca="1">AVERAGE(OFFSET($R$3,0,0,'Données projet'!$E$9+1,1))-AVERAGE(OFFSET($H$3,0,0,'Données projet'!$E$9+1,1))</f>
        <v>308.43688246071395</v>
      </c>
      <c r="T154" s="62">
        <f t="shared" si="142"/>
        <v>302.54354650449721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11.520818347120747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5.4883725659828488E-13</v>
      </c>
      <c r="AC154" s="24">
        <f t="shared" ref="AC154:AC203" si="163">SUM(Z154:AB154)</f>
        <v>11.520818347121295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498.99999999999955</v>
      </c>
      <c r="O155" s="14">
        <f>N155*VLOOKUP('Données projet'!$B$9,Paramètres!$A$1:$I$89,3,0)*VLOOKUP('Données projet'!$B$9,Paramètres!$A$1:$I$89,5,0)</f>
        <v>298.40199999999976</v>
      </c>
      <c r="P155" s="14">
        <f t="shared" si="141"/>
        <v>70.841357234689283</v>
      </c>
      <c r="Q155" s="22">
        <f t="shared" si="162"/>
        <v>643.09884718374997</v>
      </c>
      <c r="R155" s="62">
        <f t="shared" si="109"/>
        <v>936.43218051708322</v>
      </c>
      <c r="S155" s="62">
        <f ca="1">AVERAGE(OFFSET($R$3,0,0,'Données projet'!$E$9+1,1))-AVERAGE(OFFSET($H$3,0,0,'Données projet'!$E$9+1,1))</f>
        <v>308.43688246071395</v>
      </c>
      <c r="T155" s="62">
        <f t="shared" si="142"/>
        <v>302.54354650449721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11.294902126339041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3.8808654590846848E-13</v>
      </c>
      <c r="AC155" s="24">
        <f t="shared" si="163"/>
        <v>11.294902126339428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498.99999999999955</v>
      </c>
      <c r="O156" s="14">
        <f>N156*VLOOKUP('Données projet'!$B$9,Paramètres!$A$1:$I$89,3,0)*VLOOKUP('Données projet'!$B$9,Paramètres!$A$1:$I$89,5,0)</f>
        <v>298.40199999999976</v>
      </c>
      <c r="P156" s="14">
        <f t="shared" si="141"/>
        <v>70.841357234689283</v>
      </c>
      <c r="Q156" s="22">
        <f t="shared" si="162"/>
        <v>643.09884718374997</v>
      </c>
      <c r="R156" s="62">
        <f t="shared" si="109"/>
        <v>936.43218051708322</v>
      </c>
      <c r="S156" s="62">
        <f ca="1">AVERAGE(OFFSET($R$3,0,0,'Données projet'!$E$9+1,1))-AVERAGE(OFFSET($H$3,0,0,'Données projet'!$E$9+1,1))</f>
        <v>308.43688246071395</v>
      </c>
      <c r="T156" s="62">
        <f t="shared" si="142"/>
        <v>302.54354650449721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11.073415984851577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2.7441862829914244E-13</v>
      </c>
      <c r="AC156" s="24">
        <f t="shared" si="163"/>
        <v>11.073415984851851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498.99999999999955</v>
      </c>
      <c r="O157" s="14">
        <f>N157*VLOOKUP('Données projet'!$B$9,Paramètres!$A$1:$I$89,3,0)*VLOOKUP('Données projet'!$B$9,Paramètres!$A$1:$I$89,5,0)</f>
        <v>298.40199999999976</v>
      </c>
      <c r="P157" s="14">
        <f t="shared" si="141"/>
        <v>70.841357234689283</v>
      </c>
      <c r="Q157" s="22">
        <f t="shared" si="162"/>
        <v>643.09884718374997</v>
      </c>
      <c r="R157" s="62">
        <f t="shared" si="109"/>
        <v>936.43218051708322</v>
      </c>
      <c r="S157" s="62">
        <f ca="1">AVERAGE(OFFSET($R$3,0,0,'Données projet'!$E$9+1,1))-AVERAGE(OFFSET($H$3,0,0,'Données projet'!$E$9+1,1))</f>
        <v>308.43688246071395</v>
      </c>
      <c r="T157" s="62">
        <f t="shared" si="142"/>
        <v>302.54354650449721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10.856273051505475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1.9404327295423424E-13</v>
      </c>
      <c r="AC157" s="24">
        <f t="shared" si="163"/>
        <v>10.856273051505669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498.99999999999955</v>
      </c>
      <c r="O158" s="14">
        <f>N158*VLOOKUP('Données projet'!$B$9,Paramètres!$A$1:$I$89,3,0)*VLOOKUP('Données projet'!$B$9,Paramètres!$A$1:$I$89,5,0)</f>
        <v>298.40199999999976</v>
      </c>
      <c r="P158" s="14">
        <f t="shared" si="141"/>
        <v>70.841357234689283</v>
      </c>
      <c r="Q158" s="22">
        <f t="shared" si="162"/>
        <v>643.09884718374997</v>
      </c>
      <c r="R158" s="62">
        <f t="shared" si="109"/>
        <v>936.43218051708322</v>
      </c>
      <c r="S158" s="62">
        <f ca="1">AVERAGE(OFFSET($R$3,0,0,'Données projet'!$E$9+1,1))-AVERAGE(OFFSET($H$3,0,0,'Données projet'!$E$9+1,1))</f>
        <v>308.43688246071395</v>
      </c>
      <c r="T158" s="62">
        <f t="shared" si="142"/>
        <v>302.54354650449721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10.643388158638178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1.3720931414957122E-13</v>
      </c>
      <c r="AC158" s="24">
        <f t="shared" si="163"/>
        <v>10.643388158638315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498.99999999999955</v>
      </c>
      <c r="O159" s="14">
        <f>N159*VLOOKUP('Données projet'!$B$9,Paramètres!$A$1:$I$89,3,0)*VLOOKUP('Données projet'!$B$9,Paramètres!$A$1:$I$89,5,0)</f>
        <v>298.40199999999976</v>
      </c>
      <c r="P159" s="14">
        <f t="shared" si="141"/>
        <v>70.841357234689283</v>
      </c>
      <c r="Q159" s="22">
        <f t="shared" si="162"/>
        <v>643.09884718374997</v>
      </c>
      <c r="R159" s="62">
        <f t="shared" si="109"/>
        <v>936.43218051708322</v>
      </c>
      <c r="S159" s="62">
        <f ca="1">AVERAGE(OFFSET($R$3,0,0,'Données projet'!$E$9+1,1))-AVERAGE(OFFSET($H$3,0,0,'Données projet'!$E$9+1,1))</f>
        <v>308.43688246071395</v>
      </c>
      <c r="T159" s="62">
        <f t="shared" si="142"/>
        <v>302.54354650449721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10.434677808673046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9.7021636477117119E-14</v>
      </c>
      <c r="AC159" s="24">
        <f t="shared" si="163"/>
        <v>10.434677808673143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498.99999999999955</v>
      </c>
      <c r="O160" s="14">
        <f>N160*VLOOKUP('Données projet'!$B$9,Paramètres!$A$1:$I$89,3,0)*VLOOKUP('Données projet'!$B$9,Paramètres!$A$1:$I$89,5,0)</f>
        <v>298.40199999999976</v>
      </c>
      <c r="P160" s="14">
        <f t="shared" si="141"/>
        <v>70.841357234689283</v>
      </c>
      <c r="Q160" s="22">
        <f t="shared" si="162"/>
        <v>643.09884718374997</v>
      </c>
      <c r="R160" s="62">
        <f t="shared" si="109"/>
        <v>936.43218051708322</v>
      </c>
      <c r="S160" s="62">
        <f ca="1">AVERAGE(OFFSET($R$3,0,0,'Données projet'!$E$9+1,1))-AVERAGE(OFFSET($H$3,0,0,'Données projet'!$E$9+1,1))</f>
        <v>308.43688246071395</v>
      </c>
      <c r="T160" s="62">
        <f t="shared" si="142"/>
        <v>302.54354650449721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10.230060141369986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6.8604657074785611E-14</v>
      </c>
      <c r="AC160" s="24">
        <f t="shared" si="163"/>
        <v>10.230060141370055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498.99999999999955</v>
      </c>
      <c r="O161" s="14">
        <f>N161*VLOOKUP('Données projet'!$B$9,Paramètres!$A$1:$I$89,3,0)*VLOOKUP('Données projet'!$B$9,Paramètres!$A$1:$I$89,5,0)</f>
        <v>298.40199999999976</v>
      </c>
      <c r="P161" s="14">
        <f t="shared" si="141"/>
        <v>70.841357234689283</v>
      </c>
      <c r="Q161" s="22">
        <f t="shared" si="162"/>
        <v>643.09884718374997</v>
      </c>
      <c r="R161" s="62">
        <f t="shared" si="109"/>
        <v>936.43218051708322</v>
      </c>
      <c r="S161" s="62">
        <f ca="1">AVERAGE(OFFSET($R$3,0,0,'Données projet'!$E$9+1,1))-AVERAGE(OFFSET($H$3,0,0,'Données projet'!$E$9+1,1))</f>
        <v>308.43688246071395</v>
      </c>
      <c r="T161" s="62">
        <f t="shared" si="142"/>
        <v>302.54354650449721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10.029454901718285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4.8510818238558559E-14</v>
      </c>
      <c r="AC161" s="24">
        <f t="shared" si="163"/>
        <v>10.029454901718333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498.99999999999955</v>
      </c>
      <c r="O162" s="14">
        <f>N162*VLOOKUP('Données projet'!$B$9,Paramètres!$A$1:$I$89,3,0)*VLOOKUP('Données projet'!$B$9,Paramètres!$A$1:$I$89,5,0)</f>
        <v>298.40199999999976</v>
      </c>
      <c r="P162" s="14">
        <f t="shared" si="141"/>
        <v>70.841357234689283</v>
      </c>
      <c r="Q162" s="22">
        <f t="shared" si="162"/>
        <v>643.09884718374997</v>
      </c>
      <c r="R162" s="62">
        <f t="shared" si="109"/>
        <v>936.43218051708322</v>
      </c>
      <c r="S162" s="62">
        <f ca="1">AVERAGE(OFFSET($R$3,0,0,'Données projet'!$E$9+1,1))-AVERAGE(OFFSET($H$3,0,0,'Données projet'!$E$9+1,1))</f>
        <v>308.43688246071395</v>
      </c>
      <c r="T162" s="62">
        <f t="shared" si="142"/>
        <v>302.54354650449721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9.83278340845904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3.4302328537392805E-14</v>
      </c>
      <c r="AC162" s="24">
        <f t="shared" si="163"/>
        <v>9.8327834084590737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498.99999999999955</v>
      </c>
      <c r="O163" s="14">
        <f>N163*VLOOKUP('Données projet'!$B$9,Paramètres!$A$1:$I$89,3,0)*VLOOKUP('Données projet'!$B$9,Paramètres!$A$1:$I$89,5,0)</f>
        <v>298.40199999999976</v>
      </c>
      <c r="P163" s="14">
        <f t="shared" si="141"/>
        <v>70.841357234689283</v>
      </c>
      <c r="Q163" s="22">
        <f t="shared" si="162"/>
        <v>643.09884718374997</v>
      </c>
      <c r="R163" s="62">
        <f t="shared" si="109"/>
        <v>936.43218051708322</v>
      </c>
      <c r="S163" s="62">
        <f ca="1">AVERAGE(OFFSET($R$3,0,0,'Données projet'!$E$9+1,1))-AVERAGE(OFFSET($H$3,0,0,'Données projet'!$E$9+1,1))</f>
        <v>308.43688246071395</v>
      </c>
      <c r="T163" s="62">
        <f t="shared" si="142"/>
        <v>302.54354650449721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9.6399685232248427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2.425540911927928E-14</v>
      </c>
      <c r="AC163" s="24">
        <f t="shared" si="163"/>
        <v>9.6399685232248675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498.99999999999955</v>
      </c>
      <c r="O164" s="14">
        <f>N164*VLOOKUP('Données projet'!$B$9,Paramètres!$A$1:$I$89,3,0)*VLOOKUP('Données projet'!$B$9,Paramètres!$A$1:$I$89,5,0)</f>
        <v>298.40199999999976</v>
      </c>
      <c r="P164" s="14">
        <f t="shared" si="141"/>
        <v>70.841357234689283</v>
      </c>
      <c r="Q164" s="22">
        <f t="shared" si="162"/>
        <v>643.09884718374997</v>
      </c>
      <c r="R164" s="62">
        <f t="shared" si="109"/>
        <v>936.43218051708322</v>
      </c>
      <c r="S164" s="62">
        <f ca="1">AVERAGE(OFFSET($R$3,0,0,'Données projet'!$E$9+1,1))-AVERAGE(OFFSET($H$3,0,0,'Données projet'!$E$9+1,1))</f>
        <v>308.43688246071395</v>
      </c>
      <c r="T164" s="62">
        <f t="shared" si="142"/>
        <v>302.54354650449721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9.4509346202846203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1.7151164268696403E-14</v>
      </c>
      <c r="AC164" s="24">
        <f t="shared" si="163"/>
        <v>9.450934620284638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498.99999999999955</v>
      </c>
      <c r="O165" s="14">
        <f>N165*VLOOKUP('Données projet'!$B$9,Paramètres!$A$1:$I$89,3,0)*VLOOKUP('Données projet'!$B$9,Paramètres!$A$1:$I$89,5,0)</f>
        <v>298.40199999999976</v>
      </c>
      <c r="P165" s="14">
        <f t="shared" si="141"/>
        <v>70.841357234689283</v>
      </c>
      <c r="Q165" s="22">
        <f t="shared" si="162"/>
        <v>643.09884718374997</v>
      </c>
      <c r="R165" s="62">
        <f t="shared" si="109"/>
        <v>936.43218051708322</v>
      </c>
      <c r="S165" s="62">
        <f ca="1">AVERAGE(OFFSET($R$3,0,0,'Données projet'!$E$9+1,1))-AVERAGE(OFFSET($H$3,0,0,'Données projet'!$E$9+1,1))</f>
        <v>308.43688246071395</v>
      </c>
      <c r="T165" s="62">
        <f t="shared" si="142"/>
        <v>302.54354650449721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9.2656075568817595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1.212770455963964E-14</v>
      </c>
      <c r="AC165" s="24">
        <f t="shared" si="163"/>
        <v>9.265607556881772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498.99999999999955</v>
      </c>
      <c r="O166" s="14">
        <f>N166*VLOOKUP('Données projet'!$B$9,Paramètres!$A$1:$I$89,3,0)*VLOOKUP('Données projet'!$B$9,Paramètres!$A$1:$I$89,5,0)</f>
        <v>298.40199999999976</v>
      </c>
      <c r="P166" s="14">
        <f t="shared" si="141"/>
        <v>70.841357234689283</v>
      </c>
      <c r="Q166" s="22">
        <f t="shared" si="162"/>
        <v>643.09884718374997</v>
      </c>
      <c r="R166" s="62">
        <f t="shared" si="109"/>
        <v>936.43218051708322</v>
      </c>
      <c r="S166" s="62">
        <f ca="1">AVERAGE(OFFSET($R$3,0,0,'Données projet'!$E$9+1,1))-AVERAGE(OFFSET($H$3,0,0,'Données projet'!$E$9+1,1))</f>
        <v>308.43688246071395</v>
      </c>
      <c r="T166" s="62">
        <f t="shared" si="142"/>
        <v>302.54354650449721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9.0839146441538823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8.5755821343482013E-15</v>
      </c>
      <c r="AC166" s="24">
        <f t="shared" si="163"/>
        <v>9.0839146441538912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498.99999999999955</v>
      </c>
      <c r="O167" s="14">
        <f>N167*VLOOKUP('Données projet'!$B$9,Paramètres!$A$1:$I$89,3,0)*VLOOKUP('Données projet'!$B$9,Paramètres!$A$1:$I$89,5,0)</f>
        <v>298.40199999999976</v>
      </c>
      <c r="P167" s="14">
        <f t="shared" si="141"/>
        <v>70.841357234689283</v>
      </c>
      <c r="Q167" s="22">
        <f t="shared" si="162"/>
        <v>643.09884718374997</v>
      </c>
      <c r="R167" s="62">
        <f t="shared" si="109"/>
        <v>936.43218051708322</v>
      </c>
      <c r="S167" s="62">
        <f ca="1">AVERAGE(OFFSET($R$3,0,0,'Données projet'!$E$9+1,1))-AVERAGE(OFFSET($H$3,0,0,'Données projet'!$E$9+1,1))</f>
        <v>308.43688246071395</v>
      </c>
      <c r="T167" s="62">
        <f t="shared" si="142"/>
        <v>302.54354650449721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8.9057846186228655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6.0638522798198199E-15</v>
      </c>
      <c r="AC167" s="24">
        <f t="shared" si="163"/>
        <v>8.9057846186228709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498.99999999999955</v>
      </c>
      <c r="O168" s="14">
        <f>N168*VLOOKUP('Données projet'!$B$9,Paramètres!$A$1:$I$89,3,0)*VLOOKUP('Données projet'!$B$9,Paramètres!$A$1:$I$89,5,0)</f>
        <v>298.40199999999976</v>
      </c>
      <c r="P168" s="14">
        <f t="shared" si="141"/>
        <v>70.841357234689283</v>
      </c>
      <c r="Q168" s="22">
        <f t="shared" si="162"/>
        <v>643.09884718374997</v>
      </c>
      <c r="R168" s="62">
        <f t="shared" si="109"/>
        <v>936.43218051708322</v>
      </c>
      <c r="S168" s="62">
        <f ca="1">AVERAGE(OFFSET($R$3,0,0,'Données projet'!$E$9+1,1))-AVERAGE(OFFSET($H$3,0,0,'Données projet'!$E$9+1,1))</f>
        <v>308.43688246071395</v>
      </c>
      <c r="T168" s="62">
        <f t="shared" si="142"/>
        <v>302.54354650449721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8.7311476142439233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4.2877910671741007E-15</v>
      </c>
      <c r="AC168" s="24">
        <f t="shared" si="163"/>
        <v>8.7311476142439268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498.99999999999955</v>
      </c>
      <c r="O169" s="14">
        <f>N169*VLOOKUP('Données projet'!$B$9,Paramètres!$A$1:$I$89,3,0)*VLOOKUP('Données projet'!$B$9,Paramètres!$A$1:$I$89,5,0)</f>
        <v>298.40199999999976</v>
      </c>
      <c r="P169" s="14">
        <f t="shared" si="141"/>
        <v>70.841357234689283</v>
      </c>
      <c r="Q169" s="22">
        <f t="shared" si="162"/>
        <v>643.09884718374997</v>
      </c>
      <c r="R169" s="62">
        <f t="shared" si="109"/>
        <v>936.43218051708322</v>
      </c>
      <c r="S169" s="62">
        <f ca="1">AVERAGE(OFFSET($R$3,0,0,'Données projet'!$E$9+1,1))-AVERAGE(OFFSET($H$3,0,0,'Données projet'!$E$9+1,1))</f>
        <v>308.43688246071395</v>
      </c>
      <c r="T169" s="62">
        <f t="shared" si="142"/>
        <v>302.54354650449721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8.5599351350027977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3.03192613990991E-15</v>
      </c>
      <c r="AC169" s="24">
        <f t="shared" si="163"/>
        <v>8.5599351350028012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498.99999999999955</v>
      </c>
      <c r="O170" s="14">
        <f>N170*VLOOKUP('Données projet'!$B$9,Paramètres!$A$1:$I$89,3,0)*VLOOKUP('Données projet'!$B$9,Paramètres!$A$1:$I$89,5,0)</f>
        <v>298.40199999999976</v>
      </c>
      <c r="P170" s="14">
        <f t="shared" si="141"/>
        <v>70.841357234689283</v>
      </c>
      <c r="Q170" s="22">
        <f t="shared" si="162"/>
        <v>643.09884718374997</v>
      </c>
      <c r="R170" s="62">
        <f t="shared" si="109"/>
        <v>936.43218051708322</v>
      </c>
      <c r="S170" s="62">
        <f ca="1">AVERAGE(OFFSET($R$3,0,0,'Données projet'!$E$9+1,1))-AVERAGE(OFFSET($H$3,0,0,'Données projet'!$E$9+1,1))</f>
        <v>308.43688246071395</v>
      </c>
      <c r="T170" s="62">
        <f t="shared" si="142"/>
        <v>302.54354650449721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8.3920800280502892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2.1438955335870503E-15</v>
      </c>
      <c r="AC170" s="24">
        <f t="shared" si="163"/>
        <v>8.392080028050291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498.99999999999955</v>
      </c>
      <c r="O171" s="14">
        <f>N171*VLOOKUP('Données projet'!$B$9,Paramètres!$A$1:$I$89,3,0)*VLOOKUP('Données projet'!$B$9,Paramètres!$A$1:$I$89,5,0)</f>
        <v>298.40199999999976</v>
      </c>
      <c r="P171" s="14">
        <f t="shared" si="141"/>
        <v>70.841357234689283</v>
      </c>
      <c r="Q171" s="22">
        <f t="shared" si="162"/>
        <v>643.09884718374997</v>
      </c>
      <c r="R171" s="62">
        <f t="shared" si="109"/>
        <v>936.43218051708322</v>
      </c>
      <c r="S171" s="62">
        <f ca="1">AVERAGE(OFFSET($R$3,0,0,'Données projet'!$E$9+1,1))-AVERAGE(OFFSET($H$3,0,0,'Données projet'!$E$9+1,1))</f>
        <v>308.43688246071395</v>
      </c>
      <c r="T171" s="62">
        <f t="shared" si="142"/>
        <v>302.54354650449721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8.2275164573636133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1.515963069954955E-15</v>
      </c>
      <c r="AC171" s="24">
        <f t="shared" si="163"/>
        <v>8.227516457363615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498.99999999999955</v>
      </c>
      <c r="O172" s="14">
        <f>N172*VLOOKUP('Données projet'!$B$9,Paramètres!$A$1:$I$89,3,0)*VLOOKUP('Données projet'!$B$9,Paramètres!$A$1:$I$89,5,0)</f>
        <v>298.40199999999976</v>
      </c>
      <c r="P172" s="14">
        <f t="shared" si="141"/>
        <v>70.841357234689283</v>
      </c>
      <c r="Q172" s="22">
        <f t="shared" si="162"/>
        <v>643.09884718374997</v>
      </c>
      <c r="R172" s="62">
        <f t="shared" si="109"/>
        <v>936.43218051708322</v>
      </c>
      <c r="S172" s="62">
        <f ca="1">AVERAGE(OFFSET($R$3,0,0,'Données projet'!$E$9+1,1))-AVERAGE(OFFSET($H$3,0,0,'Données projet'!$E$9+1,1))</f>
        <v>308.43688246071395</v>
      </c>
      <c r="T172" s="62">
        <f t="shared" si="142"/>
        <v>302.54354650449721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8.0661798779242364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1.0719477667935252E-15</v>
      </c>
      <c r="AC172" s="24">
        <f t="shared" si="163"/>
        <v>8.0661798779242382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498.99999999999955</v>
      </c>
      <c r="O173" s="14">
        <f>N173*VLOOKUP('Données projet'!$B$9,Paramètres!$A$1:$I$89,3,0)*VLOOKUP('Données projet'!$B$9,Paramètres!$A$1:$I$89,5,0)</f>
        <v>298.40199999999976</v>
      </c>
      <c r="P173" s="14">
        <f t="shared" si="141"/>
        <v>70.841357234689283</v>
      </c>
      <c r="Q173" s="22">
        <f t="shared" si="162"/>
        <v>643.09884718374997</v>
      </c>
      <c r="R173" s="62">
        <f t="shared" si="109"/>
        <v>936.43218051708322</v>
      </c>
      <c r="S173" s="62">
        <f ca="1">AVERAGE(OFFSET($R$3,0,0,'Données projet'!$E$9+1,1))-AVERAGE(OFFSET($H$3,0,0,'Données projet'!$E$9+1,1))</f>
        <v>308.43688246071395</v>
      </c>
      <c r="T173" s="62">
        <f t="shared" si="142"/>
        <v>302.54354650449721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7.9080070104020699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7.5798153497747749E-16</v>
      </c>
      <c r="AC173" s="24">
        <f t="shared" si="163"/>
        <v>7.9080070104020708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498.99999999999955</v>
      </c>
      <c r="O174" s="14">
        <f>N174*VLOOKUP('Données projet'!$B$9,Paramètres!$A$1:$I$89,3,0)*VLOOKUP('Données projet'!$B$9,Paramètres!$A$1:$I$89,5,0)</f>
        <v>298.40199999999976</v>
      </c>
      <c r="P174" s="14">
        <f t="shared" si="141"/>
        <v>70.841357234689283</v>
      </c>
      <c r="Q174" s="22">
        <f t="shared" si="162"/>
        <v>643.09884718374997</v>
      </c>
      <c r="R174" s="62">
        <f t="shared" si="109"/>
        <v>936.43218051708322</v>
      </c>
      <c r="S174" s="62">
        <f ca="1">AVERAGE(OFFSET($R$3,0,0,'Données projet'!$E$9+1,1))-AVERAGE(OFFSET($H$3,0,0,'Données projet'!$E$9+1,1))</f>
        <v>308.43688246071395</v>
      </c>
      <c r="T174" s="62">
        <f t="shared" si="142"/>
        <v>302.54354650449721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7.7529358163360893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5.3597388339676258E-16</v>
      </c>
      <c r="AC174" s="24">
        <f t="shared" si="163"/>
        <v>7.7529358163360902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498.99999999999955</v>
      </c>
      <c r="O175" s="14">
        <f>N175*VLOOKUP('Données projet'!$B$9,Paramètres!$A$1:$I$89,3,0)*VLOOKUP('Données projet'!$B$9,Paramètres!$A$1:$I$89,5,0)</f>
        <v>298.40199999999976</v>
      </c>
      <c r="P175" s="14">
        <f t="shared" si="141"/>
        <v>70.841357234689283</v>
      </c>
      <c r="Q175" s="22">
        <f t="shared" si="162"/>
        <v>643.09884718374997</v>
      </c>
      <c r="R175" s="62">
        <f t="shared" si="109"/>
        <v>936.43218051708322</v>
      </c>
      <c r="S175" s="62">
        <f ca="1">AVERAGE(OFFSET($R$3,0,0,'Données projet'!$E$9+1,1))-AVERAGE(OFFSET($H$3,0,0,'Données projet'!$E$9+1,1))</f>
        <v>308.43688246071395</v>
      </c>
      <c r="T175" s="62">
        <f t="shared" si="142"/>
        <v>302.54354650449721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7.6009054738016539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3.7899076748873875E-16</v>
      </c>
      <c r="AC175" s="24">
        <f t="shared" si="163"/>
        <v>7.6009054738016539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498.99999999999955</v>
      </c>
      <c r="O176" s="14">
        <f>N176*VLOOKUP('Données projet'!$B$9,Paramètres!$A$1:$I$89,3,0)*VLOOKUP('Données projet'!$B$9,Paramètres!$A$1:$I$89,5,0)</f>
        <v>298.40199999999976</v>
      </c>
      <c r="P176" s="14">
        <f t="shared" si="141"/>
        <v>70.841357234689283</v>
      </c>
      <c r="Q176" s="22">
        <f t="shared" si="162"/>
        <v>643.09884718374997</v>
      </c>
      <c r="R176" s="62">
        <f t="shared" si="109"/>
        <v>936.43218051708322</v>
      </c>
      <c r="S176" s="62">
        <f ca="1">AVERAGE(OFFSET($R$3,0,0,'Données projet'!$E$9+1,1))-AVERAGE(OFFSET($H$3,0,0,'Données projet'!$E$9+1,1))</f>
        <v>308.43688246071395</v>
      </c>
      <c r="T176" s="62">
        <f t="shared" si="142"/>
        <v>302.54354650449721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7.451856353554966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2.6798694169838129E-16</v>
      </c>
      <c r="AC176" s="24">
        <f t="shared" si="163"/>
        <v>7.451856353554966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498.99999999999955</v>
      </c>
      <c r="O177" s="14">
        <f>N177*VLOOKUP('Données projet'!$B$9,Paramètres!$A$1:$I$89,3,0)*VLOOKUP('Données projet'!$B$9,Paramètres!$A$1:$I$89,5,0)</f>
        <v>298.40199999999976</v>
      </c>
      <c r="P177" s="14">
        <f t="shared" si="141"/>
        <v>70.841357234689283</v>
      </c>
      <c r="Q177" s="22">
        <f t="shared" si="162"/>
        <v>643.09884718374997</v>
      </c>
      <c r="R177" s="62">
        <f t="shared" si="109"/>
        <v>936.43218051708322</v>
      </c>
      <c r="S177" s="62">
        <f ca="1">AVERAGE(OFFSET($R$3,0,0,'Données projet'!$E$9+1,1))-AVERAGE(OFFSET($H$3,0,0,'Données projet'!$E$9+1,1))</f>
        <v>308.43688246071395</v>
      </c>
      <c r="T177" s="62">
        <f t="shared" si="142"/>
        <v>302.54354650449721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7.3057299956453292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1.8949538374436937E-16</v>
      </c>
      <c r="AC177" s="24">
        <f t="shared" si="163"/>
        <v>7.3057299956453292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498.99999999999955</v>
      </c>
      <c r="O178" s="14">
        <f>N178*VLOOKUP('Données projet'!$B$9,Paramètres!$A$1:$I$89,3,0)*VLOOKUP('Données projet'!$B$9,Paramètres!$A$1:$I$89,5,0)</f>
        <v>298.40199999999976</v>
      </c>
      <c r="P178" s="14">
        <f t="shared" si="141"/>
        <v>70.841357234689283</v>
      </c>
      <c r="Q178" s="22">
        <f t="shared" si="162"/>
        <v>643.09884718374997</v>
      </c>
      <c r="R178" s="62">
        <f t="shared" si="109"/>
        <v>936.43218051708322</v>
      </c>
      <c r="S178" s="62">
        <f ca="1">AVERAGE(OFFSET($R$3,0,0,'Données projet'!$E$9+1,1))-AVERAGE(OFFSET($H$3,0,0,'Données projet'!$E$9+1,1))</f>
        <v>308.43688246071395</v>
      </c>
      <c r="T178" s="62">
        <f t="shared" si="142"/>
        <v>302.54354650449721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7.1624690864860225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1.3399347084919065E-16</v>
      </c>
      <c r="AC178" s="24">
        <f t="shared" si="163"/>
        <v>7.1624690864860225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498.99999999999955</v>
      </c>
      <c r="O179" s="14">
        <f>N179*VLOOKUP('Données projet'!$B$9,Paramètres!$A$1:$I$89,3,0)*VLOOKUP('Données projet'!$B$9,Paramètres!$A$1:$I$89,5,0)</f>
        <v>298.40199999999976</v>
      </c>
      <c r="P179" s="14">
        <f t="shared" si="141"/>
        <v>70.841357234689283</v>
      </c>
      <c r="Q179" s="22">
        <f t="shared" si="162"/>
        <v>643.09884718374997</v>
      </c>
      <c r="R179" s="62">
        <f t="shared" si="109"/>
        <v>936.43218051708322</v>
      </c>
      <c r="S179" s="62">
        <f ca="1">AVERAGE(OFFSET($R$3,0,0,'Données projet'!$E$9+1,1))-AVERAGE(OFFSET($H$3,0,0,'Données projet'!$E$9+1,1))</f>
        <v>308.43688246071395</v>
      </c>
      <c r="T179" s="62">
        <f t="shared" si="142"/>
        <v>302.54354650449721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7.0220174363748038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9.4747691872184686E-17</v>
      </c>
      <c r="AC179" s="24">
        <f t="shared" si="163"/>
        <v>7.0220174363748038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498.99999999999955</v>
      </c>
      <c r="O180" s="14">
        <f>N180*VLOOKUP('Données projet'!$B$9,Paramètres!$A$1:$I$89,3,0)*VLOOKUP('Données projet'!$B$9,Paramètres!$A$1:$I$89,5,0)</f>
        <v>298.40199999999976</v>
      </c>
      <c r="P180" s="14">
        <f t="shared" si="141"/>
        <v>70.841357234689283</v>
      </c>
      <c r="Q180" s="22">
        <f t="shared" si="162"/>
        <v>643.09884718374997</v>
      </c>
      <c r="R180" s="62">
        <f t="shared" si="109"/>
        <v>936.43218051708322</v>
      </c>
      <c r="S180" s="62">
        <f ca="1">AVERAGE(OFFSET($R$3,0,0,'Données projet'!$E$9+1,1))-AVERAGE(OFFSET($H$3,0,0,'Données projet'!$E$9+1,1))</f>
        <v>308.43688246071395</v>
      </c>
      <c r="T180" s="62">
        <f t="shared" si="142"/>
        <v>302.54354650449721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6.8843199574552179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6.6996735424595323E-17</v>
      </c>
      <c r="AC180" s="24">
        <f t="shared" si="163"/>
        <v>6.8843199574552179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498.99999999999955</v>
      </c>
      <c r="O181" s="14">
        <f>N181*VLOOKUP('Données projet'!$B$9,Paramètres!$A$1:$I$89,3,0)*VLOOKUP('Données projet'!$B$9,Paramètres!$A$1:$I$89,5,0)</f>
        <v>298.40199999999976</v>
      </c>
      <c r="P181" s="14">
        <f t="shared" si="141"/>
        <v>70.841357234689283</v>
      </c>
      <c r="Q181" s="22">
        <f t="shared" si="162"/>
        <v>643.09884718374997</v>
      </c>
      <c r="R181" s="62">
        <f t="shared" si="109"/>
        <v>936.43218051708322</v>
      </c>
      <c r="S181" s="62">
        <f ca="1">AVERAGE(OFFSET($R$3,0,0,'Données projet'!$E$9+1,1))-AVERAGE(OFFSET($H$3,0,0,'Données projet'!$E$9+1,1))</f>
        <v>308.43688246071395</v>
      </c>
      <c r="T181" s="62">
        <f t="shared" si="142"/>
        <v>302.54354650449721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6.7493226421100765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4.7373845936092343E-17</v>
      </c>
      <c r="AC181" s="24">
        <f t="shared" si="163"/>
        <v>6.7493226421100765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498.99999999999955</v>
      </c>
      <c r="O182" s="14">
        <f>N182*VLOOKUP('Données projet'!$B$9,Paramètres!$A$1:$I$89,3,0)*VLOOKUP('Données projet'!$B$9,Paramètres!$A$1:$I$89,5,0)</f>
        <v>298.40199999999976</v>
      </c>
      <c r="P182" s="14">
        <f t="shared" si="141"/>
        <v>70.841357234689283</v>
      </c>
      <c r="Q182" s="22">
        <f t="shared" si="162"/>
        <v>643.09884718374997</v>
      </c>
      <c r="R182" s="62">
        <f t="shared" si="109"/>
        <v>936.43218051708322</v>
      </c>
      <c r="S182" s="62">
        <f ca="1">AVERAGE(OFFSET($R$3,0,0,'Données projet'!$E$9+1,1))-AVERAGE(OFFSET($H$3,0,0,'Données projet'!$E$9+1,1))</f>
        <v>308.43688246071395</v>
      </c>
      <c r="T182" s="62">
        <f t="shared" si="142"/>
        <v>302.54354650449721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6.6169725417786216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3.3498367712297661E-17</v>
      </c>
      <c r="AC182" s="24">
        <f t="shared" si="163"/>
        <v>6.6169725417786216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498.99999999999955</v>
      </c>
      <c r="O183" s="14">
        <f>N183*VLOOKUP('Données projet'!$B$9,Paramètres!$A$1:$I$89,3,0)*VLOOKUP('Données projet'!$B$9,Paramètres!$A$1:$I$89,5,0)</f>
        <v>298.40199999999976</v>
      </c>
      <c r="P183" s="14">
        <f t="shared" si="141"/>
        <v>70.841357234689283</v>
      </c>
      <c r="Q183" s="22">
        <f t="shared" si="162"/>
        <v>643.09884718374997</v>
      </c>
      <c r="R183" s="62">
        <f t="shared" si="109"/>
        <v>936.43218051708322</v>
      </c>
      <c r="S183" s="62">
        <f ca="1">AVERAGE(OFFSET($R$3,0,0,'Données projet'!$E$9+1,1))-AVERAGE(OFFSET($H$3,0,0,'Données projet'!$E$9+1,1))</f>
        <v>308.43688246071395</v>
      </c>
      <c r="T183" s="62">
        <f t="shared" si="142"/>
        <v>302.54354650449721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6.4872177461890761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2.3686922968046172E-17</v>
      </c>
      <c r="AC183" s="24">
        <f t="shared" si="163"/>
        <v>6.4872177461890761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498.99999999999955</v>
      </c>
      <c r="O184" s="14">
        <f>N184*VLOOKUP('Données projet'!$B$9,Paramètres!$A$1:$I$89,3,0)*VLOOKUP('Données projet'!$B$9,Paramètres!$A$1:$I$89,5,0)</f>
        <v>298.40199999999976</v>
      </c>
      <c r="P184" s="14">
        <f t="shared" si="141"/>
        <v>70.841357234689283</v>
      </c>
      <c r="Q184" s="22">
        <f t="shared" si="162"/>
        <v>643.09884718374997</v>
      </c>
      <c r="R184" s="62">
        <f t="shared" si="109"/>
        <v>936.43218051708322</v>
      </c>
      <c r="S184" s="62">
        <f ca="1">AVERAGE(OFFSET($R$3,0,0,'Données projet'!$E$9+1,1))-AVERAGE(OFFSET($H$3,0,0,'Données projet'!$E$9+1,1))</f>
        <v>308.43688246071395</v>
      </c>
      <c r="T184" s="62">
        <f t="shared" si="142"/>
        <v>302.54354650449721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6.3600073629984308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1.6749183856148831E-17</v>
      </c>
      <c r="AC184" s="24">
        <f t="shared" si="163"/>
        <v>6.3600073629984308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498.99999999999955</v>
      </c>
      <c r="O185" s="14">
        <f>N185*VLOOKUP('Données projet'!$B$9,Paramètres!$A$1:$I$89,3,0)*VLOOKUP('Données projet'!$B$9,Paramètres!$A$1:$I$89,5,0)</f>
        <v>298.40199999999976</v>
      </c>
      <c r="P185" s="14">
        <f t="shared" si="141"/>
        <v>70.841357234689283</v>
      </c>
      <c r="Q185" s="22">
        <f t="shared" si="162"/>
        <v>643.09884718374997</v>
      </c>
      <c r="R185" s="62">
        <f t="shared" si="109"/>
        <v>936.43218051708322</v>
      </c>
      <c r="S185" s="62">
        <f ca="1">AVERAGE(OFFSET($R$3,0,0,'Données projet'!$E$9+1,1))-AVERAGE(OFFSET($H$3,0,0,'Données projet'!$E$9+1,1))</f>
        <v>308.43688246071395</v>
      </c>
      <c r="T185" s="62">
        <f t="shared" si="142"/>
        <v>302.54354650449721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6.235291497831482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1.1843461484023086E-17</v>
      </c>
      <c r="AC185" s="24">
        <f t="shared" si="163"/>
        <v>6.235291497831482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498.99999999999955</v>
      </c>
      <c r="O186" s="14">
        <f>N186*VLOOKUP('Données projet'!$B$9,Paramètres!$A$1:$I$89,3,0)*VLOOKUP('Données projet'!$B$9,Paramètres!$A$1:$I$89,5,0)</f>
        <v>298.40199999999976</v>
      </c>
      <c r="P186" s="14">
        <f t="shared" si="141"/>
        <v>70.841357234689283</v>
      </c>
      <c r="Q186" s="22">
        <f t="shared" si="162"/>
        <v>643.09884718374997</v>
      </c>
      <c r="R186" s="62">
        <f t="shared" si="109"/>
        <v>936.43218051708322</v>
      </c>
      <c r="S186" s="62">
        <f ca="1">AVERAGE(OFFSET($R$3,0,0,'Données projet'!$E$9+1,1))-AVERAGE(OFFSET($H$3,0,0,'Données projet'!$E$9+1,1))</f>
        <v>308.43688246071395</v>
      </c>
      <c r="T186" s="62">
        <f t="shared" si="142"/>
        <v>302.54354650449721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6.1130212347112902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8.3745919280744154E-18</v>
      </c>
      <c r="AC186" s="24">
        <f t="shared" si="163"/>
        <v>6.1130212347112902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498.99999999999955</v>
      </c>
      <c r="O187" s="14">
        <f>N187*VLOOKUP('Données projet'!$B$9,Paramètres!$A$1:$I$89,3,0)*VLOOKUP('Données projet'!$B$9,Paramètres!$A$1:$I$89,5,0)</f>
        <v>298.40199999999976</v>
      </c>
      <c r="P187" s="14">
        <f t="shared" si="141"/>
        <v>70.841357234689283</v>
      </c>
      <c r="Q187" s="22">
        <f t="shared" si="162"/>
        <v>643.09884718374997</v>
      </c>
      <c r="R187" s="62">
        <f t="shared" si="109"/>
        <v>936.43218051708322</v>
      </c>
      <c r="S187" s="62">
        <f ca="1">AVERAGE(OFFSET($R$3,0,0,'Données projet'!$E$9+1,1))-AVERAGE(OFFSET($H$3,0,0,'Données projet'!$E$9+1,1))</f>
        <v>308.43688246071395</v>
      </c>
      <c r="T187" s="62">
        <f t="shared" si="142"/>
        <v>302.54354650449721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5.9931486168733885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5.9217307420115429E-18</v>
      </c>
      <c r="AC187" s="24">
        <f t="shared" si="163"/>
        <v>5.9931486168733885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498.99999999999955</v>
      </c>
      <c r="O188" s="14">
        <f>N188*VLOOKUP('Données projet'!$B$9,Paramètres!$A$1:$I$89,3,0)*VLOOKUP('Données projet'!$B$9,Paramètres!$A$1:$I$89,5,0)</f>
        <v>298.40199999999976</v>
      </c>
      <c r="P188" s="14">
        <f t="shared" si="141"/>
        <v>70.841357234689283</v>
      </c>
      <c r="Q188" s="22">
        <f t="shared" si="162"/>
        <v>643.09884718374997</v>
      </c>
      <c r="R188" s="62">
        <f t="shared" si="109"/>
        <v>936.43218051708322</v>
      </c>
      <c r="S188" s="62">
        <f ca="1">AVERAGE(OFFSET($R$3,0,0,'Données projet'!$E$9+1,1))-AVERAGE(OFFSET($H$3,0,0,'Données projet'!$E$9+1,1))</f>
        <v>308.43688246071395</v>
      </c>
      <c r="T188" s="62">
        <f t="shared" si="142"/>
        <v>302.54354650449721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5.875626627956211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4.1872959640372077E-18</v>
      </c>
      <c r="AC188" s="24">
        <f t="shared" si="163"/>
        <v>5.875626627956211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498.99999999999955</v>
      </c>
      <c r="O189" s="14">
        <f>N189*VLOOKUP('Données projet'!$B$9,Paramètres!$A$1:$I$89,3,0)*VLOOKUP('Données projet'!$B$9,Paramètres!$A$1:$I$89,5,0)</f>
        <v>298.40199999999976</v>
      </c>
      <c r="P189" s="14">
        <f t="shared" si="141"/>
        <v>70.841357234689283</v>
      </c>
      <c r="Q189" s="22">
        <f t="shared" si="162"/>
        <v>643.09884718374997</v>
      </c>
      <c r="R189" s="62">
        <f t="shared" si="109"/>
        <v>936.43218051708322</v>
      </c>
      <c r="S189" s="62">
        <f ca="1">AVERAGE(OFFSET($R$3,0,0,'Données projet'!$E$9+1,1))-AVERAGE(OFFSET($H$3,0,0,'Données projet'!$E$9+1,1))</f>
        <v>308.43688246071395</v>
      </c>
      <c r="T189" s="62">
        <f t="shared" si="142"/>
        <v>302.54354650449721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5.7604091735603644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2.9608653710057714E-18</v>
      </c>
      <c r="AC189" s="24">
        <f t="shared" si="163"/>
        <v>5.7604091735603644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498.99999999999955</v>
      </c>
      <c r="O190" s="14">
        <f>N190*VLOOKUP('Données projet'!$B$9,Paramètres!$A$1:$I$89,3,0)*VLOOKUP('Données projet'!$B$9,Paramètres!$A$1:$I$89,5,0)</f>
        <v>298.40199999999976</v>
      </c>
      <c r="P190" s="14">
        <f t="shared" si="141"/>
        <v>70.841357234689283</v>
      </c>
      <c r="Q190" s="22">
        <f t="shared" si="162"/>
        <v>643.09884718374997</v>
      </c>
      <c r="R190" s="62">
        <f t="shared" si="109"/>
        <v>936.43218051708322</v>
      </c>
      <c r="S190" s="62">
        <f ca="1">AVERAGE(OFFSET($R$3,0,0,'Données projet'!$E$9+1,1))-AVERAGE(OFFSET($H$3,0,0,'Données projet'!$E$9+1,1))</f>
        <v>308.43688246071395</v>
      </c>
      <c r="T190" s="62">
        <f t="shared" si="142"/>
        <v>302.54354650449721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5.6474510631695116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2.0936479820186038E-18</v>
      </c>
      <c r="AC190" s="24">
        <f t="shared" si="163"/>
        <v>5.6474510631695116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498.99999999999955</v>
      </c>
      <c r="O191" s="14">
        <f>N191*VLOOKUP('Données projet'!$B$9,Paramètres!$A$1:$I$89,3,0)*VLOOKUP('Données projet'!$B$9,Paramètres!$A$1:$I$89,5,0)</f>
        <v>298.40199999999976</v>
      </c>
      <c r="P191" s="14">
        <f t="shared" si="141"/>
        <v>70.841357234689283</v>
      </c>
      <c r="Q191" s="22">
        <f t="shared" si="162"/>
        <v>643.09884718374997</v>
      </c>
      <c r="R191" s="62">
        <f t="shared" si="109"/>
        <v>936.43218051708322</v>
      </c>
      <c r="S191" s="62">
        <f ca="1">AVERAGE(OFFSET($R$3,0,0,'Données projet'!$E$9+1,1))-AVERAGE(OFFSET($H$3,0,0,'Données projet'!$E$9+1,1))</f>
        <v>308.43688246071395</v>
      </c>
      <c r="T191" s="62">
        <f t="shared" si="142"/>
        <v>302.54354650449721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5.5367079924257796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1.4804326855028857E-18</v>
      </c>
      <c r="AC191" s="24">
        <f t="shared" si="163"/>
        <v>5.5367079924257796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498.99999999999955</v>
      </c>
      <c r="O192" s="14">
        <f>N192*VLOOKUP('Données projet'!$B$9,Paramètres!$A$1:$I$89,3,0)*VLOOKUP('Données projet'!$B$9,Paramètres!$A$1:$I$89,5,0)</f>
        <v>298.40199999999976</v>
      </c>
      <c r="P192" s="14">
        <f t="shared" si="141"/>
        <v>70.841357234689283</v>
      </c>
      <c r="Q192" s="22">
        <f t="shared" si="162"/>
        <v>643.09884718374997</v>
      </c>
      <c r="R192" s="62">
        <f t="shared" si="109"/>
        <v>936.43218051708322</v>
      </c>
      <c r="S192" s="62">
        <f ca="1">AVERAGE(OFFSET($R$3,0,0,'Données projet'!$E$9+1,1))-AVERAGE(OFFSET($H$3,0,0,'Données projet'!$E$9+1,1))</f>
        <v>308.43688246071395</v>
      </c>
      <c r="T192" s="62">
        <f t="shared" si="142"/>
        <v>302.54354650449721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5.4281365257527288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1.0468239910093019E-18</v>
      </c>
      <c r="AC192" s="24">
        <f t="shared" si="163"/>
        <v>5.4281365257527288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498.99999999999955</v>
      </c>
      <c r="O193" s="14">
        <f>N193*VLOOKUP('Données projet'!$B$9,Paramètres!$A$1:$I$89,3,0)*VLOOKUP('Données projet'!$B$9,Paramètres!$A$1:$I$89,5,0)</f>
        <v>298.40199999999976</v>
      </c>
      <c r="P193" s="14">
        <f t="shared" si="141"/>
        <v>70.841357234689283</v>
      </c>
      <c r="Q193" s="22">
        <f t="shared" si="162"/>
        <v>643.09884718374997</v>
      </c>
      <c r="R193" s="62">
        <f t="shared" si="109"/>
        <v>936.43218051708322</v>
      </c>
      <c r="S193" s="62">
        <f ca="1">AVERAGE(OFFSET($R$3,0,0,'Données projet'!$E$9+1,1))-AVERAGE(OFFSET($H$3,0,0,'Données projet'!$E$9+1,1))</f>
        <v>308.43688246071395</v>
      </c>
      <c r="T193" s="62">
        <f t="shared" si="142"/>
        <v>302.54354650449721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5.3216940793190801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7.4021634275144286E-19</v>
      </c>
      <c r="AC193" s="24">
        <f t="shared" si="163"/>
        <v>5.3216940793190801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498.99999999999955</v>
      </c>
      <c r="O194" s="14">
        <f>N194*VLOOKUP('Données projet'!$B$9,Paramètres!$A$1:$I$89,3,0)*VLOOKUP('Données projet'!$B$9,Paramètres!$A$1:$I$89,5,0)</f>
        <v>298.40199999999976</v>
      </c>
      <c r="P194" s="14">
        <f t="shared" si="141"/>
        <v>70.841357234689283</v>
      </c>
      <c r="Q194" s="22">
        <f t="shared" si="162"/>
        <v>643.09884718374997</v>
      </c>
      <c r="R194" s="62">
        <f t="shared" si="109"/>
        <v>936.43218051708322</v>
      </c>
      <c r="S194" s="62">
        <f ca="1">AVERAGE(OFFSET($R$3,0,0,'Données projet'!$E$9+1,1))-AVERAGE(OFFSET($H$3,0,0,'Données projet'!$E$9+1,1))</f>
        <v>308.43688246071395</v>
      </c>
      <c r="T194" s="62">
        <f t="shared" si="142"/>
        <v>302.54354650449721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5.2173389043365139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5.2341199550465096E-19</v>
      </c>
      <c r="AC194" s="24">
        <f t="shared" si="163"/>
        <v>5.2173389043365139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498.99999999999955</v>
      </c>
      <c r="O195" s="14">
        <f>N195*VLOOKUP('Données projet'!$B$9,Paramètres!$A$1:$I$89,3,0)*VLOOKUP('Données projet'!$B$9,Paramètres!$A$1:$I$89,5,0)</f>
        <v>298.40199999999976</v>
      </c>
      <c r="P195" s="14">
        <f t="shared" si="141"/>
        <v>70.841357234689283</v>
      </c>
      <c r="Q195" s="22">
        <f t="shared" si="162"/>
        <v>643.09884718374997</v>
      </c>
      <c r="R195" s="62">
        <f t="shared" ref="R195:R203" si="191">Q195+(I195+J195)*44/12</f>
        <v>936.43218051708322</v>
      </c>
      <c r="S195" s="62">
        <f ca="1">AVERAGE(OFFSET($R$3,0,0,'Données projet'!$E$9+1,1))-AVERAGE(OFFSET($H$3,0,0,'Données projet'!$E$9+1,1))</f>
        <v>308.43688246071395</v>
      </c>
      <c r="T195" s="62">
        <f t="shared" si="142"/>
        <v>302.54354650449721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5.1150300706849841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3.7010817137572143E-19</v>
      </c>
      <c r="AC195" s="24">
        <f t="shared" si="163"/>
        <v>5.1150300706849841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498.99999999999955</v>
      </c>
      <c r="O196" s="14">
        <f>N196*VLOOKUP('Données projet'!$B$9,Paramètres!$A$1:$I$89,3,0)*VLOOKUP('Données projet'!$B$9,Paramètres!$A$1:$I$89,5,0)</f>
        <v>298.40199999999976</v>
      </c>
      <c r="P196" s="14">
        <f t="shared" si="141"/>
        <v>70.841357234689283</v>
      </c>
      <c r="Q196" s="22">
        <f t="shared" si="162"/>
        <v>643.09884718374997</v>
      </c>
      <c r="R196" s="62">
        <f t="shared" si="191"/>
        <v>936.43218051708322</v>
      </c>
      <c r="S196" s="62">
        <f ca="1">AVERAGE(OFFSET($R$3,0,0,'Données projet'!$E$9+1,1))-AVERAGE(OFFSET($H$3,0,0,'Données projet'!$E$9+1,1))</f>
        <v>308.43688246071395</v>
      </c>
      <c r="T196" s="62">
        <f t="shared" si="142"/>
        <v>302.54354650449721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5.0147274508591337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2.6170599775232548E-19</v>
      </c>
      <c r="AC196" s="24">
        <f t="shared" si="163"/>
        <v>5.0147274508591337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498.99999999999955</v>
      </c>
      <c r="O197" s="14">
        <f>N197*VLOOKUP('Données projet'!$B$9,Paramètres!$A$1:$I$89,3,0)*VLOOKUP('Données projet'!$B$9,Paramètres!$A$1:$I$89,5,0)</f>
        <v>298.40199999999976</v>
      </c>
      <c r="P197" s="14">
        <f t="shared" ref="P197:P203" si="203">EXP(-1.0587+0.8836*LN(O197)+0.284)</f>
        <v>70.841357234689283</v>
      </c>
      <c r="Q197" s="22">
        <f t="shared" si="162"/>
        <v>643.09884718374997</v>
      </c>
      <c r="R197" s="62">
        <f t="shared" si="191"/>
        <v>936.43218051708322</v>
      </c>
      <c r="S197" s="62">
        <f ca="1">AVERAGE(OFFSET($R$3,0,0,'Données projet'!$E$9+1,1))-AVERAGE(OFFSET($H$3,0,0,'Données projet'!$E$9+1,1))</f>
        <v>308.43688246071395</v>
      </c>
      <c r="T197" s="62">
        <f t="shared" ref="T197:T203" si="204">$T$3</f>
        <v>302.54354650449721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4.9163917042295111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1.8505408568786072E-19</v>
      </c>
      <c r="AC197" s="24">
        <f t="shared" si="163"/>
        <v>4.9163917042295111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498.99999999999955</v>
      </c>
      <c r="O198" s="14">
        <f>N198*VLOOKUP('Données projet'!$B$9,Paramètres!$A$1:$I$89,3,0)*VLOOKUP('Données projet'!$B$9,Paramètres!$A$1:$I$89,5,0)</f>
        <v>298.40199999999976</v>
      </c>
      <c r="P198" s="14">
        <f t="shared" si="203"/>
        <v>70.841357234689283</v>
      </c>
      <c r="Q198" s="22">
        <f t="shared" si="162"/>
        <v>643.09884718374997</v>
      </c>
      <c r="R198" s="62">
        <f t="shared" si="191"/>
        <v>936.43218051708322</v>
      </c>
      <c r="S198" s="62">
        <f ca="1">AVERAGE(OFFSET($R$3,0,0,'Données projet'!$E$9+1,1))-AVERAGE(OFFSET($H$3,0,0,'Données projet'!$E$9+1,1))</f>
        <v>308.43688246071395</v>
      </c>
      <c r="T198" s="62">
        <f t="shared" si="204"/>
        <v>302.54354650449721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4.8199842616124124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1.3085299887616274E-19</v>
      </c>
      <c r="AC198" s="24">
        <f t="shared" si="163"/>
        <v>4.8199842616124124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498.99999999999955</v>
      </c>
      <c r="O199" s="14">
        <f>N199*VLOOKUP('Données projet'!$B$9,Paramètres!$A$1:$I$89,3,0)*VLOOKUP('Données projet'!$B$9,Paramètres!$A$1:$I$89,5,0)</f>
        <v>298.40199999999976</v>
      </c>
      <c r="P199" s="14">
        <f t="shared" si="203"/>
        <v>70.841357234689283</v>
      </c>
      <c r="Q199" s="22">
        <f t="shared" si="162"/>
        <v>643.09884718374997</v>
      </c>
      <c r="R199" s="62">
        <f t="shared" si="191"/>
        <v>936.43218051708322</v>
      </c>
      <c r="S199" s="62">
        <f ca="1">AVERAGE(OFFSET($R$3,0,0,'Données projet'!$E$9+1,1))-AVERAGE(OFFSET($H$3,0,0,'Données projet'!$E$9+1,1))</f>
        <v>308.43688246071395</v>
      </c>
      <c r="T199" s="62">
        <f t="shared" si="204"/>
        <v>302.54354650449721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4.7254673101423013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9.2527042843930358E-20</v>
      </c>
      <c r="AC199" s="24">
        <f t="shared" si="163"/>
        <v>4.7254673101423013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498.99999999999955</v>
      </c>
      <c r="O200" s="14">
        <f>N200*VLOOKUP('Données projet'!$B$9,Paramètres!$A$1:$I$89,3,0)*VLOOKUP('Données projet'!$B$9,Paramètres!$A$1:$I$89,5,0)</f>
        <v>298.40199999999976</v>
      </c>
      <c r="P200" s="14">
        <f t="shared" si="203"/>
        <v>70.841357234689283</v>
      </c>
      <c r="Q200" s="22">
        <f t="shared" si="162"/>
        <v>643.09884718374997</v>
      </c>
      <c r="R200" s="62">
        <f t="shared" si="191"/>
        <v>936.43218051708322</v>
      </c>
      <c r="S200" s="62">
        <f ca="1">AVERAGE(OFFSET($R$3,0,0,'Données projet'!$E$9+1,1))-AVERAGE(OFFSET($H$3,0,0,'Données projet'!$E$9+1,1))</f>
        <v>308.43688246071395</v>
      </c>
      <c r="T200" s="62">
        <f t="shared" si="204"/>
        <v>302.54354650449721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4.6328037784408718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6.542649943808137E-20</v>
      </c>
      <c r="AC200" s="24">
        <f t="shared" si="163"/>
        <v>4.6328037784408718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498.99999999999955</v>
      </c>
      <c r="O201" s="14">
        <f>N201*VLOOKUP('Données projet'!$B$9,Paramètres!$A$1:$I$89,3,0)*VLOOKUP('Données projet'!$B$9,Paramètres!$A$1:$I$89,5,0)</f>
        <v>298.40199999999976</v>
      </c>
      <c r="P201" s="14">
        <f t="shared" si="203"/>
        <v>70.841357234689283</v>
      </c>
      <c r="Q201" s="22">
        <f t="shared" si="162"/>
        <v>643.09884718374997</v>
      </c>
      <c r="R201" s="62">
        <f t="shared" si="191"/>
        <v>936.43218051708322</v>
      </c>
      <c r="S201" s="62">
        <f ca="1">AVERAGE(OFFSET($R$3,0,0,'Données projet'!$E$9+1,1))-AVERAGE(OFFSET($H$3,0,0,'Données projet'!$E$9+1,1))</f>
        <v>308.43688246071395</v>
      </c>
      <c r="T201" s="62">
        <f t="shared" si="204"/>
        <v>302.54354650449721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4.5419573220769331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4.6263521421965179E-20</v>
      </c>
      <c r="AC201" s="24">
        <f t="shared" si="163"/>
        <v>4.5419573220769331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498.99999999999955</v>
      </c>
      <c r="O202" s="14">
        <f>N202*VLOOKUP('Données projet'!$B$9,Paramètres!$A$1:$I$89,3,0)*VLOOKUP('Données projet'!$B$9,Paramètres!$A$1:$I$89,5,0)</f>
        <v>298.40199999999976</v>
      </c>
      <c r="P202" s="14">
        <f t="shared" si="203"/>
        <v>70.841357234689283</v>
      </c>
      <c r="Q202" s="22">
        <f t="shared" si="162"/>
        <v>643.09884718374997</v>
      </c>
      <c r="R202" s="62">
        <f t="shared" si="191"/>
        <v>936.43218051708322</v>
      </c>
      <c r="S202" s="62">
        <f ca="1">AVERAGE(OFFSET($R$3,0,0,'Données projet'!$E$9+1,1))-AVERAGE(OFFSET($H$3,0,0,'Données projet'!$E$9+1,1))</f>
        <v>308.43688246071395</v>
      </c>
      <c r="T202" s="62">
        <f t="shared" si="204"/>
        <v>302.54354650449721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4.4528923093114248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3.2713249719040685E-20</v>
      </c>
      <c r="AC202" s="24">
        <f t="shared" si="163"/>
        <v>4.4528923093114248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498.99999999999955</v>
      </c>
      <c r="O203" s="14">
        <f>N203*VLOOKUP('Données projet'!$B$9,Paramètres!$A$1:$I$89,3,0)*VLOOKUP('Données projet'!$B$9,Paramètres!$A$1:$I$89,5,0)</f>
        <v>298.40199999999976</v>
      </c>
      <c r="P203" s="14">
        <f t="shared" si="203"/>
        <v>70.841357234689283</v>
      </c>
      <c r="Q203" s="22">
        <f t="shared" si="162"/>
        <v>643.09884718374997</v>
      </c>
      <c r="R203" s="62">
        <f t="shared" si="191"/>
        <v>936.43218051708322</v>
      </c>
      <c r="S203" s="62">
        <f ca="1">AVERAGE(OFFSET($R$3,0,0,'Données projet'!$E$9+1,1))-AVERAGE(OFFSET($H$3,0,0,'Données projet'!$E$9+1,1))</f>
        <v>308.43688246071395</v>
      </c>
      <c r="T203" s="62">
        <f t="shared" si="204"/>
        <v>302.54354650449721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4.3655738071219536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2.3131760710982589E-20</v>
      </c>
      <c r="AC203" s="24">
        <f t="shared" si="163"/>
        <v>4.3655738071219536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1.3134156586844881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4.7</v>
      </c>
      <c r="C6" s="156">
        <f ca="1">IF(OR('Données projet'!B9="",'Données projet'!C9="",'Données projet'!C9=0%),0,Calculateur!S3)</f>
        <v>308.43688246071395</v>
      </c>
      <c r="D6" s="156">
        <f>IF(OR('Données projet'!B9="",'Données projet'!C9="",'Données projet'!C9=0%),0,Calculateur!T3)</f>
        <v>302.54354650449721</v>
      </c>
      <c r="E6" s="156">
        <f ca="1">MIN(C6,D6)</f>
        <v>302.54354650449721</v>
      </c>
      <c r="F6" s="156">
        <f ca="1">E6*B6</f>
        <v>1421.9546685711371</v>
      </c>
      <c r="G6" s="156">
        <f ca="1">F6*(100%-'Données projet'!$C$24)*(100%-'Données projet'!$C$25)*(100%-'Données projet'!$C$26)*(100%-'Données projet'!$C$27)</f>
        <v>1087.79532145692</v>
      </c>
      <c r="H6" s="157">
        <f>IF(OR('Données projet'!B9="",'Données projet'!C9="",'Données projet'!C9=0%),0,AVERAGE(Calculateur!$AC$3:$AC$33)*B6)</f>
        <v>25.91070925500798</v>
      </c>
      <c r="I6" s="158">
        <f>H6*(100%-'Données projet'!$C$24)*(100%-'Données projet'!$C$25)*(100%-'Données projet'!$C$26)*(100%-'Données projet'!$C$27)</f>
        <v>19.821692580081105</v>
      </c>
      <c r="J6" s="159">
        <f>IF(OR('Données projet'!B9="",'Données projet'!C9="",'Données projet'!C9=0%),0,SUM(Calculateur!$V$3:$V$33)*VLOOKUP('Données projet'!$B$9,Paramètres!$A$1:$I$89,9,0)*B6)</f>
        <v>242.52</v>
      </c>
      <c r="K6" s="160">
        <f>J6*(100%-'Données projet'!$C$24)*(100%-'Données projet'!$C$25)*(100%-'Données projet'!$C$26)*(100%-'Données projet'!$C$27)</f>
        <v>185.52779999999998</v>
      </c>
      <c r="L6" s="161">
        <f ca="1">G6+I6+K6</f>
        <v>1293.1448140370012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1421.9546685711371</v>
      </c>
      <c r="G16" s="175">
        <f t="shared" ca="1" si="3"/>
        <v>1087.79532145692</v>
      </c>
      <c r="H16" s="176">
        <f t="shared" si="3"/>
        <v>25.91070925500798</v>
      </c>
      <c r="I16" s="176">
        <f t="shared" si="3"/>
        <v>19.821692580081105</v>
      </c>
      <c r="J16" s="177">
        <f t="shared" si="3"/>
        <v>242.52</v>
      </c>
      <c r="K16" s="177">
        <f t="shared" si="3"/>
        <v>185.52779999999998</v>
      </c>
      <c r="L16" s="178">
        <f t="shared" ca="1" si="3"/>
        <v>1293.1448140370012</v>
      </c>
      <c r="M16" s="25">
        <f ca="1">(L16/B6)</f>
        <v>275.1371944759577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P12" sqref="P11:P1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1386.6922774561988</v>
      </c>
      <c r="U10" s="190">
        <f>'Données projet'!D9</f>
        <v>4.7</v>
      </c>
      <c r="V10" s="189">
        <f>U10*T10</f>
        <v>6517.4537040441346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1100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670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120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15</v>
      </c>
      <c r="C23" s="206">
        <v>5</v>
      </c>
      <c r="D23" s="194">
        <f>B23*C23</f>
        <v>75</v>
      </c>
      <c r="E23" s="206"/>
      <c r="F23" s="261"/>
      <c r="H23" s="203">
        <v>4</v>
      </c>
      <c r="I23" s="204">
        <v>370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-4397.4937702165398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15</v>
      </c>
      <c r="C24" s="206">
        <v>7</v>
      </c>
      <c r="D24" s="194">
        <f t="shared" ref="D24:D42" si="2">B24*C24</f>
        <v>105</v>
      </c>
      <c r="E24" s="206"/>
      <c r="F24" s="264"/>
      <c r="H24" s="203">
        <v>5</v>
      </c>
      <c r="I24" s="204">
        <v>300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36</v>
      </c>
      <c r="C25" s="206">
        <v>12</v>
      </c>
      <c r="D25" s="194">
        <f t="shared" si="2"/>
        <v>432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-4397.4937702165398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54</v>
      </c>
      <c r="C26" s="206">
        <v>15</v>
      </c>
      <c r="D26" s="194">
        <f t="shared" si="2"/>
        <v>810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52</v>
      </c>
      <c r="C27" s="206">
        <v>17</v>
      </c>
      <c r="D27" s="194">
        <f t="shared" si="2"/>
        <v>884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48</v>
      </c>
      <c r="C28" s="206">
        <v>20</v>
      </c>
      <c r="D28" s="194">
        <f t="shared" si="2"/>
        <v>960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57</v>
      </c>
      <c r="C29" s="206">
        <v>23</v>
      </c>
      <c r="D29" s="194">
        <f t="shared" si="2"/>
        <v>1311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47</v>
      </c>
      <c r="C30" s="206">
        <v>27</v>
      </c>
      <c r="D30" s="194">
        <f t="shared" si="2"/>
        <v>1269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48</v>
      </c>
      <c r="C31" s="206">
        <v>30</v>
      </c>
      <c r="D31" s="194">
        <f t="shared" si="2"/>
        <v>1440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32</v>
      </c>
      <c r="C32" s="206">
        <v>35</v>
      </c>
      <c r="D32" s="194">
        <f t="shared" si="2"/>
        <v>1120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28</v>
      </c>
      <c r="C33" s="206">
        <v>40</v>
      </c>
      <c r="D33" s="194">
        <f t="shared" si="2"/>
        <v>1120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2023-03-13T09:51:56Z</dcterms:modified>
</cp:coreProperties>
</file>