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7-CASTETS&amp;CASTILLON-COURREGES\Dossier final\"/>
    </mc:Choice>
  </mc:AlternateContent>
  <xr:revisionPtr revIDLastSave="0" documentId="13_ncr:1_{829D5635-BB52-45A8-BA14-98F6A8AB9579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<sst xmlns="http://schemas.openxmlformats.org/spreadsheetml/2006/main" count="1170" uniqueCount="324">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</sst>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1.9178671373903791</c:v>
                </c:pt>
                <c:pt idx="2">
                  <c:v>2.4732884565456232</c:v>
                </c:pt>
                <c:pt idx="3">
                  <c:v>3.1902138925406138</c:v>
                </c:pt>
                <c:pt idx="4">
                  <c:v>4.1157842055560421</c:v>
                </c:pt>
                <c:pt idx="5">
                  <c:v>5.3109487965704973</c:v>
                </c:pt>
                <c:pt idx="6">
                  <c:v>6.8545239061439167</c:v>
                </c:pt>
                <c:pt idx="7">
                  <c:v>8.8484470855401227</c:v>
                </c:pt>
                <c:pt idx="8">
                  <c:v>11.424581554016328</c:v>
                </c:pt>
                <c:pt idx="9">
                  <c:v>14.753528846719858</c:v>
                </c:pt>
                <c:pt idx="10">
                  <c:v>19.056044072988296</c:v>
                </c:pt>
                <c:pt idx="11">
                  <c:v>24.617824408585108</c:v>
                </c:pt>
                <c:pt idx="12">
                  <c:v>31.808670163373048</c:v>
                </c:pt>
                <c:pt idx="13">
                  <c:v>41.107314511198147</c:v>
                </c:pt>
                <c:pt idx="14">
                  <c:v>53.133603013361288</c:v>
                </c:pt>
                <c:pt idx="15">
                  <c:v>68.690203734419484</c:v>
                </c:pt>
                <c:pt idx="16">
                  <c:v>88.816677223166849</c:v>
                </c:pt>
                <c:pt idx="17">
                  <c:v>114.85957730780615</c:v>
                </c:pt>
                <c:pt idx="18">
                  <c:v>148.56334619389978</c:v>
                </c:pt>
                <c:pt idx="19">
                  <c:v>192.18818565384095</c:v>
                </c:pt>
                <c:pt idx="20">
                  <c:v>248.66292744936672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G22" sqref="G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2.95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2.95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197</v>
      </c>
      <c r="C36" s="63">
        <v>1</v>
      </c>
      <c r="D36" s="63">
        <v>200</v>
      </c>
      <c r="E36" s="54">
        <v>0.7</v>
      </c>
      <c r="F36" s="54"/>
      <c r="G36" s="54">
        <v>0.3</v>
      </c>
      <c r="H36" s="54"/>
      <c r="I36" s="52">
        <f>IFERROR(B36/A36,"")</f>
        <v>9.85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60.096061837062251</v>
      </c>
      <c r="T3" s="62">
        <f>IF('Données projet'!E9&gt;30,$R$33-$H$33,LOOKUP('Données projet'!$E$9,$A$3:$A$203,R3:R203)-LOOKUP('Données projet'!$E$9,$A$3:$A$203,$H$3:$H$203))</f>
        <v>281.84429700292912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9.85</v>
      </c>
      <c r="N4" s="14">
        <f>IF('Données projet'!$A$36&gt;35,N3+M4-V3,IF(A4&lt;'Données projet'!$A$36,$K$205^A4,IF(A4='Données projet'!$A$36,'Données projet'!$B$36,N3+M4-V3)))</f>
        <v>1.3023367962840438</v>
      </c>
      <c r="O4" s="14">
        <f>N4*VLOOKUP('Données projet'!$B$9,Paramètres!$A$1:$I$89,3,0)*VLOOKUP('Données projet'!$B$9,Paramètres!$A$1:$I$89,5,0)</f>
        <v>0.74561386260854079</v>
      </c>
      <c r="P4" s="14">
        <f>EXP(-1.0587+0.8836*LN(O4)+0.284)</f>
        <v>0.35555387177827957</v>
      </c>
      <c r="Q4" s="22">
        <f t="shared" ref="Q4:Q34" si="2">(O4+P4)*0.475*44/12</f>
        <v>1.9178671373903791</v>
      </c>
      <c r="R4" s="62">
        <f t="shared" si="0"/>
        <v>169.73030109031421</v>
      </c>
      <c r="S4" s="62">
        <f ca="1">AVERAGE(OFFSET($R$3,0,0,'Données projet'!$E$9+1,1))-AVERAGE(OFFSET($H$3,0,0,'Données projet'!$E$9+1,1))</f>
        <v>60.096061837062251</v>
      </c>
      <c r="T4" s="62">
        <f>$T$3</f>
        <v>281.84429700292912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9.85</v>
      </c>
      <c r="N5" s="14">
        <f>IF('Données projet'!$A$36&gt;35,N4+M5-V4,IF(A5&lt;'Données projet'!$A$36,$K$205^A5,IF(A5='Données projet'!$A$36,'Données projet'!$B$36,N4+M5-V4)))</f>
        <v>1.6960811309553869</v>
      </c>
      <c r="O5" s="14">
        <f>N5*VLOOKUP('Données projet'!$B$9,Paramètres!$A$1:$I$89,3,0)*VLOOKUP('Données projet'!$B$9,Paramètres!$A$1:$I$89,5,0)</f>
        <v>0.97104036909457803</v>
      </c>
      <c r="P5" s="14">
        <f t="shared" ref="P5:P68" si="33">EXP(-1.0587+0.8836*LN(O5)+0.284)</f>
        <v>0.44902955810865075</v>
      </c>
      <c r="Q5" s="22">
        <f t="shared" si="2"/>
        <v>2.4732884565456232</v>
      </c>
      <c r="R5" s="62">
        <f t="shared" si="0"/>
        <v>173.07056974404645</v>
      </c>
      <c r="S5" s="62">
        <f ca="1">AVERAGE(OFFSET($R$3,0,0,'Données projet'!$E$9+1,1))-AVERAGE(OFFSET($H$3,0,0,'Données projet'!$E$9+1,1))</f>
        <v>60.096061837062251</v>
      </c>
      <c r="T5" s="62">
        <f t="shared" ref="T5:T68" si="34">$T$3</f>
        <v>281.84429700292912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9.85</v>
      </c>
      <c r="N6" s="14">
        <f>IF('Données projet'!$A$36&gt;35,N5+M6-V5,IF(A6&lt;'Données projet'!$A$36,$K$205^A6,IF(A6='Données projet'!$A$36,'Données projet'!$B$36,N5+M6-V5)))</f>
        <v>2.2088688663262563</v>
      </c>
      <c r="O6" s="14">
        <f>N6*VLOOKUP('Données projet'!$B$9,Paramètres!$A$1:$I$89,3,0)*VLOOKUP('Données projet'!$B$9,Paramètres!$A$1:$I$89,5,0)</f>
        <v>1.2646216033491082</v>
      </c>
      <c r="P6" s="14">
        <f t="shared" si="33"/>
        <v>0.56708015313354088</v>
      </c>
      <c r="Q6" s="22">
        <f t="shared" si="2"/>
        <v>3.1902138925406138</v>
      </c>
      <c r="R6" s="62">
        <f t="shared" si="0"/>
        <v>176.5452344624255</v>
      </c>
      <c r="S6" s="62">
        <f ca="1">AVERAGE(OFFSET($R$3,0,0,'Données projet'!$E$9+1,1))-AVERAGE(OFFSET($H$3,0,0,'Données projet'!$E$9+1,1))</f>
        <v>60.096061837062251</v>
      </c>
      <c r="T6" s="62">
        <f t="shared" si="34"/>
        <v>281.84429700292912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9.85</v>
      </c>
      <c r="N7" s="14">
        <f>IF('Données projet'!$A$36&gt;35,N6+M7-V6,IF(A7&lt;'Données projet'!$A$36,$K$205^A7,IF(A7='Données projet'!$A$36,'Données projet'!$B$36,N6+M7-V6)))</f>
        <v>2.8766912027829044</v>
      </c>
      <c r="O7" s="14">
        <f>N7*VLOOKUP('Données projet'!$B$9,Paramètres!$A$1:$I$89,3,0)*VLOOKUP('Données projet'!$B$9,Paramètres!$A$1:$I$89,5,0)</f>
        <v>1.6469632474172684</v>
      </c>
      <c r="P7" s="14">
        <f t="shared" si="33"/>
        <v>0.71616643998332996</v>
      </c>
      <c r="Q7" s="22">
        <f t="shared" si="2"/>
        <v>4.1157842055560421</v>
      </c>
      <c r="R7" s="62">
        <f t="shared" si="0"/>
        <v>180.201906269733</v>
      </c>
      <c r="S7" s="62">
        <f ca="1">AVERAGE(OFFSET($R$3,0,0,'Données projet'!$E$9+1,1))-AVERAGE(OFFSET($H$3,0,0,'Données projet'!$E$9+1,1))</f>
        <v>60.096061837062251</v>
      </c>
      <c r="T7" s="62">
        <f t="shared" si="34"/>
        <v>281.84429700292912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9.85</v>
      </c>
      <c r="N8" s="14">
        <f>IF('Données projet'!$A$36&gt;35,N7+M8-V7,IF(A8&lt;'Données projet'!$A$36,$K$205^A8,IF(A8='Données projet'!$A$36,'Données projet'!$B$36,N7+M8-V7)))</f>
        <v>3.7464208049307799</v>
      </c>
      <c r="O8" s="14">
        <f>N8*VLOOKUP('Données projet'!$B$9,Paramètres!$A$1:$I$89,3,0)*VLOOKUP('Données projet'!$B$9,Paramètres!$A$1:$I$89,5,0)</f>
        <v>2.1449008392389701</v>
      </c>
      <c r="P8" s="14">
        <f t="shared" si="33"/>
        <v>0.90444775209337269</v>
      </c>
      <c r="Q8" s="22">
        <f t="shared" si="2"/>
        <v>5.3109487965704973</v>
      </c>
      <c r="R8" s="62">
        <f t="shared" si="0"/>
        <v>184.10199667301785</v>
      </c>
      <c r="S8" s="62">
        <f ca="1">AVERAGE(OFFSET($R$3,0,0,'Données projet'!$E$9+1,1))-AVERAGE(OFFSET($H$3,0,0,'Données projet'!$E$9+1,1))</f>
        <v>60.096061837062251</v>
      </c>
      <c r="T8" s="62">
        <f t="shared" si="34"/>
        <v>281.84429700292912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9.85</v>
      </c>
      <c r="N9" s="14">
        <f>IF('Données projet'!$A$36&gt;35,N8+M9-V8,IF(A9&lt;'Données projet'!$A$36,$K$205^A9,IF(A9='Données projet'!$A$36,'Données projet'!$B$36,N8+M9-V8)))</f>
        <v>4.8791016686254407</v>
      </c>
      <c r="O9" s="14">
        <f>N9*VLOOKUP('Données projet'!$B$9,Paramètres!$A$1:$I$89,3,0)*VLOOKUP('Données projet'!$B$9,Paramètres!$A$1:$I$89,5,0)</f>
        <v>2.7933832873214373</v>
      </c>
      <c r="P9" s="14">
        <f t="shared" si="33"/>
        <v>1.1422285248186104</v>
      </c>
      <c r="Q9" s="22">
        <f t="shared" si="2"/>
        <v>6.8545239061439167</v>
      </c>
      <c r="R9" s="62">
        <f t="shared" si="0"/>
        <v>188.3247760024029</v>
      </c>
      <c r="S9" s="62">
        <f ca="1">AVERAGE(OFFSET($R$3,0,0,'Données projet'!$E$9+1,1))-AVERAGE(OFFSET($H$3,0,0,'Données projet'!$E$9+1,1))</f>
        <v>60.096061837062251</v>
      </c>
      <c r="T9" s="62">
        <f t="shared" si="34"/>
        <v>281.84429700292912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9.85</v>
      </c>
      <c r="N10" s="14">
        <f>IF('Données projet'!$A$36&gt;35,N9+M10-V9,IF(A10&lt;'Données projet'!$A$36,$K$205^A10,IF(A10='Données projet'!$A$36,'Données projet'!$B$36,N9+M10-V9)))</f>
        <v>6.3542336358617888</v>
      </c>
      <c r="O10" s="14">
        <f>N10*VLOOKUP('Données projet'!$B$9,Paramètres!$A$1:$I$89,3,0)*VLOOKUP('Données projet'!$B$9,Paramètres!$A$1:$I$89,5,0)</f>
        <v>3.6379258412035913</v>
      </c>
      <c r="P10" s="14">
        <f t="shared" si="33"/>
        <v>1.4425222461878668</v>
      </c>
      <c r="Q10" s="22">
        <f t="shared" si="2"/>
        <v>8.8484470855401227</v>
      </c>
      <c r="R10" s="62">
        <f t="shared" si="0"/>
        <v>192.97262802127636</v>
      </c>
      <c r="S10" s="62">
        <f ca="1">AVERAGE(OFFSET($R$3,0,0,'Données projet'!$E$9+1,1))-AVERAGE(OFFSET($H$3,0,0,'Données projet'!$E$9+1,1))</f>
        <v>60.096061837062251</v>
      </c>
      <c r="T10" s="62">
        <f t="shared" si="34"/>
        <v>281.84429700292912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9.85</v>
      </c>
      <c r="N11" s="14">
        <f>IF('Données projet'!$A$36&gt;35,N10+M11-V10,IF(A11&lt;'Données projet'!$A$36,$K$205^A11,IF(A11='Données projet'!$A$36,'Données projet'!$B$36,N10+M11-V10)))</f>
        <v>8.2753522761685527</v>
      </c>
      <c r="O11" s="14">
        <f>N11*VLOOKUP('Données projet'!$B$9,Paramètres!$A$1:$I$89,3,0)*VLOOKUP('Données projet'!$B$9,Paramètres!$A$1:$I$89,5,0)</f>
        <v>4.7378046851520201</v>
      </c>
      <c r="P11" s="14">
        <f t="shared" si="33"/>
        <v>1.8217636712209913</v>
      </c>
      <c r="Q11" s="22">
        <f t="shared" si="2"/>
        <v>11.424581554016328</v>
      </c>
      <c r="R11" s="62">
        <f t="shared" si="0"/>
        <v>198.17785442023688</v>
      </c>
      <c r="S11" s="62">
        <f ca="1">AVERAGE(OFFSET($R$3,0,0,'Données projet'!$E$9+1,1))-AVERAGE(OFFSET($H$3,0,0,'Données projet'!$E$9+1,1))</f>
        <v>60.096061837062251</v>
      </c>
      <c r="T11" s="62">
        <f t="shared" si="34"/>
        <v>281.84429700292912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9.85</v>
      </c>
      <c r="N12" s="14">
        <f>IF('Données projet'!$A$36&gt;35,N11+M12-V11,IF(A12&lt;'Données projet'!$A$36,$K$205^A12,IF(A12='Données projet'!$A$36,'Données projet'!$B$36,N11+M12-V11)))</f>
        <v>10.777295771467223</v>
      </c>
      <c r="O12" s="14">
        <f>N12*VLOOKUP('Données projet'!$B$9,Paramètres!$A$1:$I$89,3,0)*VLOOKUP('Données projet'!$B$9,Paramètres!$A$1:$I$89,5,0)</f>
        <v>6.1702173750804148</v>
      </c>
      <c r="P12" s="14">
        <f t="shared" si="33"/>
        <v>2.300708278538643</v>
      </c>
      <c r="Q12" s="22">
        <f t="shared" si="2"/>
        <v>14.753528846719858</v>
      </c>
      <c r="R12" s="62">
        <f t="shared" si="0"/>
        <v>204.11148759927593</v>
      </c>
      <c r="S12" s="62">
        <f ca="1">AVERAGE(OFFSET($R$3,0,0,'Données projet'!$E$9+1,1))-AVERAGE(OFFSET($H$3,0,0,'Données projet'!$E$9+1,1))</f>
        <v>60.096061837062251</v>
      </c>
      <c r="T12" s="62">
        <f t="shared" si="34"/>
        <v>281.84429700292912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9.85</v>
      </c>
      <c r="N13" s="14">
        <f>IF('Données projet'!$A$36&gt;35,N12+M13-V12,IF(A13&lt;'Données projet'!$A$36,$K$205^A13,IF(A13='Données projet'!$A$36,'Données projet'!$B$36,N12+M13-V12)))</f>
        <v>14.035668847618194</v>
      </c>
      <c r="O13" s="14">
        <f>N13*VLOOKUP('Données projet'!$B$9,Paramètres!$A$1:$I$89,3,0)*VLOOKUP('Données projet'!$B$9,Paramètres!$A$1:$I$89,5,0)</f>
        <v>8.0357011286383671</v>
      </c>
      <c r="P13" s="14">
        <f t="shared" si="33"/>
        <v>2.9055681955654382</v>
      </c>
      <c r="Q13" s="22">
        <f t="shared" si="2"/>
        <v>19.056044072988296</v>
      </c>
      <c r="R13" s="62">
        <f t="shared" si="0"/>
        <v>210.99470605803319</v>
      </c>
      <c r="S13" s="62">
        <f ca="1">AVERAGE(OFFSET($R$3,0,0,'Données projet'!$E$9+1,1))-AVERAGE(OFFSET($H$3,0,0,'Données projet'!$E$9+1,1))</f>
        <v>60.096061837062251</v>
      </c>
      <c r="T13" s="62">
        <f t="shared" si="34"/>
        <v>281.84429700292912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9.85</v>
      </c>
      <c r="N14" s="14">
        <f>IF('Données projet'!$A$36&gt;35,N13+M14-V13,IF(A14&lt;'Données projet'!$A$36,$K$205^A14,IF(A14='Données projet'!$A$36,'Données projet'!$B$36,N13+M14-V13)))</f>
        <v>18.279168000710836</v>
      </c>
      <c r="O14" s="14">
        <f>N14*VLOOKUP('Données projet'!$B$9,Paramètres!$A$1:$I$89,3,0)*VLOOKUP('Données projet'!$B$9,Paramètres!$A$1:$I$89,5,0)</f>
        <v>10.465189263766968</v>
      </c>
      <c r="P14" s="14">
        <f t="shared" si="33"/>
        <v>3.6694467603010383</v>
      </c>
      <c r="Q14" s="22">
        <f t="shared" si="2"/>
        <v>24.617824408585108</v>
      </c>
      <c r="R14" s="62">
        <f t="shared" si="0"/>
        <v>219.11362301769924</v>
      </c>
      <c r="S14" s="62">
        <f ca="1">AVERAGE(OFFSET($R$3,0,0,'Données projet'!$E$9+1,1))-AVERAGE(OFFSET($H$3,0,0,'Données projet'!$E$9+1,1))</f>
        <v>60.096061837062251</v>
      </c>
      <c r="T14" s="62">
        <f t="shared" si="34"/>
        <v>281.84429700292912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9.85</v>
      </c>
      <c r="N15" s="14">
        <f>IF('Données projet'!$A$36&gt;35,N14+M15-V14,IF(A15&lt;'Données projet'!$A$36,$K$205^A15,IF(A15='Données projet'!$A$36,'Données projet'!$B$36,N14+M15-V14)))</f>
        <v>23.805633092783559</v>
      </c>
      <c r="O15" s="14">
        <f>N15*VLOOKUP('Données projet'!$B$9,Paramètres!$A$1:$I$89,3,0)*VLOOKUP('Données projet'!$B$9,Paramètres!$A$1:$I$89,5,0)</f>
        <v>13.629201058280444</v>
      </c>
      <c r="P15" s="14">
        <f t="shared" si="33"/>
        <v>4.6341502316945142</v>
      </c>
      <c r="Q15" s="22">
        <f t="shared" si="2"/>
        <v>31.808670163373048</v>
      </c>
      <c r="R15" s="62">
        <f t="shared" si="0"/>
        <v>228.83844761610592</v>
      </c>
      <c r="S15" s="62">
        <f ca="1">AVERAGE(OFFSET($R$3,0,0,'Données projet'!$E$9+1,1))-AVERAGE(OFFSET($H$3,0,0,'Données projet'!$E$9+1,1))</f>
        <v>60.096061837062251</v>
      </c>
      <c r="T15" s="62">
        <f t="shared" si="34"/>
        <v>281.84429700292912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9.85</v>
      </c>
      <c r="N16" s="14">
        <f>IF('Données projet'!$A$36&gt;35,N15+M16-V15,IF(A16&lt;'Données projet'!$A$36,$K$205^A16,IF(A16='Données projet'!$A$36,'Données projet'!$B$36,N15+M16-V15)))</f>
        <v>31.002951935569151</v>
      </c>
      <c r="O16" s="14">
        <f>N16*VLOOKUP('Données projet'!$B$9,Paramètres!$A$1:$I$89,3,0)*VLOOKUP('Données projet'!$B$9,Paramètres!$A$1:$I$89,5,0)</f>
        <v>17.749810042152053</v>
      </c>
      <c r="P16" s="14">
        <f t="shared" si="33"/>
        <v>5.8524758015980813</v>
      </c>
      <c r="Q16" s="22">
        <f t="shared" si="2"/>
        <v>41.107314511198147</v>
      </c>
      <c r="R16" s="62">
        <f t="shared" si="0"/>
        <v>240.64831476281697</v>
      </c>
      <c r="S16" s="62">
        <f ca="1">AVERAGE(OFFSET($R$3,0,0,'Données projet'!$E$9+1,1))-AVERAGE(OFFSET($H$3,0,0,'Données projet'!$E$9+1,1))</f>
        <v>60.096061837062251</v>
      </c>
      <c r="T16" s="62">
        <f t="shared" si="34"/>
        <v>281.84429700292912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9.85</v>
      </c>
      <c r="N17" s="14">
        <f>IF('Données projet'!$A$36&gt;35,N16+M17-V16,IF(A17&lt;'Données projet'!$A$36,$K$205^A17,IF(A17='Données projet'!$A$36,'Données projet'!$B$36,N16+M17-V16)))</f>
        <v>40.376285099117325</v>
      </c>
      <c r="O17" s="14">
        <f>N17*VLOOKUP('Données projet'!$B$9,Paramètres!$A$1:$I$89,3,0)*VLOOKUP('Données projet'!$B$9,Paramètres!$A$1:$I$89,5,0)</f>
        <v>23.116230744946652</v>
      </c>
      <c r="P17" s="14">
        <f t="shared" si="33"/>
        <v>7.3911011287536068</v>
      </c>
      <c r="Q17" s="22">
        <f t="shared" si="2"/>
        <v>53.133603013361288</v>
      </c>
      <c r="R17" s="62">
        <f t="shared" si="0"/>
        <v>255.16346478563449</v>
      </c>
      <c r="S17" s="62">
        <f ca="1">AVERAGE(OFFSET($R$3,0,0,'Données projet'!$E$9+1,1))-AVERAGE(OFFSET($H$3,0,0,'Données projet'!$E$9+1,1))</f>
        <v>60.096061837062251</v>
      </c>
      <c r="T17" s="62">
        <f t="shared" si="34"/>
        <v>281.84429700292912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9.85</v>
      </c>
      <c r="N18" s="14">
        <f>IF('Données projet'!$A$36&gt;35,N17+M18-V17,IF(A18&lt;'Données projet'!$A$36,$K$205^A18,IF(A18='Données projet'!$A$36,'Données projet'!$B$36,N17+M18-V17)))</f>
        <v>52.583521781835636</v>
      </c>
      <c r="O18" s="14">
        <f>N18*VLOOKUP('Données projet'!$B$9,Paramètres!$A$1:$I$89,3,0)*VLOOKUP('Données projet'!$B$9,Paramètres!$A$1:$I$89,5,0)</f>
        <v>30.105117890536537</v>
      </c>
      <c r="P18" s="14">
        <f t="shared" si="33"/>
        <v>9.3342335359244064</v>
      </c>
      <c r="Q18" s="22">
        <f t="shared" si="2"/>
        <v>68.690203734419484</v>
      </c>
      <c r="R18" s="62">
        <f t="shared" si="0"/>
        <v>273.18695366730054</v>
      </c>
      <c r="S18" s="62">
        <f ca="1">AVERAGE(OFFSET($R$3,0,0,'Données projet'!$E$9+1,1))-AVERAGE(OFFSET($H$3,0,0,'Données projet'!$E$9+1,1))</f>
        <v>60.096061837062251</v>
      </c>
      <c r="T18" s="62">
        <f t="shared" si="34"/>
        <v>281.84429700292912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9.85</v>
      </c>
      <c r="N19" s="14">
        <f>IF('Données projet'!$A$36&gt;35,N18+M19-V18,IF(A19&lt;'Données projet'!$A$36,$K$205^A19,IF(A19='Données projet'!$A$36,'Données projet'!$B$36,N18+M19-V18)))</f>
        <v>68.481455294688047</v>
      </c>
      <c r="O19" s="14">
        <f>N19*VLOOKUP('Données projet'!$B$9,Paramètres!$A$1:$I$89,3,0)*VLOOKUP('Données projet'!$B$9,Paramètres!$A$1:$I$89,5,0)</f>
        <v>39.207002785314799</v>
      </c>
      <c r="P19" s="14">
        <f t="shared" si="33"/>
        <v>11.788218586838429</v>
      </c>
      <c r="Q19" s="22">
        <f t="shared" si="2"/>
        <v>88.816677223166849</v>
      </c>
      <c r="R19" s="62">
        <f t="shared" si="0"/>
        <v>295.7587231452809</v>
      </c>
      <c r="S19" s="62">
        <f ca="1">AVERAGE(OFFSET($R$3,0,0,'Données projet'!$E$9+1,1))-AVERAGE(OFFSET($H$3,0,0,'Données projet'!$E$9+1,1))</f>
        <v>60.096061837062251</v>
      </c>
      <c r="T19" s="62">
        <f t="shared" si="34"/>
        <v>281.84429700292912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9.85</v>
      </c>
      <c r="N20" s="14">
        <f>IF('Données projet'!$A$36&gt;35,N19+M20-V19,IF(A20&lt;'Données projet'!$A$36,$K$205^A20,IF(A20='Données projet'!$A$36,'Données projet'!$B$36,N19+M20-V19)))</f>
        <v>89.185919093352993</v>
      </c>
      <c r="O20" s="14">
        <f>N20*VLOOKUP('Données projet'!$B$9,Paramètres!$A$1:$I$89,3,0)*VLOOKUP('Données projet'!$B$9,Paramètres!$A$1:$I$89,5,0)</f>
        <v>51.060722399326458</v>
      </c>
      <c r="P20" s="14">
        <f t="shared" si="33"/>
        <v>14.887360265442636</v>
      </c>
      <c r="Q20" s="22">
        <f t="shared" si="2"/>
        <v>114.85957730780615</v>
      </c>
      <c r="R20" s="62">
        <f t="shared" si="0"/>
        <v>324.2257016236789</v>
      </c>
      <c r="S20" s="62">
        <f ca="1">AVERAGE(OFFSET($R$3,0,0,'Données projet'!$E$9+1,1))-AVERAGE(OFFSET($H$3,0,0,'Données projet'!$E$9+1,1))</f>
        <v>60.096061837062251</v>
      </c>
      <c r="T20" s="62">
        <f t="shared" si="34"/>
        <v>281.84429700292912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9.85</v>
      </c>
      <c r="N21" s="14">
        <f>IF('Données projet'!$A$36&gt;35,N20+M21-V20,IF(A21&lt;'Données projet'!$A$36,$K$205^A21,IF(A21='Données projet'!$A$36,'Données projet'!$B$36,N20+M21-V20)))</f>
        <v>116.15010414568528</v>
      </c>
      <c r="O21" s="14">
        <f>N21*VLOOKUP('Données projet'!$B$9,Paramètres!$A$1:$I$89,3,0)*VLOOKUP('Données projet'!$B$9,Paramètres!$A$1:$I$89,5,0)</f>
        <v>66.498257625487739</v>
      </c>
      <c r="P21" s="14">
        <f t="shared" si="33"/>
        <v>18.801271289670044</v>
      </c>
      <c r="Q21" s="22">
        <f t="shared" si="2"/>
        <v>148.56334619389978</v>
      </c>
      <c r="R21" s="62">
        <f t="shared" si="0"/>
        <v>360.33269938590286</v>
      </c>
      <c r="S21" s="62">
        <f ca="1">AVERAGE(OFFSET($R$3,0,0,'Données projet'!$E$9+1,1))-AVERAGE(OFFSET($H$3,0,0,'Données projet'!$E$9+1,1))</f>
        <v>60.096061837062251</v>
      </c>
      <c r="T21" s="62">
        <f t="shared" si="34"/>
        <v>281.84429700292912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9.85</v>
      </c>
      <c r="N22" s="14">
        <f>IF('Données projet'!$A$36&gt;35,N21+M22-V21,IF(A22&lt;'Données projet'!$A$36,$K$205^A22,IF(A22='Données projet'!$A$36,'Données projet'!$B$36,N21+M22-V21)))</f>
        <v>151.2665545211498</v>
      </c>
      <c r="O22" s="14">
        <f>N22*VLOOKUP('Données projet'!$B$9,Paramètres!$A$1:$I$89,3,0)*VLOOKUP('Données projet'!$B$9,Paramètres!$A$1:$I$89,5,0)</f>
        <v>86.603127794448682</v>
      </c>
      <c r="P22" s="14">
        <f t="shared" si="33"/>
        <v>23.744155834550906</v>
      </c>
      <c r="Q22" s="22">
        <f t="shared" si="2"/>
        <v>192.18818565384095</v>
      </c>
      <c r="R22" s="62">
        <f t="shared" si="0"/>
        <v>406.34027989686444</v>
      </c>
      <c r="S22" s="62">
        <f ca="1">AVERAGE(OFFSET($R$3,0,0,'Données projet'!$E$9+1,1))-AVERAGE(OFFSET($H$3,0,0,'Données projet'!$E$9+1,1))</f>
        <v>60.096061837062251</v>
      </c>
      <c r="T22" s="62">
        <f t="shared" si="34"/>
        <v>281.84429700292912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197</v>
      </c>
      <c r="L23" s="13">
        <f>VLOOKUP(A23,'Données projet'!$A$35:$I$55,9,0)</f>
        <v>9.85</v>
      </c>
      <c r="M23" s="13">
        <f t="array" ref="M23">INDEX(L:L,MIN(IF(ISNUMBER(L23:L219),ROW(L23:L219),"")))</f>
        <v>9.85</v>
      </c>
      <c r="N23" s="14">
        <f>IF('Données projet'!$A$36&gt;35,N22+M23-V22,IF(A23&lt;'Données projet'!$A$36,$K$205^A23,IF(A23='Données projet'!$A$36,'Données projet'!$B$36,N22+M23-V22)))</f>
        <v>197</v>
      </c>
      <c r="O23" s="14">
        <f>N23*VLOOKUP('Données projet'!$B$9,Paramètres!$A$1:$I$89,3,0)*VLOOKUP('Données projet'!$B$9,Paramètres!$A$1:$I$89,5,0)</f>
        <v>112.78644</v>
      </c>
      <c r="P23" s="14">
        <f t="shared" si="33"/>
        <v>29.986532698200982</v>
      </c>
      <c r="Q23" s="22">
        <f t="shared" si="2"/>
        <v>248.66292744936672</v>
      </c>
      <c r="R23" s="62">
        <f t="shared" si="0"/>
        <v>465.17763033626244</v>
      </c>
      <c r="S23" s="62">
        <f ca="1">AVERAGE(OFFSET($R$3,0,0,'Données projet'!$E$9+1,1))-AVERAGE(OFFSET($H$3,0,0,'Données projet'!$E$9+1,1))</f>
        <v>60.096061837062251</v>
      </c>
      <c r="T23" s="62">
        <f t="shared" si="34"/>
        <v>281.84429700292912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200</v>
      </c>
      <c r="W23" s="17">
        <f>IF(ISNA(VLOOKUP(A23,'Données projet'!$A$35:$I$55,5,0)),0%,VLOOKUP(A23,'Données projet'!$A$35:$I$55,5,0)*VLOOKUP('Données projet'!$B$9,Paramètres!$A$1:$I$89,7,0))</f>
        <v>0.42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0.3</v>
      </c>
      <c r="Z23" s="23">
        <f>EXP(-LN(2)/35)*Z22+(1-EXP(-LN(2)/35))/(LN(2)/35)*V23*W23*VLOOKUP('Données projet'!$B$9,Paramètres!$A$1:$I$89,3,0)*0.475*44/12</f>
        <v>53.163927741977183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32.411281748992607</v>
      </c>
      <c r="AC23" s="24">
        <f t="shared" si="3"/>
        <v>85.575209490969797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-3</v>
      </c>
      <c r="O24" s="14">
        <f>N24*VLOOKUP('Données projet'!$B$9,Paramètres!$A$1:$I$89,3,0)*VLOOKUP('Données projet'!$B$9,Paramètres!$A$1:$I$89,5,0)</f>
        <v>-1.71756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60.096061837062251</v>
      </c>
      <c r="T24" s="62">
        <f t="shared" si="34"/>
        <v>281.84429700292912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52.121415545751056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22.91823711166046</v>
      </c>
      <c r="AC24" s="24">
        <f t="shared" si="3"/>
        <v>75.039652657411523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-3</v>
      </c>
      <c r="O25" s="14">
        <f>N25*VLOOKUP('Données projet'!$B$9,Paramètres!$A$1:$I$89,3,0)*VLOOKUP('Données projet'!$B$9,Paramètres!$A$1:$I$89,5,0)</f>
        <v>-1.71756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60.096061837062251</v>
      </c>
      <c r="T25" s="62">
        <f t="shared" si="34"/>
        <v>281.84429700292912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51.099346377823267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16.205640874496307</v>
      </c>
      <c r="AC25" s="24">
        <f t="shared" si="3"/>
        <v>67.304987252319577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-3</v>
      </c>
      <c r="O26" s="14">
        <f>N26*VLOOKUP('Données projet'!$B$9,Paramètres!$A$1:$I$89,3,0)*VLOOKUP('Données projet'!$B$9,Paramètres!$A$1:$I$89,5,0)</f>
        <v>-1.71756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60.096061837062251</v>
      </c>
      <c r="T26" s="62">
        <f t="shared" si="34"/>
        <v>281.84429700292912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50.097319362877904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11.459118555830232</v>
      </c>
      <c r="AC26" s="24">
        <f t="shared" si="3"/>
        <v>61.556437918708134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-3</v>
      </c>
      <c r="O27" s="14">
        <f>N27*VLOOKUP('Données projet'!$B$9,Paramètres!$A$1:$I$89,3,0)*VLOOKUP('Données projet'!$B$9,Paramètres!$A$1:$I$89,5,0)</f>
        <v>-1.71756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60.096061837062251</v>
      </c>
      <c r="T27" s="62">
        <f t="shared" si="34"/>
        <v>281.84429700292912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49.114941486519491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8.1028204372481554</v>
      </c>
      <c r="AC27" s="24">
        <f t="shared" si="3"/>
        <v>57.217761923767647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-3</v>
      </c>
      <c r="O28" s="14">
        <f>N28*VLOOKUP('Données projet'!$B$9,Paramètres!$A$1:$I$89,3,0)*VLOOKUP('Données projet'!$B$9,Paramètres!$A$1:$I$89,5,0)</f>
        <v>-1.71756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60.096061837062251</v>
      </c>
      <c r="T28" s="62">
        <f t="shared" si="34"/>
        <v>281.84429700292912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48.151827441125128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5.7295592779151168</v>
      </c>
      <c r="AC28" s="24">
        <f t="shared" si="3"/>
        <v>53.881386719040243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-3</v>
      </c>
      <c r="O29" s="14">
        <f>N29*VLOOKUP('Données projet'!$B$9,Paramètres!$A$1:$I$89,3,0)*VLOOKUP('Données projet'!$B$9,Paramètres!$A$1:$I$89,5,0)</f>
        <v>-1.71756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60.096061837062251</v>
      </c>
      <c r="T29" s="62">
        <f t="shared" si="34"/>
        <v>281.84429700292912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47.207599474719387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4.0514102186240777</v>
      </c>
      <c r="AC29" s="24">
        <f t="shared" si="3"/>
        <v>51.259009693343465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-3</v>
      </c>
      <c r="O30" s="14">
        <f>N30*VLOOKUP('Données projet'!$B$9,Paramètres!$A$1:$I$89,3,0)*VLOOKUP('Données projet'!$B$9,Paramètres!$A$1:$I$89,5,0)</f>
        <v>-1.71756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60.096061837062251</v>
      </c>
      <c r="T30" s="62">
        <f t="shared" si="34"/>
        <v>281.84429700292912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46.281887242812672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2.8647796389575584</v>
      </c>
      <c r="AC30" s="24">
        <f t="shared" si="3"/>
        <v>49.14666688177023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-3</v>
      </c>
      <c r="O31" s="14">
        <f>N31*VLOOKUP('Données projet'!$B$9,Paramètres!$A$1:$I$89,3,0)*VLOOKUP('Données projet'!$B$9,Paramètres!$A$1:$I$89,5,0)</f>
        <v>-1.71756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60.096061837062251</v>
      </c>
      <c r="T31" s="62">
        <f t="shared" si="34"/>
        <v>281.84429700292912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45.374327663144939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2.0257051093120388</v>
      </c>
      <c r="AC31" s="24">
        <f t="shared" si="3"/>
        <v>47.400032772456981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-3</v>
      </c>
      <c r="O32" s="14">
        <f>N32*VLOOKUP('Données projet'!$B$9,Paramètres!$A$1:$I$89,3,0)*VLOOKUP('Données projet'!$B$9,Paramètres!$A$1:$I$89,5,0)</f>
        <v>-1.71756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60.096061837062251</v>
      </c>
      <c r="T32" s="62">
        <f t="shared" si="34"/>
        <v>281.84429700292912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44.484564773277803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1.4323898194787792</v>
      </c>
      <c r="AC32" s="24">
        <f t="shared" si="3"/>
        <v>45.916954592756582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-3</v>
      </c>
      <c r="O33" s="14">
        <f>N33*VLOOKUP('Données projet'!$B$9,Paramètres!$A$1:$I$89,3,0)*VLOOKUP('Données projet'!$B$9,Paramètres!$A$1:$I$89,5,0)</f>
        <v>-1.71756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60.096061837062251</v>
      </c>
      <c r="T33" s="62">
        <f t="shared" si="34"/>
        <v>281.84429700292912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43.612249590979182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1.0128525546560194</v>
      </c>
      <c r="AC33" s="24">
        <f t="shared" si="3"/>
        <v>44.625102145635203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-3</v>
      </c>
      <c r="O34" s="14">
        <f>N34*VLOOKUP('Données projet'!$B$9,Paramètres!$A$1:$I$89,3,0)*VLOOKUP('Données projet'!$B$9,Paramètres!$A$1:$I$89,5,0)</f>
        <v>-1.71756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60.096061837062251</v>
      </c>
      <c r="T34" s="62">
        <f t="shared" si="34"/>
        <v>281.84429700292912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42.757039977345713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0.7161949097393896</v>
      </c>
      <c r="AC34" s="24">
        <f t="shared" si="3"/>
        <v>43.473234887085106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-3</v>
      </c>
      <c r="O35" s="14">
        <f>N35*VLOOKUP('Données projet'!$B$9,Paramètres!$A$1:$I$89,3,0)*VLOOKUP('Données projet'!$B$9,Paramètres!$A$1:$I$89,5,0)</f>
        <v>-1.71756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60.096061837062251</v>
      </c>
      <c r="T35" s="62">
        <f t="shared" si="34"/>
        <v>281.84429700292912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41.918600502609237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0.50642627732800971</v>
      </c>
      <c r="AC35" s="24">
        <f t="shared" si="3"/>
        <v>42.425026779937248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-3</v>
      </c>
      <c r="O36" s="14">
        <f>N36*VLOOKUP('Données projet'!$B$9,Paramètres!$A$1:$I$89,3,0)*VLOOKUP('Données projet'!$B$9,Paramètres!$A$1:$I$89,5,0)</f>
        <v>-1.71756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60.096061837062251</v>
      </c>
      <c r="T36" s="62">
        <f t="shared" si="34"/>
        <v>281.84429700292912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41.096602314574767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0.3580974548696948</v>
      </c>
      <c r="AC36" s="24">
        <f t="shared" si="3"/>
        <v>41.45469976944446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-3</v>
      </c>
      <c r="O37" s="14">
        <f>N37*VLOOKUP('Données projet'!$B$9,Paramètres!$A$1:$I$89,3,0)*VLOOKUP('Données projet'!$B$9,Paramètres!$A$1:$I$89,5,0)</f>
        <v>-1.71756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60.096061837062251</v>
      </c>
      <c r="T37" s="62">
        <f t="shared" si="34"/>
        <v>281.84429700292912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40.290723009638263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0.25321313866400486</v>
      </c>
      <c r="AC37" s="24">
        <f t="shared" si="3"/>
        <v>40.543936148302265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-3</v>
      </c>
      <c r="O38" s="14">
        <f>N38*VLOOKUP('Données projet'!$B$9,Paramètres!$A$1:$I$89,3,0)*VLOOKUP('Données projet'!$B$9,Paramètres!$A$1:$I$89,5,0)</f>
        <v>-1.71756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60.096061837062251</v>
      </c>
      <c r="T38" s="62">
        <f t="shared" si="34"/>
        <v>281.84429700292912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39.500646506333723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0.1790487274348474</v>
      </c>
      <c r="AC38" s="24">
        <f t="shared" si="3"/>
        <v>39.67969523376857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-3</v>
      </c>
      <c r="O39" s="14">
        <f>N39*VLOOKUP('Données projet'!$B$9,Paramètres!$A$1:$I$89,3,0)*VLOOKUP('Données projet'!$B$9,Paramètres!$A$1:$I$89,5,0)</f>
        <v>-1.71756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60.096061837062251</v>
      </c>
      <c r="T39" s="62">
        <f t="shared" si="34"/>
        <v>281.84429700292912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38.726062921359897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0.12660656933200243</v>
      </c>
      <c r="AC39" s="24">
        <f t="shared" si="3"/>
        <v>38.852669490691902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-3</v>
      </c>
      <c r="O40" s="14">
        <f>N40*VLOOKUP('Données projet'!$B$9,Paramètres!$A$1:$I$89,3,0)*VLOOKUP('Données projet'!$B$9,Paramètres!$A$1:$I$89,5,0)</f>
        <v>-1.71756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60.096061837062251</v>
      </c>
      <c r="T40" s="62">
        <f t="shared" si="34"/>
        <v>281.84429700292912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37.966668448038078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8.9524363717423699E-2</v>
      </c>
      <c r="AC40" s="24">
        <f t="shared" si="3"/>
        <v>38.056192811755501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-3</v>
      </c>
      <c r="O41" s="14">
        <f>N41*VLOOKUP('Données projet'!$B$9,Paramètres!$A$1:$I$89,3,0)*VLOOKUP('Données projet'!$B$9,Paramètres!$A$1:$I$89,5,0)</f>
        <v>-1.71756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60.096061837062251</v>
      </c>
      <c r="T41" s="62">
        <f t="shared" si="34"/>
        <v>281.84429700292912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37.222165237153206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6.3303284666001214E-2</v>
      </c>
      <c r="AC41" s="24">
        <f t="shared" si="3"/>
        <v>37.285468521819205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-3</v>
      </c>
      <c r="O42" s="14">
        <f>N42*VLOOKUP('Données projet'!$B$9,Paramètres!$A$1:$I$89,3,0)*VLOOKUP('Données projet'!$B$9,Paramètres!$A$1:$I$89,5,0)</f>
        <v>-1.71756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60.096061837062251</v>
      </c>
      <c r="T42" s="62">
        <f t="shared" si="34"/>
        <v>281.84429700292912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36.492261280131665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4.476218185871185E-2</v>
      </c>
      <c r="AC42" s="24">
        <f t="shared" si="3"/>
        <v>36.53702346199038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-3</v>
      </c>
      <c r="O43" s="14">
        <f>N43*VLOOKUP('Données projet'!$B$9,Paramètres!$A$1:$I$89,3,0)*VLOOKUP('Données projet'!$B$9,Paramètres!$A$1:$I$89,5,0)</f>
        <v>-1.71756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60.096061837062251</v>
      </c>
      <c r="T43" s="62">
        <f t="shared" si="34"/>
        <v>281.84429700292912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35.776670294509863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3.1651642333000607E-2</v>
      </c>
      <c r="AC43" s="24">
        <f t="shared" si="3"/>
        <v>35.808321936842866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-3</v>
      </c>
      <c r="O44" s="14">
        <f>N44*VLOOKUP('Données projet'!$B$9,Paramètres!$A$1:$I$89,3,0)*VLOOKUP('Données projet'!$B$9,Paramètres!$A$1:$I$89,5,0)</f>
        <v>-1.71756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60.096061837062251</v>
      </c>
      <c r="T44" s="62">
        <f t="shared" si="34"/>
        <v>281.84429700292912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35.075111611648701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2.2381090929355925E-2</v>
      </c>
      <c r="AC44" s="24">
        <f t="shared" si="3"/>
        <v>35.097492702578059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-3</v>
      </c>
      <c r="O45" s="14">
        <f>N45*VLOOKUP('Données projet'!$B$9,Paramètres!$A$1:$I$89,3,0)*VLOOKUP('Données projet'!$B$9,Paramètres!$A$1:$I$89,5,0)</f>
        <v>-1.71756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60.096061837062251</v>
      </c>
      <c r="T45" s="62">
        <f t="shared" si="34"/>
        <v>281.84429700292912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34.387310066649903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1.5825821166500303E-2</v>
      </c>
      <c r="AC45" s="24">
        <f t="shared" si="3"/>
        <v>34.403135887816404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-3</v>
      </c>
      <c r="O46" s="14">
        <f>N46*VLOOKUP('Données projet'!$B$9,Paramètres!$A$1:$I$89,3,0)*VLOOKUP('Données projet'!$B$9,Paramètres!$A$1:$I$89,5,0)</f>
        <v>-1.71756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60.096061837062251</v>
      </c>
      <c r="T46" s="62">
        <f t="shared" si="34"/>
        <v>281.84429700292912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33.71299589043101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1.1190545464677962E-2</v>
      </c>
      <c r="AC46" s="24">
        <f t="shared" si="3"/>
        <v>33.724186435895689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-3</v>
      </c>
      <c r="O47" s="14">
        <f>N47*VLOOKUP('Données projet'!$B$9,Paramètres!$A$1:$I$89,3,0)*VLOOKUP('Données projet'!$B$9,Paramètres!$A$1:$I$89,5,0)</f>
        <v>-1.71756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60.096061837062251</v>
      </c>
      <c r="T47" s="62">
        <f t="shared" si="34"/>
        <v>281.84429700292912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33.051904603916732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7.9129105832501517E-3</v>
      </c>
      <c r="AC47" s="24">
        <f t="shared" si="3"/>
        <v>33.059817514499983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-3</v>
      </c>
      <c r="O48" s="14">
        <f>N48*VLOOKUP('Données projet'!$B$9,Paramètres!$A$1:$I$89,3,0)*VLOOKUP('Données projet'!$B$9,Paramètres!$A$1:$I$89,5,0)</f>
        <v>-1.71756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60.096061837062251</v>
      </c>
      <c r="T48" s="62">
        <f t="shared" si="34"/>
        <v>281.84429700292912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32.403776914305134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5.5952727323389812E-3</v>
      </c>
      <c r="AC48" s="24">
        <f t="shared" si="3"/>
        <v>32.409372187037469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-3</v>
      </c>
      <c r="O49" s="14">
        <f>N49*VLOOKUP('Données projet'!$B$9,Paramètres!$A$1:$I$89,3,0)*VLOOKUP('Données projet'!$B$9,Paramètres!$A$1:$I$89,5,0)</f>
        <v>-1.71756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60.096061837062251</v>
      </c>
      <c r="T49" s="62">
        <f t="shared" si="34"/>
        <v>281.84429700292912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31.768358613367958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3.9564552916250759E-3</v>
      </c>
      <c r="AC49" s="24">
        <f t="shared" si="3"/>
        <v>31.772315068659584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-3</v>
      </c>
      <c r="O50" s="14">
        <f>N50*VLOOKUP('Données projet'!$B$9,Paramètres!$A$1:$I$89,3,0)*VLOOKUP('Données projet'!$B$9,Paramètres!$A$1:$I$89,5,0)</f>
        <v>-1.71756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60.096061837062251</v>
      </c>
      <c r="T50" s="62">
        <f t="shared" si="34"/>
        <v>281.84429700292912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31.14540047774527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2.7976363661694906E-3</v>
      </c>
      <c r="AC50" s="24">
        <f t="shared" si="3"/>
        <v>31.148198114111437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-3</v>
      </c>
      <c r="O51" s="14">
        <f>N51*VLOOKUP('Données projet'!$B$9,Paramètres!$A$1:$I$89,3,0)*VLOOKUP('Données projet'!$B$9,Paramètres!$A$1:$I$89,5,0)</f>
        <v>-1.71756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60.096061837062251</v>
      </c>
      <c r="T51" s="62">
        <f t="shared" si="34"/>
        <v>281.84429700292912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30.534658171195197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1.9782276458125379E-3</v>
      </c>
      <c r="AC51" s="24">
        <f t="shared" si="3"/>
        <v>30.536636398841008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-3</v>
      </c>
      <c r="O52" s="14">
        <f>N52*VLOOKUP('Données projet'!$B$9,Paramètres!$A$1:$I$89,3,0)*VLOOKUP('Données projet'!$B$9,Paramètres!$A$1:$I$89,5,0)</f>
        <v>-1.71756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60.096061837062251</v>
      </c>
      <c r="T52" s="62">
        <f t="shared" si="34"/>
        <v>281.84429700292912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29.935892148760548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1.3988181830847453E-3</v>
      </c>
      <c r="AC52" s="24">
        <f t="shared" si="3"/>
        <v>29.937290966943632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-3</v>
      </c>
      <c r="O53" s="14">
        <f>N53*VLOOKUP('Données projet'!$B$9,Paramètres!$A$1:$I$89,3,0)*VLOOKUP('Données projet'!$B$9,Paramètres!$A$1:$I$89,5,0)</f>
        <v>-1.71756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60.096061837062251</v>
      </c>
      <c r="T53" s="62">
        <f t="shared" si="34"/>
        <v>281.84429700292912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29.348867562814629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9.8911382290626897E-4</v>
      </c>
      <c r="AC53" s="24">
        <f t="shared" si="3"/>
        <v>29.349856676637536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-3</v>
      </c>
      <c r="O54" s="14">
        <f>N54*VLOOKUP('Données projet'!$B$9,Paramètres!$A$1:$I$89,3,0)*VLOOKUP('Données projet'!$B$9,Paramètres!$A$1:$I$89,5,0)</f>
        <v>-1.71756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60.096061837062251</v>
      </c>
      <c r="T54" s="62">
        <f t="shared" si="34"/>
        <v>281.84429700292912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28.773354170949467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6.9940909154237265E-4</v>
      </c>
      <c r="AC54" s="24">
        <f t="shared" si="3"/>
        <v>28.774053580041009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-3</v>
      </c>
      <c r="O55" s="14">
        <f>N55*VLOOKUP('Données projet'!$B$9,Paramètres!$A$1:$I$89,3,0)*VLOOKUP('Données projet'!$B$9,Paramètres!$A$1:$I$89,5,0)</f>
        <v>-1.71756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60.096061837062251</v>
      </c>
      <c r="T55" s="62">
        <f t="shared" si="34"/>
        <v>281.84429700292912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28.209126245670273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4.9455691145313448E-4</v>
      </c>
      <c r="AC55" s="24">
        <f t="shared" si="3"/>
        <v>28.209620802581725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-3</v>
      </c>
      <c r="O56" s="14">
        <f>N56*VLOOKUP('Données projet'!$B$9,Paramètres!$A$1:$I$89,3,0)*VLOOKUP('Données projet'!$B$9,Paramètres!$A$1:$I$89,5,0)</f>
        <v>-1.71756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60.096061837062251</v>
      </c>
      <c r="T56" s="62">
        <f t="shared" si="34"/>
        <v>281.84429700292912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27.655962485860751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3.4970454577118633E-4</v>
      </c>
      <c r="AC56" s="24">
        <f t="shared" si="3"/>
        <v>27.656312190406524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-3</v>
      </c>
      <c r="O57" s="14">
        <f>N57*VLOOKUP('Données projet'!$B$9,Paramètres!$A$1:$I$89,3,0)*VLOOKUP('Données projet'!$B$9,Paramètres!$A$1:$I$89,5,0)</f>
        <v>-1.71756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60.096061837062251</v>
      </c>
      <c r="T57" s="62">
        <f t="shared" si="34"/>
        <v>281.84429700292912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27.113645929984514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2.4727845572656724E-4</v>
      </c>
      <c r="AC57" s="24">
        <f t="shared" si="3"/>
        <v>27.113893208440242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-3</v>
      </c>
      <c r="O58" s="14">
        <f>N58*VLOOKUP('Données projet'!$B$9,Paramètres!$A$1:$I$89,3,0)*VLOOKUP('Données projet'!$B$9,Paramètres!$A$1:$I$89,5,0)</f>
        <v>-1.71756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60.096061837062251</v>
      </c>
      <c r="T58" s="62">
        <f t="shared" si="34"/>
        <v>281.84429700292912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26.581963870988574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1.7485227288559316E-4</v>
      </c>
      <c r="AC58" s="24">
        <f t="shared" si="3"/>
        <v>26.582138723261458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-3</v>
      </c>
      <c r="O59" s="14">
        <f>N59*VLOOKUP('Données projet'!$B$9,Paramètres!$A$1:$I$89,3,0)*VLOOKUP('Données projet'!$B$9,Paramètres!$A$1:$I$89,5,0)</f>
        <v>-1.71756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60.096061837062251</v>
      </c>
      <c r="T59" s="62">
        <f t="shared" si="34"/>
        <v>281.84429700292912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26.06070777287551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1.2363922786328362E-4</v>
      </c>
      <c r="AC59" s="24">
        <f t="shared" si="3"/>
        <v>26.060831412103372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-3</v>
      </c>
      <c r="O60" s="14">
        <f>N60*VLOOKUP('Données projet'!$B$9,Paramètres!$A$1:$I$89,3,0)*VLOOKUP('Données projet'!$B$9,Paramètres!$A$1:$I$89,5,0)</f>
        <v>-1.71756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60.096061837062251</v>
      </c>
      <c r="T60" s="62">
        <f t="shared" si="34"/>
        <v>281.84429700292912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25.549673188911616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8.7426136442796582E-5</v>
      </c>
      <c r="AC60" s="24">
        <f t="shared" si="3"/>
        <v>25.549760615048058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-3</v>
      </c>
      <c r="O61" s="14">
        <f>N61*VLOOKUP('Données projet'!$B$9,Paramètres!$A$1:$I$89,3,0)*VLOOKUP('Données projet'!$B$9,Paramètres!$A$1:$I$89,5,0)</f>
        <v>-1.71756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60.096061837062251</v>
      </c>
      <c r="T61" s="62">
        <f t="shared" si="34"/>
        <v>281.84429700292912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25.048659681438934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6.181961393164181E-5</v>
      </c>
      <c r="AC61" s="24">
        <f t="shared" si="3"/>
        <v>25.048721501052867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-3</v>
      </c>
      <c r="O62" s="14">
        <f>N62*VLOOKUP('Données projet'!$B$9,Paramètres!$A$1:$I$89,3,0)*VLOOKUP('Données projet'!$B$9,Paramètres!$A$1:$I$89,5,0)</f>
        <v>-1.71756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60.096061837062251</v>
      </c>
      <c r="T62" s="62">
        <f t="shared" si="34"/>
        <v>281.84429700292912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24.557470743259728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4.3713068221398291E-5</v>
      </c>
      <c r="AC62" s="24">
        <f t="shared" si="3"/>
        <v>24.557514456327951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-3</v>
      </c>
      <c r="O63" s="14">
        <f>N63*VLOOKUP('Données projet'!$B$9,Paramètres!$A$1:$I$89,3,0)*VLOOKUP('Données projet'!$B$9,Paramètres!$A$1:$I$89,5,0)</f>
        <v>-1.71756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60.096061837062251</v>
      </c>
      <c r="T63" s="62">
        <f t="shared" si="34"/>
        <v>281.84429700292912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24.075913720562546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3.0909806965820905E-5</v>
      </c>
      <c r="AC63" s="24">
        <f t="shared" si="3"/>
        <v>24.075944630369513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-3</v>
      </c>
      <c r="O64" s="14">
        <f>N64*VLOOKUP('Données projet'!$B$9,Paramètres!$A$1:$I$89,3,0)*VLOOKUP('Données projet'!$B$9,Paramètres!$A$1:$I$89,5,0)</f>
        <v>-1.71756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60.096061837062251</v>
      </c>
      <c r="T64" s="62">
        <f t="shared" si="34"/>
        <v>281.84429700292912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23.603799737359676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2.1856534110699145E-5</v>
      </c>
      <c r="AC64" s="24">
        <f t="shared" si="3"/>
        <v>23.603821593893787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-3</v>
      </c>
      <c r="O65" s="14">
        <f>N65*VLOOKUP('Données projet'!$B$9,Paramètres!$A$1:$I$89,3,0)*VLOOKUP('Données projet'!$B$9,Paramètres!$A$1:$I$89,5,0)</f>
        <v>-1.71756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60.096061837062251</v>
      </c>
      <c r="T65" s="62">
        <f t="shared" si="34"/>
        <v>281.84429700292912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23.140943621406318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1.5454903482910453E-5</v>
      </c>
      <c r="AC65" s="24">
        <f t="shared" si="3"/>
        <v>23.140959076309802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-3</v>
      </c>
      <c r="O66" s="14">
        <f>N66*VLOOKUP('Données projet'!$B$9,Paramètres!$A$1:$I$89,3,0)*VLOOKUP('Données projet'!$B$9,Paramètres!$A$1:$I$89,5,0)</f>
        <v>-1.71756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60.096061837062251</v>
      </c>
      <c r="T66" s="62">
        <f t="shared" si="34"/>
        <v>281.84429700292912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22.687163831572452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1.0928267055349573E-5</v>
      </c>
      <c r="AC66" s="24">
        <f t="shared" si="3"/>
        <v>22.687174759839507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-3</v>
      </c>
      <c r="O67" s="14">
        <f>N67*VLOOKUP('Données projet'!$B$9,Paramètres!$A$1:$I$89,3,0)*VLOOKUP('Données projet'!$B$9,Paramètres!$A$1:$I$89,5,0)</f>
        <v>-1.71756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60.096061837062251</v>
      </c>
      <c r="T67" s="62">
        <f t="shared" si="34"/>
        <v>281.84429700292912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22.242282386638884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7.7274517414552263E-6</v>
      </c>
      <c r="AC67" s="24">
        <f t="shared" si="3"/>
        <v>22.242290114090626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-3</v>
      </c>
      <c r="O68" s="14">
        <f>N68*VLOOKUP('Données projet'!$B$9,Paramètres!$A$1:$I$89,3,0)*VLOOKUP('Données projet'!$B$9,Paramètres!$A$1:$I$89,5,0)</f>
        <v>-1.71756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60.096061837062251</v>
      </c>
      <c r="T68" s="62">
        <f t="shared" si="34"/>
        <v>281.84429700292912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21.806124795489577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5.4641335276747863E-6</v>
      </c>
      <c r="AC68" s="24">
        <f t="shared" ref="AC68:AC131" si="57">SUM(Z68:AB68)</f>
        <v>21.806130259623103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-3</v>
      </c>
      <c r="O69" s="14">
        <f>N69*VLOOKUP('Données projet'!$B$9,Paramètres!$A$1:$I$89,3,0)*VLOOKUP('Données projet'!$B$9,Paramètres!$A$1:$I$89,5,0)</f>
        <v>-1.71756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60.096061837062251</v>
      </c>
      <c r="T69" s="62">
        <f t="shared" ref="T69:T132" si="88">$T$3</f>
        <v>281.84429700292912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21.378519988672846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3.8637258707276131E-6</v>
      </c>
      <c r="AC69" s="24">
        <f t="shared" si="57"/>
        <v>21.378523852398715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-3</v>
      </c>
      <c r="O70" s="14">
        <f>N70*VLOOKUP('Données projet'!$B$9,Paramètres!$A$1:$I$89,3,0)*VLOOKUP('Données projet'!$B$9,Paramètres!$A$1:$I$89,5,0)</f>
        <v>-1.71756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60.096061837062251</v>
      </c>
      <c r="T70" s="62">
        <f t="shared" si="88"/>
        <v>281.84429700292912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20.959300251304608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2.7320667638373932E-6</v>
      </c>
      <c r="AC70" s="24">
        <f t="shared" si="57"/>
        <v>20.959302983371373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-3</v>
      </c>
      <c r="O71" s="14">
        <f>N71*VLOOKUP('Données projet'!$B$9,Paramètres!$A$1:$I$89,3,0)*VLOOKUP('Données projet'!$B$9,Paramètres!$A$1:$I$89,5,0)</f>
        <v>-1.71756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60.096061837062251</v>
      </c>
      <c r="T71" s="62">
        <f t="shared" si="88"/>
        <v>281.84429700292912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20.548301157287373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1.9318629353638066E-6</v>
      </c>
      <c r="AC71" s="24">
        <f t="shared" si="57"/>
        <v>20.548303089150309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-3</v>
      </c>
      <c r="O72" s="14">
        <f>N72*VLOOKUP('Données projet'!$B$9,Paramètres!$A$1:$I$89,3,0)*VLOOKUP('Données projet'!$B$9,Paramètres!$A$1:$I$89,5,0)</f>
        <v>-1.71756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60.096061837062251</v>
      </c>
      <c r="T72" s="62">
        <f t="shared" si="88"/>
        <v>281.84429700292912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20.145361504819121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1.3660333819186966E-6</v>
      </c>
      <c r="AC72" s="24">
        <f t="shared" si="57"/>
        <v>20.145362870852502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-3</v>
      </c>
      <c r="O73" s="14">
        <f>N73*VLOOKUP('Données projet'!$B$9,Paramètres!$A$1:$I$89,3,0)*VLOOKUP('Données projet'!$B$9,Paramètres!$A$1:$I$89,5,0)</f>
        <v>-1.71756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60.096061837062251</v>
      </c>
      <c r="T73" s="62">
        <f t="shared" si="88"/>
        <v>281.84429700292912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19.750323253166851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9.6593146768190329E-7</v>
      </c>
      <c r="AC73" s="24">
        <f t="shared" si="57"/>
        <v>19.750324219098317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</v>
      </c>
      <c r="O74" s="14">
        <f>N74*VLOOKUP('Données projet'!$B$9,Paramètres!$A$1:$I$89,3,0)*VLOOKUP('Données projet'!$B$9,Paramètres!$A$1:$I$89,5,0)</f>
        <v>-1.71756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60.096061837062251</v>
      </c>
      <c r="T74" s="62">
        <f t="shared" si="88"/>
        <v>281.84429700292912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19.363031460679938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6.8301669095934829E-7</v>
      </c>
      <c r="AC74" s="24">
        <f t="shared" si="57"/>
        <v>19.363032143696628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</v>
      </c>
      <c r="O75" s="14">
        <f>N75*VLOOKUP('Données projet'!$B$9,Paramètres!$A$1:$I$89,3,0)*VLOOKUP('Données projet'!$B$9,Paramètres!$A$1:$I$89,5,0)</f>
        <v>-1.71756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60.096061837062251</v>
      </c>
      <c r="T75" s="62">
        <f t="shared" si="88"/>
        <v>281.84429700292912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18.983334224019028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4.8296573384095164E-7</v>
      </c>
      <c r="AC75" s="24">
        <f t="shared" si="57"/>
        <v>18.983334706984763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</v>
      </c>
      <c r="O76" s="14">
        <f>N76*VLOOKUP('Données projet'!$B$9,Paramètres!$A$1:$I$89,3,0)*VLOOKUP('Données projet'!$B$9,Paramètres!$A$1:$I$89,5,0)</f>
        <v>-1.71756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60.096061837062251</v>
      </c>
      <c r="T76" s="62">
        <f t="shared" si="88"/>
        <v>281.84429700292912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18.611082618576592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3.4150834547967415E-7</v>
      </c>
      <c r="AC76" s="24">
        <f t="shared" si="57"/>
        <v>18.611082960084939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</v>
      </c>
      <c r="O77" s="14">
        <f>N77*VLOOKUP('Données projet'!$B$9,Paramètres!$A$1:$I$89,3,0)*VLOOKUP('Données projet'!$B$9,Paramètres!$A$1:$I$89,5,0)</f>
        <v>-1.71756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60.096061837062251</v>
      </c>
      <c r="T77" s="62">
        <f t="shared" si="88"/>
        <v>281.84429700292912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18.246130640065822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2.4148286692047582E-7</v>
      </c>
      <c r="AC77" s="24">
        <f t="shared" si="57"/>
        <v>18.246130881548687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</v>
      </c>
      <c r="O78" s="14">
        <f>N78*VLOOKUP('Données projet'!$B$9,Paramètres!$A$1:$I$89,3,0)*VLOOKUP('Données projet'!$B$9,Paramètres!$A$1:$I$89,5,0)</f>
        <v>-1.71756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60.096061837062251</v>
      </c>
      <c r="T78" s="62">
        <f t="shared" si="88"/>
        <v>281.84429700292912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17.888335147254921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1.7075417273983707E-7</v>
      </c>
      <c r="AC78" s="24">
        <f t="shared" si="57"/>
        <v>17.888335318009094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</v>
      </c>
      <c r="O79" s="14">
        <f>N79*VLOOKUP('Données projet'!$B$9,Paramètres!$A$1:$I$89,3,0)*VLOOKUP('Données projet'!$B$9,Paramètres!$A$1:$I$89,5,0)</f>
        <v>-1.71756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60.096061837062251</v>
      </c>
      <c r="T79" s="62">
        <f t="shared" si="88"/>
        <v>281.84429700292912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17.53755580582434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1.2074143346023791E-7</v>
      </c>
      <c r="AC79" s="24">
        <f t="shared" si="57"/>
        <v>17.537555926565773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</v>
      </c>
      <c r="O80" s="14">
        <f>N80*VLOOKUP('Données projet'!$B$9,Paramètres!$A$1:$I$89,3,0)*VLOOKUP('Données projet'!$B$9,Paramètres!$A$1:$I$89,5,0)</f>
        <v>-1.71756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60.096061837062251</v>
      </c>
      <c r="T80" s="62">
        <f t="shared" si="88"/>
        <v>281.84429700292912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17.193655033324941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8.5377086369918537E-8</v>
      </c>
      <c r="AC80" s="24">
        <f t="shared" si="57"/>
        <v>17.193655118702026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</v>
      </c>
      <c r="O81" s="14">
        <f>N81*VLOOKUP('Données projet'!$B$9,Paramètres!$A$1:$I$89,3,0)*VLOOKUP('Données projet'!$B$9,Paramètres!$A$1:$I$89,5,0)</f>
        <v>-1.71756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60.096061837062251</v>
      </c>
      <c r="T81" s="62">
        <f t="shared" si="88"/>
        <v>281.84429700292912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16.856497945215494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6.0370716730118955E-8</v>
      </c>
      <c r="AC81" s="24">
        <f t="shared" si="57"/>
        <v>16.856498005586211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</v>
      </c>
      <c r="O82" s="14">
        <f>N82*VLOOKUP('Données projet'!$B$9,Paramètres!$A$1:$I$89,3,0)*VLOOKUP('Données projet'!$B$9,Paramètres!$A$1:$I$89,5,0)</f>
        <v>-1.71756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60.096061837062251</v>
      </c>
      <c r="T82" s="62">
        <f t="shared" si="88"/>
        <v>281.84429700292912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16.525952301958355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4.2688543184959268E-8</v>
      </c>
      <c r="AC82" s="24">
        <f t="shared" si="57"/>
        <v>16.5259523446469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</v>
      </c>
      <c r="O83" s="14">
        <f>N83*VLOOKUP('Données projet'!$B$9,Paramètres!$A$1:$I$89,3,0)*VLOOKUP('Données projet'!$B$9,Paramètres!$A$1:$I$89,5,0)</f>
        <v>-1.71756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60.096061837062251</v>
      </c>
      <c r="T83" s="62">
        <f t="shared" si="88"/>
        <v>281.84429700292912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16.201888457152556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3.0185358365059478E-8</v>
      </c>
      <c r="AC83" s="24">
        <f t="shared" si="57"/>
        <v>16.201888487337914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</v>
      </c>
      <c r="O84" s="14">
        <f>N84*VLOOKUP('Données projet'!$B$9,Paramètres!$A$1:$I$89,3,0)*VLOOKUP('Données projet'!$B$9,Paramètres!$A$1:$I$89,5,0)</f>
        <v>-1.71756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60.096061837062251</v>
      </c>
      <c r="T84" s="62">
        <f t="shared" si="88"/>
        <v>281.84429700292912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15.88417930668397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2.1344271592479634E-8</v>
      </c>
      <c r="AC84" s="24">
        <f t="shared" si="57"/>
        <v>15.884179328028242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</v>
      </c>
      <c r="O85" s="14">
        <f>N85*VLOOKUP('Données projet'!$B$9,Paramètres!$A$1:$I$89,3,0)*VLOOKUP('Données projet'!$B$9,Paramètres!$A$1:$I$89,5,0)</f>
        <v>-1.71756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60.096061837062251</v>
      </c>
      <c r="T85" s="62">
        <f t="shared" si="88"/>
        <v>281.84429700292912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15.572700238872626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1.5092679182529739E-8</v>
      </c>
      <c r="AC85" s="24">
        <f t="shared" si="57"/>
        <v>15.572700253965305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</v>
      </c>
      <c r="O86" s="14">
        <f>N86*VLOOKUP('Données projet'!$B$9,Paramètres!$A$1:$I$89,3,0)*VLOOKUP('Données projet'!$B$9,Paramètres!$A$1:$I$89,5,0)</f>
        <v>-1.71756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60.096061837062251</v>
      </c>
      <c r="T86" s="62">
        <f t="shared" si="88"/>
        <v>281.84429700292912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15.26732908559759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1.0672135796239817E-8</v>
      </c>
      <c r="AC86" s="24">
        <f t="shared" si="57"/>
        <v>15.267329096269725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</v>
      </c>
      <c r="O87" s="14">
        <f>N87*VLOOKUP('Données projet'!$B$9,Paramètres!$A$1:$I$89,3,0)*VLOOKUP('Données projet'!$B$9,Paramètres!$A$1:$I$89,5,0)</f>
        <v>-1.71756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60.096061837062251</v>
      </c>
      <c r="T87" s="62">
        <f t="shared" si="88"/>
        <v>281.84429700292912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14.967946074380265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7.5463395912648694E-9</v>
      </c>
      <c r="AC87" s="24">
        <f t="shared" si="57"/>
        <v>14.967946081926605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</v>
      </c>
      <c r="O88" s="14">
        <f>N88*VLOOKUP('Données projet'!$B$9,Paramètres!$A$1:$I$89,3,0)*VLOOKUP('Données projet'!$B$9,Paramètres!$A$1:$I$89,5,0)</f>
        <v>-1.71756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60.096061837062251</v>
      </c>
      <c r="T88" s="62">
        <f t="shared" si="88"/>
        <v>281.84429700292912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14.674433781407306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5.3360678981199085E-9</v>
      </c>
      <c r="AC88" s="24">
        <f t="shared" si="57"/>
        <v>14.674433786743373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</v>
      </c>
      <c r="O89" s="14">
        <f>N89*VLOOKUP('Données projet'!$B$9,Paramètres!$A$1:$I$89,3,0)*VLOOKUP('Données projet'!$B$9,Paramètres!$A$1:$I$89,5,0)</f>
        <v>-1.71756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60.096061837062251</v>
      </c>
      <c r="T89" s="62">
        <f t="shared" si="88"/>
        <v>281.84429700292912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14.386677085474725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3.7731697956324347E-9</v>
      </c>
      <c r="AC89" s="24">
        <f t="shared" si="57"/>
        <v>14.386677089247895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</v>
      </c>
      <c r="O90" s="14">
        <f>N90*VLOOKUP('Données projet'!$B$9,Paramètres!$A$1:$I$89,3,0)*VLOOKUP('Données projet'!$B$9,Paramètres!$A$1:$I$89,5,0)</f>
        <v>-1.71756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60.096061837062251</v>
      </c>
      <c r="T90" s="62">
        <f t="shared" si="88"/>
        <v>281.84429700292912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14.104563122835128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2.6680339490599543E-9</v>
      </c>
      <c r="AC90" s="24">
        <f t="shared" si="57"/>
        <v>14.104563125503162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</v>
      </c>
      <c r="O91" s="14">
        <f>N91*VLOOKUP('Données projet'!$B$9,Paramètres!$A$1:$I$89,3,0)*VLOOKUP('Données projet'!$B$9,Paramètres!$A$1:$I$89,5,0)</f>
        <v>-1.71756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60.096061837062251</v>
      </c>
      <c r="T91" s="62">
        <f t="shared" si="88"/>
        <v>281.84429700292912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13.827981242930367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1.8865848978162174E-9</v>
      </c>
      <c r="AC91" s="24">
        <f t="shared" si="57"/>
        <v>13.827981244816952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</v>
      </c>
      <c r="O92" s="14">
        <f>N92*VLOOKUP('Données projet'!$B$9,Paramètres!$A$1:$I$89,3,0)*VLOOKUP('Données projet'!$B$9,Paramètres!$A$1:$I$89,5,0)</f>
        <v>-1.71756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60.096061837062251</v>
      </c>
      <c r="T92" s="62">
        <f t="shared" si="88"/>
        <v>281.84429700292912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13.556822964992248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1.3340169745299771E-9</v>
      </c>
      <c r="AC92" s="24">
        <f t="shared" si="57"/>
        <v>13.556822966326266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</v>
      </c>
      <c r="O93" s="14">
        <f>N93*VLOOKUP('Données projet'!$B$9,Paramètres!$A$1:$I$89,3,0)*VLOOKUP('Données projet'!$B$9,Paramètres!$A$1:$I$89,5,0)</f>
        <v>-1.71756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60.096061837062251</v>
      </c>
      <c r="T93" s="62">
        <f t="shared" si="88"/>
        <v>281.84429700292912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13.290981935494278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9.4329244890810868E-10</v>
      </c>
      <c r="AC93" s="24">
        <f t="shared" si="57"/>
        <v>13.29098193643757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</v>
      </c>
      <c r="O94" s="14">
        <f>N94*VLOOKUP('Données projet'!$B$9,Paramètres!$A$1:$I$89,3,0)*VLOOKUP('Données projet'!$B$9,Paramètres!$A$1:$I$89,5,0)</f>
        <v>-1.71756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60.096061837062251</v>
      </c>
      <c r="T94" s="62">
        <f t="shared" si="88"/>
        <v>281.84429700292912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13.030353886437746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6.6700848726498857E-10</v>
      </c>
      <c r="AC94" s="24">
        <f t="shared" si="57"/>
        <v>13.030353887104754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</v>
      </c>
      <c r="O95" s="14">
        <f>N95*VLOOKUP('Données projet'!$B$9,Paramètres!$A$1:$I$89,3,0)*VLOOKUP('Données projet'!$B$9,Paramètres!$A$1:$I$89,5,0)</f>
        <v>-1.71756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60.096061837062251</v>
      </c>
      <c r="T95" s="62">
        <f t="shared" si="88"/>
        <v>281.84429700292912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12.774836594455799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4.7164622445405434E-10</v>
      </c>
      <c r="AC95" s="24">
        <f t="shared" si="57"/>
        <v>12.774836594927445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</v>
      </c>
      <c r="O96" s="14">
        <f>N96*VLOOKUP('Données projet'!$B$9,Paramètres!$A$1:$I$89,3,0)*VLOOKUP('Données projet'!$B$9,Paramètres!$A$1:$I$89,5,0)</f>
        <v>-1.71756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60.096061837062251</v>
      </c>
      <c r="T96" s="62">
        <f t="shared" si="88"/>
        <v>281.84429700292912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12.524329840719458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3.3350424363249428E-10</v>
      </c>
      <c r="AC96" s="24">
        <f t="shared" si="57"/>
        <v>12.524329841052962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</v>
      </c>
      <c r="O97" s="14">
        <f>N97*VLOOKUP('Données projet'!$B$9,Paramètres!$A$1:$I$89,3,0)*VLOOKUP('Données projet'!$B$9,Paramètres!$A$1:$I$89,5,0)</f>
        <v>-1.71756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60.096061837062251</v>
      </c>
      <c r="T97" s="62">
        <f t="shared" si="88"/>
        <v>281.84429700292912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12.278735371629855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2.3582311222702717E-10</v>
      </c>
      <c r="AC97" s="24">
        <f t="shared" si="57"/>
        <v>12.278735371865679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</v>
      </c>
      <c r="O98" s="14">
        <f>N98*VLOOKUP('Données projet'!$B$9,Paramètres!$A$1:$I$89,3,0)*VLOOKUP('Données projet'!$B$9,Paramètres!$A$1:$I$89,5,0)</f>
        <v>-1.71756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60.096061837062251</v>
      </c>
      <c r="T98" s="62">
        <f t="shared" si="88"/>
        <v>281.84429700292912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12.037956860281264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1.6675212181624714E-10</v>
      </c>
      <c r="AC98" s="24">
        <f t="shared" si="57"/>
        <v>12.037956860448016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</v>
      </c>
      <c r="O99" s="14">
        <f>N99*VLOOKUP('Données projet'!$B$9,Paramètres!$A$1:$I$89,3,0)*VLOOKUP('Données projet'!$B$9,Paramètres!$A$1:$I$89,5,0)</f>
        <v>-1.71756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60.096061837062251</v>
      </c>
      <c r="T99" s="62">
        <f t="shared" si="88"/>
        <v>281.84429700292912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11.801899868679829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1.1791155611351358E-10</v>
      </c>
      <c r="AC99" s="24">
        <f t="shared" si="57"/>
        <v>11.80189986879774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</v>
      </c>
      <c r="O100" s="14">
        <f>N100*VLOOKUP('Données projet'!$B$9,Paramètres!$A$1:$I$89,3,0)*VLOOKUP('Données projet'!$B$9,Paramètres!$A$1:$I$89,5,0)</f>
        <v>-1.71756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60.096061837062251</v>
      </c>
      <c r="T100" s="62">
        <f t="shared" si="88"/>
        <v>281.84429700292912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11.57047181070315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8.3376060908123571E-11</v>
      </c>
      <c r="AC100" s="24">
        <f t="shared" si="57"/>
        <v>11.570471810786527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</v>
      </c>
      <c r="O101" s="14">
        <f>N101*VLOOKUP('Données projet'!$B$9,Paramètres!$A$1:$I$89,3,0)*VLOOKUP('Données projet'!$B$9,Paramètres!$A$1:$I$89,5,0)</f>
        <v>-1.71756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60.096061837062251</v>
      </c>
      <c r="T101" s="62">
        <f t="shared" si="88"/>
        <v>281.84429700292912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11.343581915786217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5.8955778056756792E-11</v>
      </c>
      <c r="AC101" s="24">
        <f t="shared" si="57"/>
        <v>11.343581915845173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</v>
      </c>
      <c r="O102" s="14">
        <f>N102*VLOOKUP('Données projet'!$B$9,Paramètres!$A$1:$I$89,3,0)*VLOOKUP('Données projet'!$B$9,Paramètres!$A$1:$I$89,5,0)</f>
        <v>-1.71756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60.096061837062251</v>
      </c>
      <c r="T102" s="62">
        <f t="shared" si="88"/>
        <v>281.84429700292912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11.121141193319433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4.1688030454061785E-11</v>
      </c>
      <c r="AC102" s="24">
        <f t="shared" si="57"/>
        <v>11.121141193361121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</v>
      </c>
      <c r="O103" s="14">
        <f>N103*VLOOKUP('Données projet'!$B$9,Paramètres!$A$1:$I$89,3,0)*VLOOKUP('Données projet'!$B$9,Paramètres!$A$1:$I$89,5,0)</f>
        <v>-1.71756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60.096061837062251</v>
      </c>
      <c r="T103" s="62">
        <f t="shared" si="88"/>
        <v>281.84429700292912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10.90306239774478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2.9477889028378396E-11</v>
      </c>
      <c r="AC103" s="24">
        <f t="shared" si="57"/>
        <v>10.903062397774258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</v>
      </c>
      <c r="O104" s="14">
        <f>N104*VLOOKUP('Données projet'!$B$9,Paramètres!$A$1:$I$89,3,0)*VLOOKUP('Données projet'!$B$9,Paramètres!$A$1:$I$89,5,0)</f>
        <v>-1.71756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60.096061837062251</v>
      </c>
      <c r="T104" s="62">
        <f t="shared" si="88"/>
        <v>281.84429700292912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10.689259994336414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2.0844015227030893E-11</v>
      </c>
      <c r="AC104" s="24">
        <f t="shared" si="57"/>
        <v>10.689259994357258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</v>
      </c>
      <c r="O105" s="14">
        <f>N105*VLOOKUP('Données projet'!$B$9,Paramètres!$A$1:$I$89,3,0)*VLOOKUP('Données projet'!$B$9,Paramètres!$A$1:$I$89,5,0)</f>
        <v>-1.71756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60.096061837062251</v>
      </c>
      <c r="T105" s="62">
        <f t="shared" si="88"/>
        <v>281.84429700292912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10.479650125652297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1.4738944514189198E-11</v>
      </c>
      <c r="AC105" s="24">
        <f t="shared" si="57"/>
        <v>10.479650125667035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</v>
      </c>
      <c r="O106" s="14">
        <f>N106*VLOOKUP('Données projet'!$B$9,Paramètres!$A$1:$I$89,3,0)*VLOOKUP('Données projet'!$B$9,Paramètres!$A$1:$I$89,5,0)</f>
        <v>-1.71756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60.096061837062251</v>
      </c>
      <c r="T106" s="62">
        <f t="shared" si="88"/>
        <v>281.84429700292912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10.274150578643679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1.0422007613515446E-11</v>
      </c>
      <c r="AC106" s="24">
        <f t="shared" si="57"/>
        <v>10.274150578654101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</v>
      </c>
      <c r="O107" s="14">
        <f>N107*VLOOKUP('Données projet'!$B$9,Paramètres!$A$1:$I$89,3,0)*VLOOKUP('Données projet'!$B$9,Paramètres!$A$1:$I$89,5,0)</f>
        <v>-1.71756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60.096061837062251</v>
      </c>
      <c r="T107" s="62">
        <f t="shared" si="88"/>
        <v>281.84429700292912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10.072680752409553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7.3694722570945991E-12</v>
      </c>
      <c r="AC107" s="24">
        <f t="shared" si="57"/>
        <v>10.072680752416924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</v>
      </c>
      <c r="O108" s="14">
        <f>N108*VLOOKUP('Données projet'!$B$9,Paramètres!$A$1:$I$89,3,0)*VLOOKUP('Données projet'!$B$9,Paramètres!$A$1:$I$89,5,0)</f>
        <v>-1.71756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60.096061837062251</v>
      </c>
      <c r="T108" s="62">
        <f t="shared" si="88"/>
        <v>281.84429700292912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9.8751616265834183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5.2110038067577232E-12</v>
      </c>
      <c r="AC108" s="24">
        <f t="shared" si="57"/>
        <v>9.8751616265886302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</v>
      </c>
      <c r="O109" s="14">
        <f>N109*VLOOKUP('Données projet'!$B$9,Paramètres!$A$1:$I$89,3,0)*VLOOKUP('Données projet'!$B$9,Paramètres!$A$1:$I$89,5,0)</f>
        <v>-1.71756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60.096061837062251</v>
      </c>
      <c r="T109" s="62">
        <f t="shared" si="88"/>
        <v>281.84429700292912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9.6815157303399619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3.6847361285472995E-12</v>
      </c>
      <c r="AC109" s="24">
        <f t="shared" si="57"/>
        <v>9.6815157303436461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</v>
      </c>
      <c r="O110" s="14">
        <f>N110*VLOOKUP('Données projet'!$B$9,Paramètres!$A$1:$I$89,3,0)*VLOOKUP('Données projet'!$B$9,Paramètres!$A$1:$I$89,5,0)</f>
        <v>-1.71756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60.096061837062251</v>
      </c>
      <c r="T110" s="62">
        <f t="shared" si="88"/>
        <v>281.84429700292912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9.4916671120095071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2.6055019033788616E-12</v>
      </c>
      <c r="AC110" s="24">
        <f t="shared" si="57"/>
        <v>9.491667112012113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</v>
      </c>
      <c r="O111" s="14">
        <f>N111*VLOOKUP('Données projet'!$B$9,Paramètres!$A$1:$I$89,3,0)*VLOOKUP('Données projet'!$B$9,Paramètres!$A$1:$I$89,5,0)</f>
        <v>-1.71756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60.096061837062251</v>
      </c>
      <c r="T111" s="62">
        <f t="shared" si="88"/>
        <v>281.84429700292912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9.305541309288289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1.8423680642736498E-12</v>
      </c>
      <c r="AC111" s="24">
        <f t="shared" si="57"/>
        <v>9.3055413092901311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</v>
      </c>
      <c r="O112" s="14">
        <f>N112*VLOOKUP('Données projet'!$B$9,Paramètres!$A$1:$I$89,3,0)*VLOOKUP('Données projet'!$B$9,Paramètres!$A$1:$I$89,5,0)</f>
        <v>-1.71756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60.096061837062251</v>
      </c>
      <c r="T112" s="62">
        <f t="shared" si="88"/>
        <v>281.84429700292912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9.1230653200329037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1.3027509516894308E-12</v>
      </c>
      <c r="AC112" s="24">
        <f t="shared" si="57"/>
        <v>9.1230653200342058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</v>
      </c>
      <c r="O113" s="14">
        <f>N113*VLOOKUP('Données projet'!$B$9,Paramètres!$A$1:$I$89,3,0)*VLOOKUP('Données projet'!$B$9,Paramètres!$A$1:$I$89,5,0)</f>
        <v>-1.71756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60.096061837062251</v>
      </c>
      <c r="T113" s="62">
        <f t="shared" si="88"/>
        <v>281.84429700292912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8.9441675736274533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9.2118403213682488E-13</v>
      </c>
      <c r="AC113" s="24">
        <f t="shared" si="57"/>
        <v>8.9441675736283752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</v>
      </c>
      <c r="O114" s="14">
        <f>N114*VLOOKUP('Données projet'!$B$9,Paramètres!$A$1:$I$89,3,0)*VLOOKUP('Données projet'!$B$9,Paramètres!$A$1:$I$89,5,0)</f>
        <v>-1.71756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60.096061837062251</v>
      </c>
      <c r="T114" s="62">
        <f t="shared" si="88"/>
        <v>281.84429700292912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8.7687779029121629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6.513754758447154E-13</v>
      </c>
      <c r="AC114" s="24">
        <f t="shared" si="57"/>
        <v>8.7687779029128148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</v>
      </c>
      <c r="O115" s="14">
        <f>N115*VLOOKUP('Données projet'!$B$9,Paramètres!$A$1:$I$89,3,0)*VLOOKUP('Données projet'!$B$9,Paramètres!$A$1:$I$89,5,0)</f>
        <v>-1.71756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60.096061837062251</v>
      </c>
      <c r="T115" s="62">
        <f t="shared" si="88"/>
        <v>281.84429700292912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8.5968275166624633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4.6059201606841244E-13</v>
      </c>
      <c r="AC115" s="24">
        <f t="shared" si="57"/>
        <v>8.5968275166629233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</v>
      </c>
      <c r="O116" s="14">
        <f>N116*VLOOKUP('Données projet'!$B$9,Paramètres!$A$1:$I$89,3,0)*VLOOKUP('Données projet'!$B$9,Paramètres!$A$1:$I$89,5,0)</f>
        <v>-1.71756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60.096061837062251</v>
      </c>
      <c r="T116" s="62">
        <f t="shared" si="88"/>
        <v>281.84429700292912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8.4282489726077401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3.256877379223577E-13</v>
      </c>
      <c r="AC116" s="24">
        <f t="shared" si="57"/>
        <v>8.4282489726080652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</v>
      </c>
      <c r="O117" s="14">
        <f>N117*VLOOKUP('Données projet'!$B$9,Paramètres!$A$1:$I$89,3,0)*VLOOKUP('Données projet'!$B$9,Paramètres!$A$1:$I$89,5,0)</f>
        <v>-1.71756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60.096061837062251</v>
      </c>
      <c r="T117" s="62">
        <f t="shared" si="88"/>
        <v>281.84429700292912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8.2629761509791706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2.3029600803420622E-13</v>
      </c>
      <c r="AC117" s="24">
        <f t="shared" si="57"/>
        <v>8.2629761509794015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</v>
      </c>
      <c r="O118" s="14">
        <f>N118*VLOOKUP('Données projet'!$B$9,Paramètres!$A$1:$I$89,3,0)*VLOOKUP('Données projet'!$B$9,Paramètres!$A$1:$I$89,5,0)</f>
        <v>-1.71756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60.096061837062251</v>
      </c>
      <c r="T118" s="62">
        <f t="shared" si="88"/>
        <v>281.84429700292912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8.1009442285762709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1.6284386896117885E-13</v>
      </c>
      <c r="AC118" s="24">
        <f t="shared" si="57"/>
        <v>8.1009442285764344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</v>
      </c>
      <c r="O119" s="14">
        <f>N119*VLOOKUP('Données projet'!$B$9,Paramètres!$A$1:$I$89,3,0)*VLOOKUP('Données projet'!$B$9,Paramètres!$A$1:$I$89,5,0)</f>
        <v>-1.71756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60.096061837062251</v>
      </c>
      <c r="T119" s="62">
        <f t="shared" si="88"/>
        <v>281.84429700292912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7.942089653341978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1.1514800401710311E-13</v>
      </c>
      <c r="AC119" s="24">
        <f t="shared" si="57"/>
        <v>7.9420896533420935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</v>
      </c>
      <c r="O120" s="14">
        <f>N120*VLOOKUP('Données projet'!$B$9,Paramètres!$A$1:$I$89,3,0)*VLOOKUP('Données projet'!$B$9,Paramètres!$A$1:$I$89,5,0)</f>
        <v>-1.71756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60.096061837062251</v>
      </c>
      <c r="T120" s="62">
        <f t="shared" si="88"/>
        <v>281.84429700292912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7.7863501194363058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8.1421934480589425E-14</v>
      </c>
      <c r="AC120" s="24">
        <f t="shared" si="57"/>
        <v>7.7863501194363876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</v>
      </c>
      <c r="O121" s="14">
        <f>N121*VLOOKUP('Données projet'!$B$9,Paramètres!$A$1:$I$89,3,0)*VLOOKUP('Données projet'!$B$9,Paramètres!$A$1:$I$89,5,0)</f>
        <v>-1.71756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60.096061837062251</v>
      </c>
      <c r="T121" s="62">
        <f t="shared" si="88"/>
        <v>281.84429700292912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7.6336645427987877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5.7574002008551555E-14</v>
      </c>
      <c r="AC121" s="24">
        <f t="shared" si="57"/>
        <v>7.6336645427988454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</v>
      </c>
      <c r="O122" s="14">
        <f>N122*VLOOKUP('Données projet'!$B$9,Paramètres!$A$1:$I$89,3,0)*VLOOKUP('Données projet'!$B$9,Paramètres!$A$1:$I$89,5,0)</f>
        <v>-1.71756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60.096061837062251</v>
      </c>
      <c r="T122" s="62">
        <f t="shared" si="88"/>
        <v>281.84429700292912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7.4839730371901254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4.0710967240294712E-14</v>
      </c>
      <c r="AC122" s="24">
        <f t="shared" si="57"/>
        <v>7.4839730371901663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</v>
      </c>
      <c r="O123" s="14">
        <f>N123*VLOOKUP('Données projet'!$B$9,Paramètres!$A$1:$I$89,3,0)*VLOOKUP('Données projet'!$B$9,Paramètres!$A$1:$I$89,5,0)</f>
        <v>-1.71756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60.096061837062251</v>
      </c>
      <c r="T123" s="62">
        <f t="shared" si="88"/>
        <v>281.84429700292912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7.3372168907036457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2.8787001004275778E-14</v>
      </c>
      <c r="AC123" s="24">
        <f t="shared" si="57"/>
        <v>7.3372168907036741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</v>
      </c>
      <c r="O124" s="14">
        <f>N124*VLOOKUP('Données projet'!$B$9,Paramètres!$A$1:$I$89,3,0)*VLOOKUP('Données projet'!$B$9,Paramètres!$A$1:$I$89,5,0)</f>
        <v>-1.71756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60.096061837062251</v>
      </c>
      <c r="T124" s="62">
        <f t="shared" si="88"/>
        <v>281.84429700292912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7.1933385427373553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2.0355483620147356E-14</v>
      </c>
      <c r="AC124" s="24">
        <f t="shared" si="57"/>
        <v>7.1933385427373757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</v>
      </c>
      <c r="O125" s="14">
        <f>N125*VLOOKUP('Données projet'!$B$9,Paramètres!$A$1:$I$89,3,0)*VLOOKUP('Données projet'!$B$9,Paramètres!$A$1:$I$89,5,0)</f>
        <v>-1.71756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60.096061837062251</v>
      </c>
      <c r="T125" s="62">
        <f t="shared" si="88"/>
        <v>281.84429700292912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7.0522815614175567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1.4393500502137889E-14</v>
      </c>
      <c r="AC125" s="24">
        <f t="shared" si="57"/>
        <v>7.0522815614175709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</v>
      </c>
      <c r="O126" s="14">
        <f>N126*VLOOKUP('Données projet'!$B$9,Paramètres!$A$1:$I$89,3,0)*VLOOKUP('Données projet'!$B$9,Paramètres!$A$1:$I$89,5,0)</f>
        <v>-1.71756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60.096061837062251</v>
      </c>
      <c r="T126" s="62">
        <f t="shared" si="88"/>
        <v>281.84429700292912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6.9139906214651763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1.0177741810073678E-14</v>
      </c>
      <c r="AC126" s="24">
        <f t="shared" si="57"/>
        <v>6.9139906214651861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</v>
      </c>
      <c r="O127" s="14">
        <f>N127*VLOOKUP('Données projet'!$B$9,Paramètres!$A$1:$I$89,3,0)*VLOOKUP('Données projet'!$B$9,Paramètres!$A$1:$I$89,5,0)</f>
        <v>-1.71756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60.096061837062251</v>
      </c>
      <c r="T127" s="62">
        <f t="shared" si="88"/>
        <v>281.84429700292912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6.7784114824961179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7.1967502510689444E-15</v>
      </c>
      <c r="AC127" s="24">
        <f t="shared" si="57"/>
        <v>6.778411482496125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</v>
      </c>
      <c r="O128" s="14">
        <f>N128*VLOOKUP('Données projet'!$B$9,Paramètres!$A$1:$I$89,3,0)*VLOOKUP('Données projet'!$B$9,Paramètres!$A$1:$I$89,5,0)</f>
        <v>-1.71756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60.096061837062251</v>
      </c>
      <c r="T128" s="62">
        <f t="shared" si="88"/>
        <v>281.84429700292912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6.6454909677471328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5.088870905036839E-15</v>
      </c>
      <c r="AC128" s="24">
        <f t="shared" si="57"/>
        <v>6.6454909677471381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</v>
      </c>
      <c r="O129" s="14">
        <f>N129*VLOOKUP('Données projet'!$B$9,Paramètres!$A$1:$I$89,3,0)*VLOOKUP('Données projet'!$B$9,Paramètres!$A$1:$I$89,5,0)</f>
        <v>-1.71756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60.096061837062251</v>
      </c>
      <c r="T129" s="62">
        <f t="shared" si="88"/>
        <v>281.84429700292912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6.5151769432188669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3.5983751255344722E-15</v>
      </c>
      <c r="AC129" s="24">
        <f t="shared" si="57"/>
        <v>6.5151769432188704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</v>
      </c>
      <c r="O130" s="14">
        <f>N130*VLOOKUP('Données projet'!$B$9,Paramètres!$A$1:$I$89,3,0)*VLOOKUP('Données projet'!$B$9,Paramètres!$A$1:$I$89,5,0)</f>
        <v>-1.71756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60.096061837062251</v>
      </c>
      <c r="T130" s="62">
        <f t="shared" si="88"/>
        <v>281.84429700292912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6.3874182972278932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2.5444354525184195E-15</v>
      </c>
      <c r="AC130" s="24">
        <f t="shared" si="57"/>
        <v>6.3874182972278959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</v>
      </c>
      <c r="O131" s="14">
        <f>N131*VLOOKUP('Données projet'!$B$9,Paramètres!$A$1:$I$89,3,0)*VLOOKUP('Données projet'!$B$9,Paramètres!$A$1:$I$89,5,0)</f>
        <v>-1.71756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60.096061837062251</v>
      </c>
      <c r="T131" s="62">
        <f t="shared" si="88"/>
        <v>281.84429700292912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6.2621649203597229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1.7991875627672361E-15</v>
      </c>
      <c r="AC131" s="24">
        <f t="shared" si="57"/>
        <v>6.2621649203597247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</v>
      </c>
      <c r="O132" s="14">
        <f>N132*VLOOKUP('Données projet'!$B$9,Paramètres!$A$1:$I$89,3,0)*VLOOKUP('Données projet'!$B$9,Paramètres!$A$1:$I$89,5,0)</f>
        <v>-1.71756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60.096061837062251</v>
      </c>
      <c r="T132" s="62">
        <f t="shared" si="88"/>
        <v>281.84429700292912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6.1393676858149213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1.2722177262592098E-15</v>
      </c>
      <c r="AC132" s="24">
        <f t="shared" ref="AC132:AC153" si="111">SUM(Z132:AB132)</f>
        <v>6.1393676858149222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</v>
      </c>
      <c r="O133" s="14">
        <f>N133*VLOOKUP('Données projet'!$B$9,Paramètres!$A$1:$I$89,3,0)*VLOOKUP('Données projet'!$B$9,Paramètres!$A$1:$I$89,5,0)</f>
        <v>-1.71756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60.096061837062251</v>
      </c>
      <c r="T133" s="62">
        <f t="shared" ref="T133:T196" si="142">$T$3</f>
        <v>281.84429700292912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6.0189784301406259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8.9959378138361805E-16</v>
      </c>
      <c r="AC133" s="24">
        <f t="shared" si="111"/>
        <v>6.0189784301406268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</v>
      </c>
      <c r="O134" s="14">
        <f>N134*VLOOKUP('Données projet'!$B$9,Paramètres!$A$1:$I$89,3,0)*VLOOKUP('Données projet'!$B$9,Paramètres!$A$1:$I$89,5,0)</f>
        <v>-1.71756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60.096061837062251</v>
      </c>
      <c r="T134" s="62">
        <f t="shared" si="142"/>
        <v>281.84429700292912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5.9009499343399083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6.3610886312960488E-16</v>
      </c>
      <c r="AC134" s="24">
        <f t="shared" si="111"/>
        <v>5.9009499343399092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</v>
      </c>
      <c r="O135" s="14">
        <f>N135*VLOOKUP('Données projet'!$B$9,Paramètres!$A$1:$I$89,3,0)*VLOOKUP('Données projet'!$B$9,Paramètres!$A$1:$I$89,5,0)</f>
        <v>-1.71756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60.096061837062251</v>
      </c>
      <c r="T135" s="62">
        <f t="shared" si="142"/>
        <v>281.84429700292912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5.785235905351569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4.4979689069180902E-16</v>
      </c>
      <c r="AC135" s="24">
        <f t="shared" si="111"/>
        <v>5.7852359053515698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</v>
      </c>
      <c r="O136" s="14">
        <f>N136*VLOOKUP('Données projet'!$B$9,Paramètres!$A$1:$I$89,3,0)*VLOOKUP('Données projet'!$B$9,Paramètres!$A$1:$I$89,5,0)</f>
        <v>-1.71756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60.096061837062251</v>
      </c>
      <c r="T136" s="62">
        <f t="shared" si="142"/>
        <v>281.84429700292912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5.6717909578931023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3.1805443156480244E-16</v>
      </c>
      <c r="AC136" s="24">
        <f t="shared" si="111"/>
        <v>5.6717909578931023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</v>
      </c>
      <c r="O137" s="14">
        <f>N137*VLOOKUP('Données projet'!$B$9,Paramètres!$A$1:$I$89,3,0)*VLOOKUP('Données projet'!$B$9,Paramètres!$A$1:$I$89,5,0)</f>
        <v>-1.71756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60.096061837062251</v>
      </c>
      <c r="T137" s="62">
        <f t="shared" si="142"/>
        <v>281.84429700292912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5.5605705966597103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2.2489844534590451E-16</v>
      </c>
      <c r="AC137" s="24">
        <f t="shared" si="111"/>
        <v>5.5605705966597103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</v>
      </c>
      <c r="O138" s="14">
        <f>N138*VLOOKUP('Données projet'!$B$9,Paramètres!$A$1:$I$89,3,0)*VLOOKUP('Données projet'!$B$9,Paramètres!$A$1:$I$89,5,0)</f>
        <v>-1.71756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60.096061837062251</v>
      </c>
      <c r="T138" s="62">
        <f t="shared" si="142"/>
        <v>281.84429700292912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5.4515311988723836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1.5902721578240122E-16</v>
      </c>
      <c r="AC138" s="24">
        <f t="shared" si="111"/>
        <v>5.4515311988723836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</v>
      </c>
      <c r="O139" s="14">
        <f>N139*VLOOKUP('Données projet'!$B$9,Paramètres!$A$1:$I$89,3,0)*VLOOKUP('Données projet'!$B$9,Paramètres!$A$1:$I$89,5,0)</f>
        <v>-1.71756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60.096061837062251</v>
      </c>
      <c r="T139" s="62">
        <f t="shared" si="142"/>
        <v>281.84429700292912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5.3446299971682008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1.1244922267295226E-16</v>
      </c>
      <c r="AC139" s="24">
        <f t="shared" si="111"/>
        <v>5.3446299971682008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</v>
      </c>
      <c r="O140" s="14">
        <f>N140*VLOOKUP('Données projet'!$B$9,Paramètres!$A$1:$I$89,3,0)*VLOOKUP('Données projet'!$B$9,Paramètres!$A$1:$I$89,5,0)</f>
        <v>-1.71756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60.096061837062251</v>
      </c>
      <c r="T140" s="62">
        <f t="shared" si="142"/>
        <v>281.84429700292912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5.2398250628261422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7.951360789120061E-17</v>
      </c>
      <c r="AC140" s="24">
        <f t="shared" si="111"/>
        <v>5.2398250628261422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</v>
      </c>
      <c r="O141" s="14">
        <f>N141*VLOOKUP('Données projet'!$B$9,Paramètres!$A$1:$I$89,3,0)*VLOOKUP('Données projet'!$B$9,Paramètres!$A$1:$I$89,5,0)</f>
        <v>-1.71756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60.096061837062251</v>
      </c>
      <c r="T141" s="62">
        <f t="shared" si="142"/>
        <v>281.84429700292912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5.1370752893218334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5.6224611336476128E-17</v>
      </c>
      <c r="AC141" s="24">
        <f t="shared" si="111"/>
        <v>5.1370752893218334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</v>
      </c>
      <c r="O142" s="14">
        <f>N142*VLOOKUP('Données projet'!$B$9,Paramètres!$A$1:$I$89,3,0)*VLOOKUP('Données projet'!$B$9,Paramètres!$A$1:$I$89,5,0)</f>
        <v>-1.71756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60.096061837062251</v>
      </c>
      <c r="T142" s="62">
        <f t="shared" si="142"/>
        <v>281.84429700292912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5.0363403762047705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3.9756803945600305E-17</v>
      </c>
      <c r="AC142" s="24">
        <f t="shared" si="111"/>
        <v>5.0363403762047705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</v>
      </c>
      <c r="O143" s="14">
        <f>N143*VLOOKUP('Données projet'!$B$9,Paramètres!$A$1:$I$89,3,0)*VLOOKUP('Données projet'!$B$9,Paramètres!$A$1:$I$89,5,0)</f>
        <v>-1.71756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60.096061837062251</v>
      </c>
      <c r="T143" s="62">
        <f t="shared" si="142"/>
        <v>281.84429700292912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4.937580813291703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2.8112305668238064E-17</v>
      </c>
      <c r="AC143" s="24">
        <f t="shared" si="111"/>
        <v>4.937580813291703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</v>
      </c>
      <c r="O144" s="14">
        <f>N144*VLOOKUP('Données projet'!$B$9,Paramètres!$A$1:$I$89,3,0)*VLOOKUP('Données projet'!$B$9,Paramètres!$A$1:$I$89,5,0)</f>
        <v>-1.71756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60.096061837062251</v>
      </c>
      <c r="T144" s="62">
        <f t="shared" si="142"/>
        <v>281.84429700292912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4.8407578651699756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1.9878401972800153E-17</v>
      </c>
      <c r="AC144" s="24">
        <f t="shared" si="111"/>
        <v>4.8407578651699756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</v>
      </c>
      <c r="O145" s="14">
        <f>N145*VLOOKUP('Données projet'!$B$9,Paramètres!$A$1:$I$89,3,0)*VLOOKUP('Données projet'!$B$9,Paramètres!$A$1:$I$89,5,0)</f>
        <v>-1.71756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60.096061837062251</v>
      </c>
      <c r="T145" s="62">
        <f t="shared" si="142"/>
        <v>281.84429700292912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4.7458335560047482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1.4056152834119032E-17</v>
      </c>
      <c r="AC145" s="24">
        <f t="shared" si="111"/>
        <v>4.7458335560047482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</v>
      </c>
      <c r="O146" s="14">
        <f>N146*VLOOKUP('Données projet'!$B$9,Paramètres!$A$1:$I$89,3,0)*VLOOKUP('Données projet'!$B$9,Paramètres!$A$1:$I$89,5,0)</f>
        <v>-1.71756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60.096061837062251</v>
      </c>
      <c r="T146" s="62">
        <f t="shared" si="142"/>
        <v>281.84429700292912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4.6527706546441392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9.9392009864000763E-18</v>
      </c>
      <c r="AC146" s="24">
        <f t="shared" si="111"/>
        <v>4.6527706546441392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</v>
      </c>
      <c r="O147" s="14">
        <f>N147*VLOOKUP('Données projet'!$B$9,Paramètres!$A$1:$I$89,3,0)*VLOOKUP('Données projet'!$B$9,Paramètres!$A$1:$I$89,5,0)</f>
        <v>-1.71756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60.096061837062251</v>
      </c>
      <c r="T147" s="62">
        <f t="shared" si="142"/>
        <v>281.84429700292912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4.5615326600164465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7.028076417059516E-18</v>
      </c>
      <c r="AC147" s="24">
        <f t="shared" si="111"/>
        <v>4.5615326600164465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</v>
      </c>
      <c r="O148" s="14">
        <f>N148*VLOOKUP('Données projet'!$B$9,Paramètres!$A$1:$I$89,3,0)*VLOOKUP('Données projet'!$B$9,Paramètres!$A$1:$I$89,5,0)</f>
        <v>-1.71756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60.096061837062251</v>
      </c>
      <c r="T148" s="62">
        <f t="shared" si="142"/>
        <v>281.84429700292912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4.4720837868137213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4.9696004932000381E-18</v>
      </c>
      <c r="AC148" s="24">
        <f t="shared" si="111"/>
        <v>4.4720837868137213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</v>
      </c>
      <c r="O149" s="14">
        <f>N149*VLOOKUP('Données projet'!$B$9,Paramètres!$A$1:$I$89,3,0)*VLOOKUP('Données projet'!$B$9,Paramètres!$A$1:$I$89,5,0)</f>
        <v>-1.71756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60.096061837062251</v>
      </c>
      <c r="T149" s="62">
        <f t="shared" si="142"/>
        <v>281.84429700292912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4.3843889514560761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3.514038208529758E-18</v>
      </c>
      <c r="AC149" s="24">
        <f t="shared" si="111"/>
        <v>4.3843889514560761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</v>
      </c>
      <c r="O150" s="14">
        <f>N150*VLOOKUP('Données projet'!$B$9,Paramètres!$A$1:$I$89,3,0)*VLOOKUP('Données projet'!$B$9,Paramètres!$A$1:$I$89,5,0)</f>
        <v>-1.71756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60.096061837062251</v>
      </c>
      <c r="T150" s="62">
        <f t="shared" si="142"/>
        <v>281.84429700292912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4.2984137583312263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2.4848002466000191E-18</v>
      </c>
      <c r="AC150" s="24">
        <f t="shared" si="111"/>
        <v>4.2984137583312263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</v>
      </c>
      <c r="O151" s="14">
        <f>N151*VLOOKUP('Données projet'!$B$9,Paramètres!$A$1:$I$89,3,0)*VLOOKUP('Données projet'!$B$9,Paramètres!$A$1:$I$89,5,0)</f>
        <v>-1.71756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60.096061837062251</v>
      </c>
      <c r="T151" s="62">
        <f t="shared" si="142"/>
        <v>281.84429700292912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4.2141244863038647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1.757019104264879E-18</v>
      </c>
      <c r="AC151" s="24">
        <f t="shared" si="111"/>
        <v>4.2141244863038647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</v>
      </c>
      <c r="O152" s="14">
        <f>N152*VLOOKUP('Données projet'!$B$9,Paramètres!$A$1:$I$89,3,0)*VLOOKUP('Données projet'!$B$9,Paramètres!$A$1:$I$89,5,0)</f>
        <v>-1.71756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60.096061837062251</v>
      </c>
      <c r="T152" s="62">
        <f t="shared" si="142"/>
        <v>281.84429700292912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4.13148807548958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1.2424001233000095E-18</v>
      </c>
      <c r="AC152" s="24">
        <f t="shared" si="111"/>
        <v>4.13148807548958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</v>
      </c>
      <c r="O153" s="14">
        <f>N153*VLOOKUP('Données projet'!$B$9,Paramètres!$A$1:$I$89,3,0)*VLOOKUP('Données projet'!$B$9,Paramètres!$A$1:$I$89,5,0)</f>
        <v>-1.71756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60.096061837062251</v>
      </c>
      <c r="T153" s="62">
        <f t="shared" si="142"/>
        <v>281.84429700292912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4.0504721142881301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8.785095521324395E-19</v>
      </c>
      <c r="AC153" s="24">
        <f t="shared" si="111"/>
        <v>4.0504721142881301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</v>
      </c>
      <c r="O154" s="14">
        <f>N154*VLOOKUP('Données projet'!$B$9,Paramètres!$A$1:$I$89,3,0)*VLOOKUP('Données projet'!$B$9,Paramètres!$A$1:$I$89,5,0)</f>
        <v>-1.71756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60.096061837062251</v>
      </c>
      <c r="T154" s="62">
        <f t="shared" si="142"/>
        <v>281.84429700292912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3.9710448266709837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6.2120006165000477E-19</v>
      </c>
      <c r="AC154" s="24">
        <f t="shared" ref="AC154:AC203" si="163">SUM(Z154:AB154)</f>
        <v>3.9710448266709837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</v>
      </c>
      <c r="O155" s="14">
        <f>N155*VLOOKUP('Données projet'!$B$9,Paramètres!$A$1:$I$89,3,0)*VLOOKUP('Données projet'!$B$9,Paramètres!$A$1:$I$89,5,0)</f>
        <v>-1.71756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60.096061837062251</v>
      </c>
      <c r="T155" s="62">
        <f t="shared" si="142"/>
        <v>281.84429700292912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3.8931750597181476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4.3925477606621975E-19</v>
      </c>
      <c r="AC155" s="24">
        <f t="shared" si="163"/>
        <v>3.8931750597181476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</v>
      </c>
      <c r="O156" s="14">
        <f>N156*VLOOKUP('Données projet'!$B$9,Paramètres!$A$1:$I$89,3,0)*VLOOKUP('Données projet'!$B$9,Paramètres!$A$1:$I$89,5,0)</f>
        <v>-1.71756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60.096061837062251</v>
      </c>
      <c r="T156" s="62">
        <f t="shared" si="142"/>
        <v>281.84429700292912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3.8168322713993885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3.1060003082500238E-19</v>
      </c>
      <c r="AC156" s="24">
        <f t="shared" si="163"/>
        <v>3.8168322713993885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</v>
      </c>
      <c r="O157" s="14">
        <f>N157*VLOOKUP('Données projet'!$B$9,Paramètres!$A$1:$I$89,3,0)*VLOOKUP('Données projet'!$B$9,Paramètres!$A$1:$I$89,5,0)</f>
        <v>-1.71756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60.096061837062251</v>
      </c>
      <c r="T157" s="62">
        <f t="shared" si="142"/>
        <v>281.84429700292912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3.7419865185950574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2.1962738803310988E-19</v>
      </c>
      <c r="AC157" s="24">
        <f t="shared" si="163"/>
        <v>3.7419865185950574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</v>
      </c>
      <c r="O158" s="14">
        <f>N158*VLOOKUP('Données projet'!$B$9,Paramètres!$A$1:$I$89,3,0)*VLOOKUP('Données projet'!$B$9,Paramètres!$A$1:$I$89,5,0)</f>
        <v>-1.71756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60.096061837062251</v>
      </c>
      <c r="T158" s="62">
        <f t="shared" si="142"/>
        <v>281.84429700292912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3.6686084453518175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1.5530001541250119E-19</v>
      </c>
      <c r="AC158" s="24">
        <f t="shared" si="163"/>
        <v>3.6686084453518175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</v>
      </c>
      <c r="O159" s="14">
        <f>N159*VLOOKUP('Données projet'!$B$9,Paramètres!$A$1:$I$89,3,0)*VLOOKUP('Données projet'!$B$9,Paramètres!$A$1:$I$89,5,0)</f>
        <v>-1.71756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60.096061837062251</v>
      </c>
      <c r="T159" s="62">
        <f t="shared" si="142"/>
        <v>281.84429700292912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3.5966692713686723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1.0981369401655494E-19</v>
      </c>
      <c r="AC159" s="24">
        <f t="shared" si="163"/>
        <v>3.5966692713686723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</v>
      </c>
      <c r="O160" s="14">
        <f>N160*VLOOKUP('Données projet'!$B$9,Paramètres!$A$1:$I$89,3,0)*VLOOKUP('Données projet'!$B$9,Paramètres!$A$1:$I$89,5,0)</f>
        <v>-1.71756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60.096061837062251</v>
      </c>
      <c r="T160" s="62">
        <f t="shared" si="142"/>
        <v>281.84429700292912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3.526140780708773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7.7650007706250596E-20</v>
      </c>
      <c r="AC160" s="24">
        <f t="shared" si="163"/>
        <v>3.526140780708773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</v>
      </c>
      <c r="O161" s="14">
        <f>N161*VLOOKUP('Données projet'!$B$9,Paramètres!$A$1:$I$89,3,0)*VLOOKUP('Données projet'!$B$9,Paramètres!$A$1:$I$89,5,0)</f>
        <v>-1.71756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60.096061837062251</v>
      </c>
      <c r="T161" s="62">
        <f t="shared" si="142"/>
        <v>281.84429700292912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3.4569953107325828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5.4906847008277469E-20</v>
      </c>
      <c r="AC161" s="24">
        <f t="shared" si="163"/>
        <v>3.4569953107325828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</v>
      </c>
      <c r="O162" s="14">
        <f>N162*VLOOKUP('Données projet'!$B$9,Paramètres!$A$1:$I$89,3,0)*VLOOKUP('Données projet'!$B$9,Paramètres!$A$1:$I$89,5,0)</f>
        <v>-1.71756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60.096061837062251</v>
      </c>
      <c r="T162" s="62">
        <f t="shared" si="142"/>
        <v>281.84429700292912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3.3892057412480536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3.8825003853125298E-20</v>
      </c>
      <c r="AC162" s="24">
        <f t="shared" si="163"/>
        <v>3.3892057412480536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</v>
      </c>
      <c r="O163" s="14">
        <f>N163*VLOOKUP('Données projet'!$B$9,Paramètres!$A$1:$I$89,3,0)*VLOOKUP('Données projet'!$B$9,Paramètres!$A$1:$I$89,5,0)</f>
        <v>-1.71756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60.096061837062251</v>
      </c>
      <c r="T163" s="62">
        <f t="shared" si="142"/>
        <v>281.84429700292912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3.3227454838735615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2.7453423504138734E-20</v>
      </c>
      <c r="AC163" s="24">
        <f t="shared" si="163"/>
        <v>3.3227454838735615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</v>
      </c>
      <c r="O164" s="14">
        <f>N164*VLOOKUP('Données projet'!$B$9,Paramètres!$A$1:$I$89,3,0)*VLOOKUP('Données projet'!$B$9,Paramètres!$A$1:$I$89,5,0)</f>
        <v>-1.71756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60.096061837062251</v>
      </c>
      <c r="T164" s="62">
        <f t="shared" si="142"/>
        <v>281.84429700292912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3.2575884716094285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1.9412501926562649E-20</v>
      </c>
      <c r="AC164" s="24">
        <f t="shared" si="163"/>
        <v>3.2575884716094285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</v>
      </c>
      <c r="O165" s="14">
        <f>N165*VLOOKUP('Données projet'!$B$9,Paramètres!$A$1:$I$89,3,0)*VLOOKUP('Données projet'!$B$9,Paramètres!$A$1:$I$89,5,0)</f>
        <v>-1.71756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60.096061837062251</v>
      </c>
      <c r="T165" s="62">
        <f t="shared" si="142"/>
        <v>281.84429700292912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3.1937091486139422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1.3726711752069367E-20</v>
      </c>
      <c r="AC165" s="24">
        <f t="shared" si="163"/>
        <v>3.1937091486139422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</v>
      </c>
      <c r="O166" s="14">
        <f>N166*VLOOKUP('Données projet'!$B$9,Paramètres!$A$1:$I$89,3,0)*VLOOKUP('Données projet'!$B$9,Paramètres!$A$1:$I$89,5,0)</f>
        <v>-1.71756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60.096061837062251</v>
      </c>
      <c r="T166" s="62">
        <f t="shared" si="142"/>
        <v>281.84429700292912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3.1310824601798575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9.7062509632813245E-21</v>
      </c>
      <c r="AC166" s="24">
        <f t="shared" si="163"/>
        <v>3.1310824601798575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</v>
      </c>
      <c r="O167" s="14">
        <f>N167*VLOOKUP('Données projet'!$B$9,Paramètres!$A$1:$I$89,3,0)*VLOOKUP('Données projet'!$B$9,Paramètres!$A$1:$I$89,5,0)</f>
        <v>-1.71756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60.096061837062251</v>
      </c>
      <c r="T167" s="62">
        <f t="shared" si="142"/>
        <v>281.84429700292912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3.0696838429074571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6.8633558760346836E-21</v>
      </c>
      <c r="AC167" s="24">
        <f t="shared" si="163"/>
        <v>3.0696838429074571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</v>
      </c>
      <c r="O168" s="14">
        <f>N168*VLOOKUP('Données projet'!$B$9,Paramètres!$A$1:$I$89,3,0)*VLOOKUP('Données projet'!$B$9,Paramètres!$A$1:$I$89,5,0)</f>
        <v>-1.71756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60.096061837062251</v>
      </c>
      <c r="T168" s="62">
        <f t="shared" si="142"/>
        <v>281.84429700292912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3.0094892150703094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4.8531254816406622E-21</v>
      </c>
      <c r="AC168" s="24">
        <f t="shared" si="163"/>
        <v>3.0094892150703094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</v>
      </c>
      <c r="O169" s="14">
        <f>N169*VLOOKUP('Données projet'!$B$9,Paramètres!$A$1:$I$89,3,0)*VLOOKUP('Données projet'!$B$9,Paramètres!$A$1:$I$89,5,0)</f>
        <v>-1.71756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60.096061837062251</v>
      </c>
      <c r="T169" s="62">
        <f t="shared" si="142"/>
        <v>281.84429700292912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2.9504749671699506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3.4316779380173418E-21</v>
      </c>
      <c r="AC169" s="24">
        <f t="shared" si="163"/>
        <v>2.9504749671699506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</v>
      </c>
      <c r="O170" s="14">
        <f>N170*VLOOKUP('Données projet'!$B$9,Paramètres!$A$1:$I$89,3,0)*VLOOKUP('Données projet'!$B$9,Paramètres!$A$1:$I$89,5,0)</f>
        <v>-1.71756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60.096061837062251</v>
      </c>
      <c r="T170" s="62">
        <f t="shared" si="142"/>
        <v>281.84429700292912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2.8926179526757809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2.4265627408203311E-21</v>
      </c>
      <c r="AC170" s="24">
        <f t="shared" si="163"/>
        <v>2.8926179526757809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</v>
      </c>
      <c r="O171" s="14">
        <f>N171*VLOOKUP('Données projet'!$B$9,Paramètres!$A$1:$I$89,3,0)*VLOOKUP('Données projet'!$B$9,Paramètres!$A$1:$I$89,5,0)</f>
        <v>-1.71756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60.096061837062251</v>
      </c>
      <c r="T171" s="62">
        <f t="shared" si="142"/>
        <v>281.84429700292912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2.8358954789465476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1.7158389690086709E-21</v>
      </c>
      <c r="AC171" s="24">
        <f t="shared" si="163"/>
        <v>2.8358954789465476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</v>
      </c>
      <c r="O172" s="14">
        <f>N172*VLOOKUP('Données projet'!$B$9,Paramètres!$A$1:$I$89,3,0)*VLOOKUP('Données projet'!$B$9,Paramètres!$A$1:$I$89,5,0)</f>
        <v>-1.71756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60.096061837062251</v>
      </c>
      <c r="T172" s="62">
        <f t="shared" si="142"/>
        <v>281.84429700292912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2.7802852983298516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1.2132813704101656E-21</v>
      </c>
      <c r="AC172" s="24">
        <f t="shared" si="163"/>
        <v>2.7802852983298516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</v>
      </c>
      <c r="O173" s="14">
        <f>N173*VLOOKUP('Données projet'!$B$9,Paramètres!$A$1:$I$89,3,0)*VLOOKUP('Données projet'!$B$9,Paramètres!$A$1:$I$89,5,0)</f>
        <v>-1.71756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60.096061837062251</v>
      </c>
      <c r="T173" s="62">
        <f t="shared" si="142"/>
        <v>281.84429700292912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2.7257655994361882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8.5791948450433545E-22</v>
      </c>
      <c r="AC173" s="24">
        <f t="shared" si="163"/>
        <v>2.7257655994361882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</v>
      </c>
      <c r="O174" s="14">
        <f>N174*VLOOKUP('Données projet'!$B$9,Paramètres!$A$1:$I$89,3,0)*VLOOKUP('Données projet'!$B$9,Paramètres!$A$1:$I$89,5,0)</f>
        <v>-1.71756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60.096061837062251</v>
      </c>
      <c r="T174" s="62">
        <f t="shared" si="142"/>
        <v>281.84429700292912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2.6723149985840968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6.0664068520508278E-22</v>
      </c>
      <c r="AC174" s="24">
        <f t="shared" si="163"/>
        <v>2.6723149985840968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</v>
      </c>
      <c r="O175" s="14">
        <f>N175*VLOOKUP('Données projet'!$B$9,Paramètres!$A$1:$I$89,3,0)*VLOOKUP('Données projet'!$B$9,Paramètres!$A$1:$I$89,5,0)</f>
        <v>-1.71756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60.096061837062251</v>
      </c>
      <c r="T175" s="62">
        <f t="shared" si="142"/>
        <v>281.84429700292912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2.6199125314130676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4.2895974225216772E-22</v>
      </c>
      <c r="AC175" s="24">
        <f t="shared" si="163"/>
        <v>2.6199125314130676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</v>
      </c>
      <c r="O176" s="14">
        <f>N176*VLOOKUP('Données projet'!$B$9,Paramètres!$A$1:$I$89,3,0)*VLOOKUP('Données projet'!$B$9,Paramètres!$A$1:$I$89,5,0)</f>
        <v>-1.71756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60.096061837062251</v>
      </c>
      <c r="T176" s="62">
        <f t="shared" si="142"/>
        <v>281.84429700292912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2.5685376446609132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3.0332034260254139E-22</v>
      </c>
      <c r="AC176" s="24">
        <f t="shared" si="163"/>
        <v>2.5685376446609132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</v>
      </c>
      <c r="O177" s="14">
        <f>N177*VLOOKUP('Données projet'!$B$9,Paramètres!$A$1:$I$89,3,0)*VLOOKUP('Données projet'!$B$9,Paramètres!$A$1:$I$89,5,0)</f>
        <v>-1.71756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60.096061837062251</v>
      </c>
      <c r="T177" s="62">
        <f t="shared" si="142"/>
        <v>281.84429700292912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2.5181701881023817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2.1447987112608386E-22</v>
      </c>
      <c r="AC177" s="24">
        <f t="shared" si="163"/>
        <v>2.5181701881023817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</v>
      </c>
      <c r="O178" s="14">
        <f>N178*VLOOKUP('Données projet'!$B$9,Paramètres!$A$1:$I$89,3,0)*VLOOKUP('Données projet'!$B$9,Paramètres!$A$1:$I$89,5,0)</f>
        <v>-1.71756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60.096061837062251</v>
      </c>
      <c r="T178" s="62">
        <f t="shared" si="142"/>
        <v>281.84429700292912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2.4687904066458479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1.5166017130127069E-22</v>
      </c>
      <c r="AC178" s="24">
        <f t="shared" si="163"/>
        <v>2.4687904066458479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</v>
      </c>
      <c r="O179" s="14">
        <f>N179*VLOOKUP('Données projet'!$B$9,Paramètres!$A$1:$I$89,3,0)*VLOOKUP('Données projet'!$B$9,Paramètres!$A$1:$I$89,5,0)</f>
        <v>-1.71756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60.096061837062251</v>
      </c>
      <c r="T179" s="62">
        <f t="shared" si="142"/>
        <v>281.84429700292912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2.4203789325849843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1.0723993556304193E-22</v>
      </c>
      <c r="AC179" s="24">
        <f t="shared" si="163"/>
        <v>2.4203789325849843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</v>
      </c>
      <c r="O180" s="14">
        <f>N180*VLOOKUP('Données projet'!$B$9,Paramètres!$A$1:$I$89,3,0)*VLOOKUP('Données projet'!$B$9,Paramètres!$A$1:$I$89,5,0)</f>
        <v>-1.71756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60.096061837062251</v>
      </c>
      <c r="T180" s="62">
        <f t="shared" si="142"/>
        <v>281.84429700292912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2.3729167780023706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7.5830085650635347E-23</v>
      </c>
      <c r="AC180" s="24">
        <f t="shared" si="163"/>
        <v>2.3729167780023706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</v>
      </c>
      <c r="O181" s="14">
        <f>N181*VLOOKUP('Données projet'!$B$9,Paramètres!$A$1:$I$89,3,0)*VLOOKUP('Données projet'!$B$9,Paramètres!$A$1:$I$89,5,0)</f>
        <v>-1.71756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60.096061837062251</v>
      </c>
      <c r="T181" s="62">
        <f t="shared" si="142"/>
        <v>281.84429700292912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2.326385327322066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5.3619967781520966E-23</v>
      </c>
      <c r="AC181" s="24">
        <f t="shared" si="163"/>
        <v>2.326385327322066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</v>
      </c>
      <c r="O182" s="14">
        <f>N182*VLOOKUP('Données projet'!$B$9,Paramètres!$A$1:$I$89,3,0)*VLOOKUP('Données projet'!$B$9,Paramètres!$A$1:$I$89,5,0)</f>
        <v>-1.71756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60.096061837062251</v>
      </c>
      <c r="T182" s="62">
        <f t="shared" si="142"/>
        <v>281.84429700292912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2.2807663300082197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3.7915042825317674E-23</v>
      </c>
      <c r="AC182" s="24">
        <f t="shared" si="163"/>
        <v>2.2807663300082197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</v>
      </c>
      <c r="O183" s="14">
        <f>N183*VLOOKUP('Données projet'!$B$9,Paramètres!$A$1:$I$89,3,0)*VLOOKUP('Données projet'!$B$9,Paramètres!$A$1:$I$89,5,0)</f>
        <v>-1.71756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60.096061837062251</v>
      </c>
      <c r="T183" s="62">
        <f t="shared" si="142"/>
        <v>281.84429700292912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2.2360418934068571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2.6809983890760483E-23</v>
      </c>
      <c r="AC183" s="24">
        <f t="shared" si="163"/>
        <v>2.2360418934068571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</v>
      </c>
      <c r="O184" s="14">
        <f>N184*VLOOKUP('Données projet'!$B$9,Paramètres!$A$1:$I$89,3,0)*VLOOKUP('Données projet'!$B$9,Paramètres!$A$1:$I$89,5,0)</f>
        <v>-1.71756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60.096061837062251</v>
      </c>
      <c r="T184" s="62">
        <f t="shared" si="142"/>
        <v>281.84429700292912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2.1921944757280345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1.8957521412658837E-23</v>
      </c>
      <c r="AC184" s="24">
        <f t="shared" si="163"/>
        <v>2.1921944757280345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</v>
      </c>
      <c r="O185" s="14">
        <f>N185*VLOOKUP('Données projet'!$B$9,Paramètres!$A$1:$I$89,3,0)*VLOOKUP('Données projet'!$B$9,Paramètres!$A$1:$I$89,5,0)</f>
        <v>-1.71756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60.096061837062251</v>
      </c>
      <c r="T185" s="62">
        <f t="shared" si="142"/>
        <v>281.84429700292912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2.1492068791656096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1.3404991945380241E-23</v>
      </c>
      <c r="AC185" s="24">
        <f t="shared" si="163"/>
        <v>2.1492068791656096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</v>
      </c>
      <c r="O186" s="14">
        <f>N186*VLOOKUP('Données projet'!$B$9,Paramètres!$A$1:$I$89,3,0)*VLOOKUP('Données projet'!$B$9,Paramètres!$A$1:$I$89,5,0)</f>
        <v>-1.71756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60.096061837062251</v>
      </c>
      <c r="T186" s="62">
        <f t="shared" si="142"/>
        <v>281.84429700292912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2.1070622431519288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9.4787607063294184E-24</v>
      </c>
      <c r="AC186" s="24">
        <f t="shared" si="163"/>
        <v>2.1070622431519288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</v>
      </c>
      <c r="O187" s="14">
        <f>N187*VLOOKUP('Données projet'!$B$9,Paramètres!$A$1:$I$89,3,0)*VLOOKUP('Données projet'!$B$9,Paramètres!$A$1:$I$89,5,0)</f>
        <v>-1.71756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60.096061837062251</v>
      </c>
      <c r="T187" s="62">
        <f t="shared" si="142"/>
        <v>281.84429700292912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2.0657440377447869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6.7024959726901207E-24</v>
      </c>
      <c r="AC187" s="24">
        <f t="shared" si="163"/>
        <v>2.0657440377447869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</v>
      </c>
      <c r="O188" s="14">
        <f>N188*VLOOKUP('Données projet'!$B$9,Paramètres!$A$1:$I$89,3,0)*VLOOKUP('Données projet'!$B$9,Paramètres!$A$1:$I$89,5,0)</f>
        <v>-1.71756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60.096061837062251</v>
      </c>
      <c r="T188" s="62">
        <f t="shared" si="142"/>
        <v>281.84429700292912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2.025236057144062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4.7393803531647092E-24</v>
      </c>
      <c r="AC188" s="24">
        <f t="shared" si="163"/>
        <v>2.025236057144062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</v>
      </c>
      <c r="O189" s="14">
        <f>N189*VLOOKUP('Données projet'!$B$9,Paramètres!$A$1:$I$89,3,0)*VLOOKUP('Données projet'!$B$9,Paramètres!$A$1:$I$89,5,0)</f>
        <v>-1.71756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60.096061837062251</v>
      </c>
      <c r="T189" s="62">
        <f t="shared" si="142"/>
        <v>281.84429700292912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1.9855224133354887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3.3512479863450604E-24</v>
      </c>
      <c r="AC189" s="24">
        <f t="shared" si="163"/>
        <v>1.9855224133354887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</v>
      </c>
      <c r="O190" s="14">
        <f>N190*VLOOKUP('Données projet'!$B$9,Paramètres!$A$1:$I$89,3,0)*VLOOKUP('Données projet'!$B$9,Paramètres!$A$1:$I$89,5,0)</f>
        <v>-1.71756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60.096061837062251</v>
      </c>
      <c r="T190" s="62">
        <f t="shared" si="142"/>
        <v>281.84429700292912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1.9465875298590707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2.3696901765823546E-24</v>
      </c>
      <c r="AC190" s="24">
        <f t="shared" si="163"/>
        <v>1.9465875298590707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</v>
      </c>
      <c r="O191" s="14">
        <f>N191*VLOOKUP('Données projet'!$B$9,Paramètres!$A$1:$I$89,3,0)*VLOOKUP('Données projet'!$B$9,Paramètres!$A$1:$I$89,5,0)</f>
        <v>-1.71756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60.096061837062251</v>
      </c>
      <c r="T191" s="62">
        <f t="shared" si="142"/>
        <v>281.84429700292912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1.9084161356996914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1.6756239931725302E-24</v>
      </c>
      <c r="AC191" s="24">
        <f t="shared" si="163"/>
        <v>1.9084161356996914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</v>
      </c>
      <c r="O192" s="14">
        <f>N192*VLOOKUP('Données projet'!$B$9,Paramètres!$A$1:$I$89,3,0)*VLOOKUP('Données projet'!$B$9,Paramètres!$A$1:$I$89,5,0)</f>
        <v>-1.71756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60.096061837062251</v>
      </c>
      <c r="T192" s="62">
        <f t="shared" si="142"/>
        <v>281.84429700292912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1.8709932592975258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1.1848450882911773E-24</v>
      </c>
      <c r="AC192" s="24">
        <f t="shared" si="163"/>
        <v>1.8709932592975258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</v>
      </c>
      <c r="O193" s="14">
        <f>N193*VLOOKUP('Données projet'!$B$9,Paramètres!$A$1:$I$89,3,0)*VLOOKUP('Données projet'!$B$9,Paramètres!$A$1:$I$89,5,0)</f>
        <v>-1.71756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60.096061837062251</v>
      </c>
      <c r="T193" s="62">
        <f t="shared" si="142"/>
        <v>281.84429700292912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1.8343042226759061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8.3781199658626509E-25</v>
      </c>
      <c r="AC193" s="24">
        <f t="shared" si="163"/>
        <v>1.8343042226759061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</v>
      </c>
      <c r="O194" s="14">
        <f>N194*VLOOKUP('Données projet'!$B$9,Paramètres!$A$1:$I$89,3,0)*VLOOKUP('Données projet'!$B$9,Paramètres!$A$1:$I$89,5,0)</f>
        <v>-1.71756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60.096061837062251</v>
      </c>
      <c r="T194" s="62">
        <f t="shared" si="142"/>
        <v>281.84429700292912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1.7983346356843335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5.9242254414558865E-25</v>
      </c>
      <c r="AC194" s="24">
        <f t="shared" si="163"/>
        <v>1.7983346356843335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</v>
      </c>
      <c r="O195" s="14">
        <f>N195*VLOOKUP('Données projet'!$B$9,Paramètres!$A$1:$I$89,3,0)*VLOOKUP('Données projet'!$B$9,Paramètres!$A$1:$I$89,5,0)</f>
        <v>-1.71756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60.096061837062251</v>
      </c>
      <c r="T195" s="62">
        <f t="shared" si="142"/>
        <v>281.84429700292912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1.7630703903543841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4.1890599829313254E-25</v>
      </c>
      <c r="AC195" s="24">
        <f t="shared" si="163"/>
        <v>1.7630703903543841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</v>
      </c>
      <c r="O196" s="14">
        <f>N196*VLOOKUP('Données projet'!$B$9,Paramètres!$A$1:$I$89,3,0)*VLOOKUP('Données projet'!$B$9,Paramètres!$A$1:$I$89,5,0)</f>
        <v>-1.71756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60.096061837062251</v>
      </c>
      <c r="T196" s="62">
        <f t="shared" si="142"/>
        <v>281.84429700292912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1.728497655366289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2.9621127207279433E-25</v>
      </c>
      <c r="AC196" s="24">
        <f t="shared" si="163"/>
        <v>1.728497655366289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</v>
      </c>
      <c r="O197" s="14">
        <f>N197*VLOOKUP('Données projet'!$B$9,Paramètres!$A$1:$I$89,3,0)*VLOOKUP('Données projet'!$B$9,Paramètres!$A$1:$I$89,5,0)</f>
        <v>-1.71756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60.096061837062251</v>
      </c>
      <c r="T197" s="62">
        <f t="shared" ref="T197:T203" si="204">$T$3</f>
        <v>281.84429700292912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1.6946028706240244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2.0945299914656627E-25</v>
      </c>
      <c r="AC197" s="24">
        <f t="shared" si="163"/>
        <v>1.6946028706240244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</v>
      </c>
      <c r="O198" s="14">
        <f>N198*VLOOKUP('Données projet'!$B$9,Paramètres!$A$1:$I$89,3,0)*VLOOKUP('Données projet'!$B$9,Paramètres!$A$1:$I$89,5,0)</f>
        <v>-1.71756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60.096061837062251</v>
      </c>
      <c r="T198" s="62">
        <f t="shared" si="204"/>
        <v>281.84429700292912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1.6613727419367783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1.4810563603639716E-25</v>
      </c>
      <c r="AC198" s="24">
        <f t="shared" si="163"/>
        <v>1.6613727419367783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</v>
      </c>
      <c r="O199" s="14">
        <f>N199*VLOOKUP('Données projet'!$B$9,Paramètres!$A$1:$I$89,3,0)*VLOOKUP('Données projet'!$B$9,Paramètres!$A$1:$I$89,5,0)</f>
        <v>-1.71756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60.096061837062251</v>
      </c>
      <c r="T199" s="62">
        <f t="shared" si="204"/>
        <v>281.84429700292912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1.6287942358047118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1.0472649957328314E-25</v>
      </c>
      <c r="AC199" s="24">
        <f t="shared" si="163"/>
        <v>1.6287942358047118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</v>
      </c>
      <c r="O200" s="14">
        <f>N200*VLOOKUP('Données projet'!$B$9,Paramètres!$A$1:$I$89,3,0)*VLOOKUP('Données projet'!$B$9,Paramètres!$A$1:$I$89,5,0)</f>
        <v>-1.71756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60.096061837062251</v>
      </c>
      <c r="T200" s="62">
        <f t="shared" si="204"/>
        <v>281.84429700292912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1.5968545743069686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7.4052818018198582E-26</v>
      </c>
      <c r="AC200" s="24">
        <f t="shared" si="163"/>
        <v>1.5968545743069686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</v>
      </c>
      <c r="O201" s="14">
        <f>N201*VLOOKUP('Données projet'!$B$9,Paramètres!$A$1:$I$89,3,0)*VLOOKUP('Données projet'!$B$9,Paramètres!$A$1:$I$89,5,0)</f>
        <v>-1.71756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60.096061837062251</v>
      </c>
      <c r="T201" s="62">
        <f t="shared" si="204"/>
        <v>281.84429700292912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1.5655412300899263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5.2363249786641568E-26</v>
      </c>
      <c r="AC201" s="24">
        <f t="shared" si="163"/>
        <v>1.5655412300899263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</v>
      </c>
      <c r="O202" s="14">
        <f>N202*VLOOKUP('Données projet'!$B$9,Paramètres!$A$1:$I$89,3,0)*VLOOKUP('Données projet'!$B$9,Paramètres!$A$1:$I$89,5,0)</f>
        <v>-1.71756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60.096061837062251</v>
      </c>
      <c r="T202" s="62">
        <f t="shared" si="204"/>
        <v>281.84429700292912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1.5348419214537261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3.7026409009099291E-26</v>
      </c>
      <c r="AC202" s="24">
        <f t="shared" si="163"/>
        <v>1.5348419214537261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</v>
      </c>
      <c r="O203" s="14">
        <f>N203*VLOOKUP('Données projet'!$B$9,Paramètres!$A$1:$I$89,3,0)*VLOOKUP('Données projet'!$B$9,Paramètres!$A$1:$I$89,5,0)</f>
        <v>-1.71756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60.096061837062251</v>
      </c>
      <c r="T203" s="62">
        <f t="shared" si="204"/>
        <v>281.84429700292912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1.5047446075351525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2.6181624893320784E-26</v>
      </c>
      <c r="AC203" s="24">
        <f t="shared" si="163"/>
        <v>1.5047446075351525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1.3023367962840438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2.95</v>
      </c>
      <c r="C6" s="156">
        <f ca="1">IF(OR('Données projet'!B9="",'Données projet'!C9="",'Données projet'!C9=0%),0,Calculateur!S3)</f>
        <v>60.096061837062251</v>
      </c>
      <c r="D6" s="156">
        <f>IF(OR('Données projet'!B9="",'Données projet'!C9="",'Données projet'!C9=0%),0,Calculateur!T3)</f>
        <v>281.84429700292912</v>
      </c>
      <c r="E6" s="156">
        <f ca="1">MIN(C6,D6)</f>
        <v>60.096061837062251</v>
      </c>
      <c r="F6" s="156">
        <f ca="1">E6*B6</f>
        <v>177.28338241933366</v>
      </c>
      <c r="G6" s="156">
        <f ca="1">F6*(100%-'Données projet'!$C$24)*(100%-'Données projet'!$C$25)*(100%-'Données projet'!$C$26)*(100%-'Données projet'!$C$27)</f>
        <v>151.57729196853029</v>
      </c>
      <c r="H6" s="157">
        <f>IF(OR('Données projet'!B9="",'Données projet'!C9="",'Données projet'!C9=0%),0,AVERAGE(Calculateur!$AC$3:$AC$33)*B6)</f>
        <v>60.800756323939645</v>
      </c>
      <c r="I6" s="158">
        <f>H6*(100%-'Données projet'!$C$24)*(100%-'Données projet'!$C$25)*(100%-'Données projet'!$C$26)*(100%-'Données projet'!$C$27)</f>
        <v>51.984646656968394</v>
      </c>
      <c r="J6" s="159">
        <f>IF(OR('Données projet'!B9="",'Données projet'!C9="",'Données projet'!C9=0%),0,SUM(Calculateur!$V$3:$V$33)*VLOOKUP('Données projet'!$B$9,Paramètres!$A$1:$I$89,9,0)*B6)</f>
        <v>607.70000000000005</v>
      </c>
      <c r="K6" s="160">
        <f>J6*(100%-'Données projet'!$C$24)*(100%-'Données projet'!$C$25)*(100%-'Données projet'!$C$26)*(100%-'Données projet'!$C$27)</f>
        <v>519.58350000000007</v>
      </c>
      <c r="L6" s="161">
        <f ca="1">G6+I6+K6</f>
        <v>723.14543862549874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177.28338241933366</v>
      </c>
      <c r="G16" s="175">
        <f t="shared" ca="1" si="3"/>
        <v>151.57729196853029</v>
      </c>
      <c r="H16" s="176">
        <f t="shared" si="3"/>
        <v>60.800756323939645</v>
      </c>
      <c r="I16" s="176">
        <f t="shared" si="3"/>
        <v>51.984646656968394</v>
      </c>
      <c r="J16" s="177">
        <f t="shared" si="3"/>
        <v>607.70000000000005</v>
      </c>
      <c r="K16" s="177">
        <f t="shared" si="3"/>
        <v>519.58350000000007</v>
      </c>
      <c r="L16" s="178">
        <f t="shared" ca="1" si="3"/>
        <v>723.14543862549874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B47" sqref="B4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5390.3571758995995</v>
      </c>
      <c r="U10" s="190">
        <f>'Données projet'!D9</f>
        <v>2.95</v>
      </c>
      <c r="V10" s="189">
        <f>U10*T10</f>
        <v>15901.55366890382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200</v>
      </c>
      <c r="C23" s="206">
        <v>65</v>
      </c>
      <c r="D23" s="194">
        <f>B23*C23</f>
        <v>13000</v>
      </c>
      <c r="E23" s="206"/>
      <c r="F23" s="261"/>
      <c r="H23" s="203">
        <v>3</v>
      </c>
      <c r="I23" s="204">
        <v>750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2871.813718913776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750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20992.293566148532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200</v>
      </c>
      <c r="K25" s="225"/>
      <c r="L25" s="271" t="s">
        <v>285</v>
      </c>
      <c r="M25" s="271"/>
      <c r="N25" s="271"/>
      <c r="O25" s="271"/>
      <c r="P25" s="205">
        <v>508</v>
      </c>
      <c r="Q25" s="265"/>
      <c r="R25" s="25"/>
      <c r="S25" s="198" t="s">
        <v>266</v>
      </c>
      <c r="T25" s="341">
        <f ca="1">T23-T24</f>
        <v>-18120.479847234754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7116.0317173384847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508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486.12440191387566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465.1908152285892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445.15867485989395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425.98916254535317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407.64513162234755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390.09103504530873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373.29285650268775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357.21804450017976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341.83544928246869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327.11526247126199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313.02895930264305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299.54924335181158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286.64999363809721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274.30621400774857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262.49398469641011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251.19041597742606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240.3736038061493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230.02258737430563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220.11730849215849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210.63857271976894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2023-04-21T07:58:19Z</dcterms:modified>
</cp:coreProperties>
</file>