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Limousin\BLOND (87) - GF DES MONTS (ex GF BASSE FORET)\Documents fin\"/>
    </mc:Choice>
  </mc:AlternateContent>
  <xr:revisionPtr revIDLastSave="0" documentId="13_ncr:1_{B57F746F-A6EC-46AE-B0C8-2610601ADEB6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<sst xmlns="http://schemas.openxmlformats.org/spreadsheetml/2006/main" count="1170" uniqueCount="324">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</sst>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2.031907402748768</c:v>
                </c:pt>
                <c:pt idx="2">
                  <c:v>2.6623840980288702</c:v>
                </c:pt>
                <c:pt idx="3">
                  <c:v>3.4892924617433518</c:v>
                </c:pt>
                <c:pt idx="4">
                  <c:v>4.5740685657030165</c:v>
                </c:pt>
                <c:pt idx="5">
                  <c:v>5.9974322325810041</c:v>
                </c:pt>
                <c:pt idx="6">
                  <c:v>7.8654599863275783</c:v>
                </c:pt>
                <c:pt idx="7">
                  <c:v>10.317576370738935</c:v>
                </c:pt>
                <c:pt idx="8">
                  <c:v>13.53707131484501</c:v>
                </c:pt>
                <c:pt idx="9">
                  <c:v>17.764944205134721</c:v>
                </c:pt>
                <c:pt idx="10">
                  <c:v>23.318129731757608</c:v>
                </c:pt>
                <c:pt idx="11">
                  <c:v>30.613496000795752</c:v>
                </c:pt>
                <c:pt idx="12">
                  <c:v>40.19944770009392</c:v>
                </c:pt>
                <c:pt idx="13">
                  <c:v>52.797550388930141</c:v>
                </c:pt>
                <c:pt idx="14">
                  <c:v>69.357361279449364</c:v>
                </c:pt>
                <c:pt idx="15">
                  <c:v>91.128666622788032</c:v>
                </c:pt>
                <c:pt idx="16">
                  <c:v>119.75666445822681</c:v>
                </c:pt>
                <c:pt idx="17">
                  <c:v>157.40739759934175</c:v>
                </c:pt>
                <c:pt idx="18">
                  <c:v>152.63928887769075</c:v>
                </c:pt>
                <c:pt idx="19">
                  <c:v>167.36613849703656</c:v>
                </c:pt>
                <c:pt idx="20">
                  <c:v>182.06242044637693</c:v>
                </c:pt>
                <c:pt idx="21">
                  <c:v>183.8758659829856</c:v>
                </c:pt>
                <c:pt idx="22">
                  <c:v>205.0891292024188</c:v>
                </c:pt>
                <c:pt idx="23">
                  <c:v>226.25164550125564</c:v>
                </c:pt>
                <c:pt idx="24">
                  <c:v>247.36882925179307</c:v>
                </c:pt>
                <c:pt idx="25">
                  <c:v>268.44509403501723</c:v>
                </c:pt>
                <c:pt idx="26">
                  <c:v>244.79583422246174</c:v>
                </c:pt>
                <c:pt idx="27">
                  <c:v>267.41787510049454</c:v>
                </c:pt>
                <c:pt idx="28">
                  <c:v>289.99681160231404</c:v>
                </c:pt>
                <c:pt idx="29">
                  <c:v>312.53647021104257</c:v>
                </c:pt>
                <c:pt idx="30">
                  <c:v>335.04008037896625</c:v>
                </c:pt>
                <c:pt idx="31">
                  <c:v>289.99681160231404</c:v>
                </c:pt>
                <c:pt idx="32">
                  <c:v>314.07191886152782</c:v>
                </c:pt>
                <c:pt idx="33">
                  <c:v>338.10611860508033</c:v>
                </c:pt>
                <c:pt idx="34">
                  <c:v>362.10272554390014</c:v>
                </c:pt>
                <c:pt idx="35">
                  <c:v>386.06457932909711</c:v>
                </c:pt>
                <c:pt idx="36">
                  <c:v>342.1932186321871</c:v>
                </c:pt>
                <c:pt idx="37">
                  <c:v>364.6534648608133</c:v>
                </c:pt>
                <c:pt idx="38">
                  <c:v>387.08350012671559</c:v>
                </c:pt>
                <c:pt idx="39">
                  <c:v>409.48531996489623</c:v>
                </c:pt>
                <c:pt idx="40">
                  <c:v>431.86068387305687</c:v>
                </c:pt>
                <c:pt idx="41">
                  <c:v>396.25118655434966</c:v>
                </c:pt>
                <c:pt idx="42">
                  <c:v>421.69323961894696</c:v>
                </c:pt>
                <c:pt idx="43">
                  <c:v>447.10225323882656</c:v>
                </c:pt>
                <c:pt idx="44">
                  <c:v>472.48036714392646</c:v>
                </c:pt>
                <c:pt idx="45">
                  <c:v>497.8294726490094</c:v>
                </c:pt>
                <c:pt idx="46">
                  <c:v>447.61011165255627</c:v>
                </c:pt>
                <c:pt idx="47">
                  <c:v>469.69022691951341</c:v>
                </c:pt>
                <c:pt idx="48">
                  <c:v>491.74823970258649</c:v>
                </c:pt>
                <c:pt idx="49">
                  <c:v>513.78528004261909</c:v>
                </c:pt>
                <c:pt idx="50">
                  <c:v>535.80237321728112</c:v>
                </c:pt>
                <c:pt idx="51">
                  <c:v>500.61617734977295</c:v>
                </c:pt>
                <c:pt idx="52">
                  <c:v>524.92279412001812</c:v>
                </c:pt>
                <c:pt idx="53">
                  <c:v>549.20570960219959</c:v>
                </c:pt>
                <c:pt idx="54">
                  <c:v>573.46611798533252</c:v>
                </c:pt>
                <c:pt idx="55">
                  <c:v>597.7051042871891</c:v>
                </c:pt>
                <c:pt idx="56">
                  <c:v>558.55867937490257</c:v>
                </c:pt>
                <c:pt idx="57">
                  <c:v>580.03291566489895</c:v>
                </c:pt>
                <c:pt idx="58">
                  <c:v>601.49057626451452</c:v>
                </c:pt>
                <c:pt idx="59">
                  <c:v>622.93233512534789</c:v>
                </c:pt>
                <c:pt idx="60">
                  <c:v>644.35881606732414</c:v>
                </c:pt>
                <c:pt idx="61">
                  <c:v>625.95816246292009</c:v>
                </c:pt>
                <c:pt idx="62">
                  <c:v>647.88645878177363</c:v>
                </c:pt>
                <c:pt idx="63">
                  <c:v>669.79945190168917</c:v>
                </c:pt>
                <c:pt idx="64">
                  <c:v>691.69771238133637</c:v>
                </c:pt>
                <c:pt idx="65">
                  <c:v>713.58177174919854</c:v>
                </c:pt>
                <c:pt idx="66">
                  <c:v>678.35911636872606</c:v>
                </c:pt>
                <c:pt idx="67">
                  <c:v>678.35911636872606</c:v>
                </c:pt>
                <c:pt idx="68">
                  <c:v>678.35911636872606</c:v>
                </c:pt>
                <c:pt idx="69">
                  <c:v>678.35911636872606</c:v>
                </c:pt>
                <c:pt idx="70">
                  <c:v>678.35911636872606</c:v>
                </c:pt>
                <c:pt idx="71">
                  <c:v>678.35911636872606</c:v>
                </c:pt>
                <c:pt idx="72">
                  <c:v>678.35911636872606</c:v>
                </c:pt>
                <c:pt idx="73">
                  <c:v>678.35911636872606</c:v>
                </c:pt>
                <c:pt idx="74">
                  <c:v>678.35911636872606</c:v>
                </c:pt>
                <c:pt idx="75">
                  <c:v>678.35911636872606</c:v>
                </c:pt>
                <c:pt idx="76">
                  <c:v>678.35911636872606</c:v>
                </c:pt>
                <c:pt idx="77">
                  <c:v>678.35911636872606</c:v>
                </c:pt>
                <c:pt idx="78">
                  <c:v>678.35911636872606</c:v>
                </c:pt>
                <c:pt idx="79">
                  <c:v>678.35911636872606</c:v>
                </c:pt>
                <c:pt idx="80">
                  <c:v>678.35911636872606</c:v>
                </c:pt>
                <c:pt idx="81">
                  <c:v>678.35911636872606</c:v>
                </c:pt>
                <c:pt idx="82">
                  <c:v>678.35911636872606</c:v>
                </c:pt>
                <c:pt idx="83">
                  <c:v>678.35911636872606</c:v>
                </c:pt>
                <c:pt idx="84">
                  <c:v>678.35911636872606</c:v>
                </c:pt>
                <c:pt idx="85">
                  <c:v>678.35911636872606</c:v>
                </c:pt>
                <c:pt idx="86">
                  <c:v>678.35911636872606</c:v>
                </c:pt>
                <c:pt idx="87">
                  <c:v>678.35911636872606</c:v>
                </c:pt>
                <c:pt idx="88">
                  <c:v>678.35911636872606</c:v>
                </c:pt>
                <c:pt idx="89">
                  <c:v>678.35911636872606</c:v>
                </c:pt>
                <c:pt idx="90">
                  <c:v>678.35911636872606</c:v>
                </c:pt>
                <c:pt idx="91">
                  <c:v>678.35911636872606</c:v>
                </c:pt>
                <c:pt idx="92">
                  <c:v>678.35911636872606</c:v>
                </c:pt>
                <c:pt idx="93">
                  <c:v>678.35911636872606</c:v>
                </c:pt>
                <c:pt idx="94">
                  <c:v>678.35911636872606</c:v>
                </c:pt>
                <c:pt idx="95">
                  <c:v>678.35911636872606</c:v>
                </c:pt>
                <c:pt idx="96">
                  <c:v>678.35911636872606</c:v>
                </c:pt>
                <c:pt idx="97">
                  <c:v>678.35911636872606</c:v>
                </c:pt>
                <c:pt idx="98">
                  <c:v>678.35911636872606</c:v>
                </c:pt>
                <c:pt idx="99">
                  <c:v>678.35911636872606</c:v>
                </c:pt>
                <c:pt idx="100">
                  <c:v>678.35911636872606</c:v>
                </c:pt>
                <c:pt idx="101">
                  <c:v>678.35911636872606</c:v>
                </c:pt>
                <c:pt idx="102">
                  <c:v>678.35911636872606</c:v>
                </c:pt>
                <c:pt idx="103">
                  <c:v>678.35911636872606</c:v>
                </c:pt>
                <c:pt idx="104">
                  <c:v>678.35911636872606</c:v>
                </c:pt>
                <c:pt idx="105">
                  <c:v>678.35911636872606</c:v>
                </c:pt>
                <c:pt idx="106">
                  <c:v>678.35911636872606</c:v>
                </c:pt>
                <c:pt idx="107">
                  <c:v>678.35911636872606</c:v>
                </c:pt>
                <c:pt idx="108">
                  <c:v>678.35911636872606</c:v>
                </c:pt>
                <c:pt idx="109">
                  <c:v>678.35911636872606</c:v>
                </c:pt>
                <c:pt idx="110">
                  <c:v>678.35911636872606</c:v>
                </c:pt>
                <c:pt idx="111">
                  <c:v>678.35911636872606</c:v>
                </c:pt>
                <c:pt idx="112">
                  <c:v>678.35911636872606</c:v>
                </c:pt>
                <c:pt idx="113">
                  <c:v>678.35911636872606</c:v>
                </c:pt>
                <c:pt idx="114">
                  <c:v>678.35911636872606</c:v>
                </c:pt>
                <c:pt idx="115">
                  <c:v>678.35911636872606</c:v>
                </c:pt>
                <c:pt idx="116">
                  <c:v>678.35911636872606</c:v>
                </c:pt>
                <c:pt idx="117">
                  <c:v>678.35911636872606</c:v>
                </c:pt>
                <c:pt idx="118">
                  <c:v>678.35911636872606</c:v>
                </c:pt>
                <c:pt idx="119">
                  <c:v>678.35911636872606</c:v>
                </c:pt>
                <c:pt idx="120">
                  <c:v>678.35911636872606</c:v>
                </c:pt>
                <c:pt idx="121">
                  <c:v>678.35911636872606</c:v>
                </c:pt>
                <c:pt idx="122">
                  <c:v>678.35911636872606</c:v>
                </c:pt>
                <c:pt idx="123">
                  <c:v>678.35911636872606</c:v>
                </c:pt>
                <c:pt idx="124">
                  <c:v>678.35911636872606</c:v>
                </c:pt>
                <c:pt idx="125">
                  <c:v>678.35911636872606</c:v>
                </c:pt>
                <c:pt idx="126">
                  <c:v>678.35911636872606</c:v>
                </c:pt>
                <c:pt idx="127">
                  <c:v>678.35911636872606</c:v>
                </c:pt>
                <c:pt idx="128">
                  <c:v>678.35911636872606</c:v>
                </c:pt>
                <c:pt idx="129">
                  <c:v>678.35911636872606</c:v>
                </c:pt>
                <c:pt idx="130">
                  <c:v>678.35911636872606</c:v>
                </c:pt>
                <c:pt idx="131">
                  <c:v>678.35911636872606</c:v>
                </c:pt>
                <c:pt idx="132">
                  <c:v>678.35911636872606</c:v>
                </c:pt>
                <c:pt idx="133">
                  <c:v>678.35911636872606</c:v>
                </c:pt>
                <c:pt idx="134">
                  <c:v>678.35911636872606</c:v>
                </c:pt>
                <c:pt idx="135">
                  <c:v>678.35911636872606</c:v>
                </c:pt>
                <c:pt idx="136">
                  <c:v>678.35911636872606</c:v>
                </c:pt>
                <c:pt idx="137">
                  <c:v>678.35911636872606</c:v>
                </c:pt>
                <c:pt idx="138">
                  <c:v>678.35911636872606</c:v>
                </c:pt>
                <c:pt idx="139">
                  <c:v>678.35911636872606</c:v>
                </c:pt>
                <c:pt idx="140">
                  <c:v>678.35911636872606</c:v>
                </c:pt>
                <c:pt idx="141">
                  <c:v>678.35911636872606</c:v>
                </c:pt>
                <c:pt idx="142">
                  <c:v>678.35911636872606</c:v>
                </c:pt>
                <c:pt idx="143">
                  <c:v>678.35911636872606</c:v>
                </c:pt>
                <c:pt idx="144">
                  <c:v>678.35911636872606</c:v>
                </c:pt>
                <c:pt idx="145">
                  <c:v>678.35911636872606</c:v>
                </c:pt>
                <c:pt idx="146">
                  <c:v>678.35911636872606</c:v>
                </c:pt>
                <c:pt idx="147">
                  <c:v>678.35911636872606</c:v>
                </c:pt>
                <c:pt idx="148">
                  <c:v>678.35911636872606</c:v>
                </c:pt>
                <c:pt idx="149">
                  <c:v>678.35911636872606</c:v>
                </c:pt>
                <c:pt idx="150">
                  <c:v>678.35911636872606</c:v>
                </c:pt>
                <c:pt idx="151">
                  <c:v>678.35911636872606</c:v>
                </c:pt>
                <c:pt idx="152">
                  <c:v>678.35911636872606</c:v>
                </c:pt>
                <c:pt idx="153">
                  <c:v>678.35911636872606</c:v>
                </c:pt>
                <c:pt idx="154">
                  <c:v>678.35911636872606</c:v>
                </c:pt>
                <c:pt idx="155">
                  <c:v>678.35911636872606</c:v>
                </c:pt>
                <c:pt idx="156">
                  <c:v>678.35911636872606</c:v>
                </c:pt>
                <c:pt idx="157">
                  <c:v>678.35911636872606</c:v>
                </c:pt>
                <c:pt idx="158">
                  <c:v>678.35911636872606</c:v>
                </c:pt>
                <c:pt idx="159">
                  <c:v>678.35911636872606</c:v>
                </c:pt>
                <c:pt idx="160">
                  <c:v>678.35911636872606</c:v>
                </c:pt>
                <c:pt idx="161">
                  <c:v>678.35911636872606</c:v>
                </c:pt>
                <c:pt idx="162">
                  <c:v>678.35911636872606</c:v>
                </c:pt>
                <c:pt idx="163">
                  <c:v>678.35911636872606</c:v>
                </c:pt>
                <c:pt idx="164">
                  <c:v>678.35911636872606</c:v>
                </c:pt>
                <c:pt idx="165">
                  <c:v>678.35911636872606</c:v>
                </c:pt>
                <c:pt idx="166">
                  <c:v>678.35911636872606</c:v>
                </c:pt>
                <c:pt idx="167">
                  <c:v>678.35911636872606</c:v>
                </c:pt>
                <c:pt idx="168">
                  <c:v>678.35911636872606</c:v>
                </c:pt>
                <c:pt idx="169">
                  <c:v>678.35911636872606</c:v>
                </c:pt>
                <c:pt idx="170">
                  <c:v>678.35911636872606</c:v>
                </c:pt>
                <c:pt idx="171">
                  <c:v>678.35911636872606</c:v>
                </c:pt>
                <c:pt idx="172">
                  <c:v>678.35911636872606</c:v>
                </c:pt>
                <c:pt idx="173">
                  <c:v>678.35911636872606</c:v>
                </c:pt>
                <c:pt idx="174">
                  <c:v>678.35911636872606</c:v>
                </c:pt>
                <c:pt idx="175">
                  <c:v>678.35911636872606</c:v>
                </c:pt>
                <c:pt idx="176">
                  <c:v>678.35911636872606</c:v>
                </c:pt>
                <c:pt idx="177">
                  <c:v>678.35911636872606</c:v>
                </c:pt>
                <c:pt idx="178">
                  <c:v>678.35911636872606</c:v>
                </c:pt>
                <c:pt idx="179">
                  <c:v>678.35911636872606</c:v>
                </c:pt>
                <c:pt idx="180">
                  <c:v>678.35911636872606</c:v>
                </c:pt>
                <c:pt idx="181">
                  <c:v>678.35911636872606</c:v>
                </c:pt>
                <c:pt idx="182">
                  <c:v>678.35911636872606</c:v>
                </c:pt>
                <c:pt idx="183">
                  <c:v>678.35911636872606</c:v>
                </c:pt>
                <c:pt idx="184">
                  <c:v>678.35911636872606</c:v>
                </c:pt>
                <c:pt idx="185">
                  <c:v>678.35911636872606</c:v>
                </c:pt>
                <c:pt idx="186">
                  <c:v>678.35911636872606</c:v>
                </c:pt>
                <c:pt idx="187">
                  <c:v>678.35911636872606</c:v>
                </c:pt>
                <c:pt idx="188">
                  <c:v>678.35911636872606</c:v>
                </c:pt>
                <c:pt idx="189">
                  <c:v>678.35911636872606</c:v>
                </c:pt>
                <c:pt idx="190">
                  <c:v>678.35911636872606</c:v>
                </c:pt>
                <c:pt idx="191">
                  <c:v>678.35911636872606</c:v>
                </c:pt>
                <c:pt idx="192">
                  <c:v>678.35911636872606</c:v>
                </c:pt>
                <c:pt idx="193">
                  <c:v>678.35911636872606</c:v>
                </c:pt>
                <c:pt idx="194">
                  <c:v>678.35911636872606</c:v>
                </c:pt>
                <c:pt idx="195">
                  <c:v>678.35911636872606</c:v>
                </c:pt>
                <c:pt idx="196">
                  <c:v>678.35911636872606</c:v>
                </c:pt>
                <c:pt idx="197">
                  <c:v>678.35911636872606</c:v>
                </c:pt>
                <c:pt idx="198">
                  <c:v>678.35911636872606</c:v>
                </c:pt>
                <c:pt idx="199">
                  <c:v>678.35911636872606</c:v>
                </c:pt>
                <c:pt idx="200">
                  <c:v>678.35911636872606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6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C6" sqref="C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2.21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35</v>
      </c>
      <c r="C9" s="35">
        <v>1</v>
      </c>
      <c r="D9" s="36">
        <f t="shared" ref="D9:D18" si="0">C9*$C$5</f>
        <v>2.21</v>
      </c>
      <c r="E9" s="37">
        <v>65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2.21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laricio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17</v>
      </c>
      <c r="B36" s="63">
        <v>118</v>
      </c>
      <c r="C36" s="63">
        <v>1</v>
      </c>
      <c r="D36" s="63">
        <v>15</v>
      </c>
      <c r="E36" s="54">
        <v>0</v>
      </c>
      <c r="F36" s="54"/>
      <c r="G36" s="54">
        <v>1</v>
      </c>
      <c r="H36" s="54"/>
      <c r="I36" s="52">
        <f>IFERROR(B36/A36,"")</f>
        <v>6.9411764705882355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20</v>
      </c>
      <c r="B37" s="63">
        <v>137</v>
      </c>
      <c r="C37" s="63">
        <v>2</v>
      </c>
      <c r="D37" s="63">
        <v>15</v>
      </c>
      <c r="E37" s="54">
        <v>0.5</v>
      </c>
      <c r="F37" s="54"/>
      <c r="G37" s="54">
        <v>0.5</v>
      </c>
      <c r="H37" s="54"/>
      <c r="I37" s="56">
        <f t="shared" ref="I37:I55" si="1">IF(A37&lt;&gt;0,(B37-(B36-D36))/(A37-A36),"")</f>
        <v>11.333333333333334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204</v>
      </c>
      <c r="C38" s="63">
        <v>3</v>
      </c>
      <c r="D38" s="63">
        <v>36</v>
      </c>
      <c r="E38" s="54">
        <v>0.5</v>
      </c>
      <c r="F38" s="54"/>
      <c r="G38" s="54">
        <v>0.5</v>
      </c>
      <c r="H38" s="54"/>
      <c r="I38" s="56">
        <f t="shared" si="1"/>
        <v>16.399999999999999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256</v>
      </c>
      <c r="C39" s="63">
        <v>4</v>
      </c>
      <c r="D39" s="63">
        <v>54</v>
      </c>
      <c r="E39" s="54">
        <v>0.5</v>
      </c>
      <c r="F39" s="54"/>
      <c r="G39" s="54">
        <v>0.5</v>
      </c>
      <c r="H39" s="54"/>
      <c r="I39" s="52">
        <f t="shared" si="1"/>
        <v>17.600000000000001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35</v>
      </c>
      <c r="B40" s="63">
        <v>296</v>
      </c>
      <c r="C40" s="63">
        <v>5</v>
      </c>
      <c r="D40" s="63">
        <v>52</v>
      </c>
      <c r="E40" s="54">
        <v>0.8</v>
      </c>
      <c r="F40" s="54"/>
      <c r="G40" s="54">
        <v>0.2</v>
      </c>
      <c r="H40" s="54"/>
      <c r="I40" s="52">
        <f t="shared" si="1"/>
        <v>18.8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40</v>
      </c>
      <c r="B41" s="63">
        <v>332</v>
      </c>
      <c r="C41" s="63">
        <v>6</v>
      </c>
      <c r="D41" s="63">
        <v>48</v>
      </c>
      <c r="E41" s="54">
        <v>0.8</v>
      </c>
      <c r="F41" s="54"/>
      <c r="G41" s="54">
        <v>0.2</v>
      </c>
      <c r="H41" s="54"/>
      <c r="I41" s="56">
        <f t="shared" si="1"/>
        <v>17.600000000000001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45</v>
      </c>
      <c r="B42" s="63">
        <v>384</v>
      </c>
      <c r="C42" s="63">
        <v>7</v>
      </c>
      <c r="D42" s="63">
        <v>57</v>
      </c>
      <c r="E42" s="54">
        <v>0.8</v>
      </c>
      <c r="F42" s="54"/>
      <c r="G42" s="54">
        <v>0.2</v>
      </c>
      <c r="H42" s="54"/>
      <c r="I42" s="56">
        <f t="shared" si="1"/>
        <v>20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50</v>
      </c>
      <c r="B43" s="63">
        <v>414</v>
      </c>
      <c r="C43" s="63">
        <v>8</v>
      </c>
      <c r="D43" s="63">
        <v>47</v>
      </c>
      <c r="E43" s="54">
        <v>0.8</v>
      </c>
      <c r="F43" s="54"/>
      <c r="G43" s="54">
        <v>0.2</v>
      </c>
      <c r="H43" s="54"/>
      <c r="I43" s="52">
        <f t="shared" si="1"/>
        <v>17.399999999999999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55</v>
      </c>
      <c r="B44" s="63">
        <v>463</v>
      </c>
      <c r="C44" s="63">
        <v>9</v>
      </c>
      <c r="D44" s="63">
        <v>48</v>
      </c>
      <c r="E44" s="54">
        <v>0.8</v>
      </c>
      <c r="F44" s="54"/>
      <c r="G44" s="54">
        <v>0.2</v>
      </c>
      <c r="H44" s="54"/>
      <c r="I44" s="52">
        <f t="shared" si="1"/>
        <v>19.2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60</v>
      </c>
      <c r="B45" s="63">
        <v>500</v>
      </c>
      <c r="C45" s="63">
        <v>10</v>
      </c>
      <c r="D45" s="63">
        <v>32</v>
      </c>
      <c r="E45" s="54">
        <v>0.8</v>
      </c>
      <c r="F45" s="54"/>
      <c r="G45" s="54">
        <v>0.2</v>
      </c>
      <c r="H45" s="54"/>
      <c r="I45" s="52">
        <f t="shared" si="1"/>
        <v>17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65</v>
      </c>
      <c r="B46" s="63">
        <v>555</v>
      </c>
      <c r="C46" s="63">
        <v>11</v>
      </c>
      <c r="D46" s="63">
        <v>28</v>
      </c>
      <c r="E46" s="54">
        <v>0.8</v>
      </c>
      <c r="F46" s="54"/>
      <c r="G46" s="54">
        <v>0.2</v>
      </c>
      <c r="H46" s="54"/>
      <c r="I46" s="52">
        <f t="shared" si="1"/>
        <v>17.399999999999999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8" sqref="C2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laricio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348.62416478262719</v>
      </c>
      <c r="T3" s="62">
        <f>IF('Données projet'!E9&gt;30,$R$33-$H$33,LOOKUP('Données projet'!$E$9,$A$3:$A$203,R3:R203)-LOOKUP('Données projet'!$E$9,$A$3:$A$203,$H$3:$H$203))</f>
        <v>371.70674704563288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6.9411764705882355</v>
      </c>
      <c r="N4" s="14">
        <f>IF('Données projet'!$A$36&gt;35,N3+M4-V3,IF(A4&lt;'Données projet'!$A$36,$K$205^A4,IF(A4='Données projet'!$A$36,'Données projet'!$B$36,N3+M4-V3)))</f>
        <v>1.3239616704988877</v>
      </c>
      <c r="O4" s="14">
        <f>N4*VLOOKUP('Données projet'!$B$9,Paramètres!$A$1:$I$89,3,0)*VLOOKUP('Données projet'!$B$9,Paramètres!$A$1:$I$89,5,0)</f>
        <v>0.79172907895833489</v>
      </c>
      <c r="P4" s="14">
        <f>EXP(-1.0587+0.8836*LN(O4)+0.284)</f>
        <v>0.37491631974909195</v>
      </c>
      <c r="Q4" s="22">
        <f t="shared" ref="Q4:Q34" si="2">(O4+P4)*0.475*44/12</f>
        <v>2.031907402748768</v>
      </c>
      <c r="R4" s="62">
        <f t="shared" si="0"/>
        <v>259.9207962916376</v>
      </c>
      <c r="S4" s="62">
        <f ca="1">AVERAGE(OFFSET($R$3,0,0,'Données projet'!$E$9+1,1))-AVERAGE(OFFSET($H$3,0,0,'Données projet'!$E$9+1,1))</f>
        <v>348.62416478262719</v>
      </c>
      <c r="T4" s="62">
        <f>$T$3</f>
        <v>371.70674704563288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6.9411764705882355</v>
      </c>
      <c r="N5" s="14">
        <f>IF('Données projet'!$A$36&gt;35,N4+M5-V4,IF(A5&lt;'Données projet'!$A$36,$K$205^A5,IF(A5='Données projet'!$A$36,'Données projet'!$B$36,N4+M5-V4)))</f>
        <v>1.7528745049502052</v>
      </c>
      <c r="O5" s="14">
        <f>N5*VLOOKUP('Données projet'!$B$9,Paramètres!$A$1:$I$89,3,0)*VLOOKUP('Données projet'!$B$9,Paramètres!$A$1:$I$89,5,0)</f>
        <v>1.0482189539602227</v>
      </c>
      <c r="P5" s="14">
        <f t="shared" ref="P5:P68" si="33">EXP(-1.0587+0.8836*LN(O5)+0.284)</f>
        <v>0.48042263342477459</v>
      </c>
      <c r="Q5" s="22">
        <f t="shared" si="2"/>
        <v>2.6623840980288702</v>
      </c>
      <c r="R5" s="62">
        <f t="shared" si="0"/>
        <v>261.77349520914004</v>
      </c>
      <c r="S5" s="62">
        <f ca="1">AVERAGE(OFFSET($R$3,0,0,'Données projet'!$E$9+1,1))-AVERAGE(OFFSET($H$3,0,0,'Données projet'!$E$9+1,1))</f>
        <v>348.62416478262719</v>
      </c>
      <c r="T5" s="62">
        <f t="shared" ref="T5:T68" si="34">$T$3</f>
        <v>371.70674704563288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6.9411764705882355</v>
      </c>
      <c r="N6" s="14">
        <f>IF('Données projet'!$A$36&gt;35,N5+M6-V5,IF(A6&lt;'Données projet'!$A$36,$K$205^A6,IF(A6='Données projet'!$A$36,'Données projet'!$B$36,N5+M6-V5)))</f>
        <v>2.3207386577487843</v>
      </c>
      <c r="O6" s="14">
        <f>N6*VLOOKUP('Données projet'!$B$9,Paramètres!$A$1:$I$89,3,0)*VLOOKUP('Données projet'!$B$9,Paramètres!$A$1:$I$89,5,0)</f>
        <v>1.3878017173337731</v>
      </c>
      <c r="P6" s="14">
        <f t="shared" si="33"/>
        <v>0.61561979180116611</v>
      </c>
      <c r="Q6" s="22">
        <f t="shared" si="2"/>
        <v>3.4892924617433518</v>
      </c>
      <c r="R6" s="62">
        <f t="shared" si="0"/>
        <v>263.82262579507665</v>
      </c>
      <c r="S6" s="62">
        <f ca="1">AVERAGE(OFFSET($R$3,0,0,'Données projet'!$E$9+1,1))-AVERAGE(OFFSET($H$3,0,0,'Données projet'!$E$9+1,1))</f>
        <v>348.62416478262719</v>
      </c>
      <c r="T6" s="62">
        <f t="shared" si="34"/>
        <v>371.70674704563288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6.9411764705882355</v>
      </c>
      <c r="N7" s="14">
        <f>IF('Données projet'!$A$36&gt;35,N6+M7-V6,IF(A7&lt;'Données projet'!$A$36,$K$205^A7,IF(A7='Données projet'!$A$36,'Données projet'!$B$36,N6+M7-V6)))</f>
        <v>3.0725690301044271</v>
      </c>
      <c r="O7" s="14">
        <f>N7*VLOOKUP('Données projet'!$B$9,Paramètres!$A$1:$I$89,3,0)*VLOOKUP('Données projet'!$B$9,Paramètres!$A$1:$I$89,5,0)</f>
        <v>1.8373962800024475</v>
      </c>
      <c r="P7" s="14">
        <f t="shared" si="33"/>
        <v>0.78886318355909346</v>
      </c>
      <c r="Q7" s="22">
        <f t="shared" si="2"/>
        <v>4.5740685657030165</v>
      </c>
      <c r="R7" s="62">
        <f t="shared" si="0"/>
        <v>266.12962412125859</v>
      </c>
      <c r="S7" s="62">
        <f ca="1">AVERAGE(OFFSET($R$3,0,0,'Données projet'!$E$9+1,1))-AVERAGE(OFFSET($H$3,0,0,'Données projet'!$E$9+1,1))</f>
        <v>348.62416478262719</v>
      </c>
      <c r="T7" s="62">
        <f t="shared" si="34"/>
        <v>371.70674704563288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6.9411764705882355</v>
      </c>
      <c r="N8" s="14">
        <f>IF('Données projet'!$A$36&gt;35,N7+M8-V7,IF(A8&lt;'Données projet'!$A$36,$K$205^A8,IF(A8='Données projet'!$A$36,'Données projet'!$B$36,N7+M8-V7)))</f>
        <v>4.0679636258202043</v>
      </c>
      <c r="O8" s="14">
        <f>N8*VLOOKUP('Données projet'!$B$9,Paramètres!$A$1:$I$89,3,0)*VLOOKUP('Données projet'!$B$9,Paramètres!$A$1:$I$89,5,0)</f>
        <v>2.4326422482404824</v>
      </c>
      <c r="P8" s="14">
        <f t="shared" si="33"/>
        <v>1.0108595120931088</v>
      </c>
      <c r="Q8" s="22">
        <f t="shared" si="2"/>
        <v>5.9974322325810041</v>
      </c>
      <c r="R8" s="62">
        <f t="shared" si="0"/>
        <v>268.77521001035876</v>
      </c>
      <c r="S8" s="62">
        <f ca="1">AVERAGE(OFFSET($R$3,0,0,'Données projet'!$E$9+1,1))-AVERAGE(OFFSET($H$3,0,0,'Données projet'!$E$9+1,1))</f>
        <v>348.62416478262719</v>
      </c>
      <c r="T8" s="62">
        <f t="shared" si="34"/>
        <v>371.70674704563288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6.9411764705882355</v>
      </c>
      <c r="N9" s="14">
        <f>IF('Données projet'!$A$36&gt;35,N8+M9-V8,IF(A9&lt;'Données projet'!$A$36,$K$205^A9,IF(A9='Données projet'!$A$36,'Données projet'!$B$36,N8+M9-V8)))</f>
        <v>5.38582791756963</v>
      </c>
      <c r="O9" s="14">
        <f>N9*VLOOKUP('Données projet'!$B$9,Paramètres!$A$1:$I$89,3,0)*VLOOKUP('Données projet'!$B$9,Paramètres!$A$1:$I$89,5,0)</f>
        <v>3.2207250947066388</v>
      </c>
      <c r="P9" s="14">
        <f t="shared" si="33"/>
        <v>1.2953284859599137</v>
      </c>
      <c r="Q9" s="22">
        <f t="shared" si="2"/>
        <v>7.8654599863275783</v>
      </c>
      <c r="R9" s="62">
        <f t="shared" si="0"/>
        <v>271.86545998632755</v>
      </c>
      <c r="S9" s="62">
        <f ca="1">AVERAGE(OFFSET($R$3,0,0,'Données projet'!$E$9+1,1))-AVERAGE(OFFSET($H$3,0,0,'Données projet'!$E$9+1,1))</f>
        <v>348.62416478262719</v>
      </c>
      <c r="T9" s="62">
        <f t="shared" si="34"/>
        <v>371.70674704563288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6.9411764705882355</v>
      </c>
      <c r="N10" s="14">
        <f>IF('Données projet'!$A$36&gt;35,N9+M10-V9,IF(A10&lt;'Données projet'!$A$36,$K$205^A10,IF(A10='Données projet'!$A$36,'Données projet'!$B$36,N9+M10-V9)))</f>
        <v>7.130629726765032</v>
      </c>
      <c r="O10" s="14">
        <f>N10*VLOOKUP('Données projet'!$B$9,Paramètres!$A$1:$I$89,3,0)*VLOOKUP('Données projet'!$B$9,Paramètres!$A$1:$I$89,5,0)</f>
        <v>4.26411657660549</v>
      </c>
      <c r="P10" s="14">
        <f t="shared" si="33"/>
        <v>1.6598507175986843</v>
      </c>
      <c r="Q10" s="22">
        <f t="shared" si="2"/>
        <v>10.317576370738935</v>
      </c>
      <c r="R10" s="62">
        <f t="shared" si="0"/>
        <v>275.53979859296118</v>
      </c>
      <c r="S10" s="62">
        <f ca="1">AVERAGE(OFFSET($R$3,0,0,'Données projet'!$E$9+1,1))-AVERAGE(OFFSET($H$3,0,0,'Données projet'!$E$9+1,1))</f>
        <v>348.62416478262719</v>
      </c>
      <c r="T10" s="62">
        <f t="shared" si="34"/>
        <v>371.70674704563288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6.9411764705882355</v>
      </c>
      <c r="N11" s="14">
        <f>IF('Données projet'!$A$36&gt;35,N10+M11-V10,IF(A11&lt;'Données projet'!$A$36,$K$205^A11,IF(A11='Données projet'!$A$36,'Données projet'!$B$36,N10+M11-V10)))</f>
        <v>9.4406804447568593</v>
      </c>
      <c r="O11" s="14">
        <f>N11*VLOOKUP('Données projet'!$B$9,Paramètres!$A$1:$I$89,3,0)*VLOOKUP('Données projet'!$B$9,Paramètres!$A$1:$I$89,5,0)</f>
        <v>5.6455269059646023</v>
      </c>
      <c r="P11" s="14">
        <f t="shared" si="33"/>
        <v>2.1269542317454508</v>
      </c>
      <c r="Q11" s="22">
        <f t="shared" si="2"/>
        <v>13.53707131484501</v>
      </c>
      <c r="R11" s="62">
        <f t="shared" si="0"/>
        <v>279.98151575928949</v>
      </c>
      <c r="S11" s="62">
        <f ca="1">AVERAGE(OFFSET($R$3,0,0,'Données projet'!$E$9+1,1))-AVERAGE(OFFSET($H$3,0,0,'Données projet'!$E$9+1,1))</f>
        <v>348.62416478262719</v>
      </c>
      <c r="T11" s="62">
        <f t="shared" si="34"/>
        <v>371.70674704563288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6.9411764705882355</v>
      </c>
      <c r="N12" s="14">
        <f>IF('Données projet'!$A$36&gt;35,N11+M12-V11,IF(A12&lt;'Données projet'!$A$36,$K$205^A12,IF(A12='Données projet'!$A$36,'Données projet'!$B$36,N11+M12-V11)))</f>
        <v>12.499099052286473</v>
      </c>
      <c r="O12" s="14">
        <f>N12*VLOOKUP('Données projet'!$B$9,Paramètres!$A$1:$I$89,3,0)*VLOOKUP('Données projet'!$B$9,Paramètres!$A$1:$I$89,5,0)</f>
        <v>7.474461233267311</v>
      </c>
      <c r="P12" s="14">
        <f t="shared" si="33"/>
        <v>2.7255067314033421</v>
      </c>
      <c r="Q12" s="22">
        <f t="shared" si="2"/>
        <v>17.764944205134721</v>
      </c>
      <c r="R12" s="62">
        <f t="shared" si="0"/>
        <v>285.43161087180141</v>
      </c>
      <c r="S12" s="62">
        <f ca="1">AVERAGE(OFFSET($R$3,0,0,'Données projet'!$E$9+1,1))-AVERAGE(OFFSET($H$3,0,0,'Données projet'!$E$9+1,1))</f>
        <v>348.62416478262719</v>
      </c>
      <c r="T12" s="62">
        <f t="shared" si="34"/>
        <v>371.70674704563288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6.9411764705882355</v>
      </c>
      <c r="N13" s="14">
        <f>IF('Données projet'!$A$36&gt;35,N12+M13-V12,IF(A13&lt;'Données projet'!$A$36,$K$205^A13,IF(A13='Données projet'!$A$36,'Données projet'!$B$36,N12+M13-V12)))</f>
        <v>16.548328060996262</v>
      </c>
      <c r="O13" s="14">
        <f>N13*VLOOKUP('Données projet'!$B$9,Paramètres!$A$1:$I$89,3,0)*VLOOKUP('Données projet'!$B$9,Paramètres!$A$1:$I$89,5,0)</f>
        <v>9.8959001804757651</v>
      </c>
      <c r="P13" s="14">
        <f t="shared" si="33"/>
        <v>3.4924996655094662</v>
      </c>
      <c r="Q13" s="22">
        <f t="shared" si="2"/>
        <v>23.318129731757608</v>
      </c>
      <c r="R13" s="62">
        <f t="shared" si="0"/>
        <v>292.20701862064647</v>
      </c>
      <c r="S13" s="62">
        <f ca="1">AVERAGE(OFFSET($R$3,0,0,'Données projet'!$E$9+1,1))-AVERAGE(OFFSET($H$3,0,0,'Données projet'!$E$9+1,1))</f>
        <v>348.62416478262719</v>
      </c>
      <c r="T13" s="62">
        <f t="shared" si="34"/>
        <v>371.70674704563288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6.9411764705882355</v>
      </c>
      <c r="N14" s="14">
        <f>IF('Données projet'!$A$36&gt;35,N13+M14-V13,IF(A14&lt;'Données projet'!$A$36,$K$205^A14,IF(A14='Données projet'!$A$36,'Données projet'!$B$36,N13+M14-V13)))</f>
        <v>21.909352063600231</v>
      </c>
      <c r="O14" s="14">
        <f>N14*VLOOKUP('Données projet'!$B$9,Paramètres!$A$1:$I$89,3,0)*VLOOKUP('Données projet'!$B$9,Paramètres!$A$1:$I$89,5,0)</f>
        <v>13.101792534032938</v>
      </c>
      <c r="P14" s="14">
        <f t="shared" si="33"/>
        <v>4.4753343563761101</v>
      </c>
      <c r="Q14" s="22">
        <f t="shared" si="2"/>
        <v>30.613496000795752</v>
      </c>
      <c r="R14" s="62">
        <f t="shared" si="0"/>
        <v>300.72460711190689</v>
      </c>
      <c r="S14" s="62">
        <f ca="1">AVERAGE(OFFSET($R$3,0,0,'Données projet'!$E$9+1,1))-AVERAGE(OFFSET($H$3,0,0,'Données projet'!$E$9+1,1))</f>
        <v>348.62416478262719</v>
      </c>
      <c r="T14" s="62">
        <f t="shared" si="34"/>
        <v>371.70674704563288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6.9411764705882355</v>
      </c>
      <c r="N15" s="14">
        <f>IF('Données projet'!$A$36&gt;35,N14+M15-V14,IF(A15&lt;'Données projet'!$A$36,$K$205^A15,IF(A15='Données projet'!$A$36,'Données projet'!$B$36,N14+M15-V14)))</f>
        <v>29.007142357672414</v>
      </c>
      <c r="O15" s="14">
        <f>N15*VLOOKUP('Données projet'!$B$9,Paramètres!$A$1:$I$89,3,0)*VLOOKUP('Données projet'!$B$9,Paramètres!$A$1:$I$89,5,0)</f>
        <v>17.346271129888105</v>
      </c>
      <c r="P15" s="14">
        <f t="shared" si="33"/>
        <v>5.7347514730366376</v>
      </c>
      <c r="Q15" s="22">
        <f t="shared" si="2"/>
        <v>40.19944770009392</v>
      </c>
      <c r="R15" s="62">
        <f t="shared" si="0"/>
        <v>311.53278103342723</v>
      </c>
      <c r="S15" s="62">
        <f ca="1">AVERAGE(OFFSET($R$3,0,0,'Données projet'!$E$9+1,1))-AVERAGE(OFFSET($H$3,0,0,'Données projet'!$E$9+1,1))</f>
        <v>348.62416478262719</v>
      </c>
      <c r="T15" s="62">
        <f t="shared" si="34"/>
        <v>371.70674704563288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6.9411764705882355</v>
      </c>
      <c r="N16" s="14">
        <f>IF('Données projet'!$A$36&gt;35,N15+M16-V15,IF(A16&lt;'Données projet'!$A$36,$K$205^A16,IF(A16='Données projet'!$A$36,'Données projet'!$B$36,N15+M16-V15)))</f>
        <v>38.404344652263013</v>
      </c>
      <c r="O16" s="14">
        <f>N16*VLOOKUP('Données projet'!$B$9,Paramètres!$A$1:$I$89,3,0)*VLOOKUP('Données projet'!$B$9,Paramètres!$A$1:$I$89,5,0)</f>
        <v>22.965798102053284</v>
      </c>
      <c r="P16" s="14">
        <f t="shared" si="33"/>
        <v>7.3485848963755025</v>
      </c>
      <c r="Q16" s="22">
        <f t="shared" si="2"/>
        <v>52.797550388930141</v>
      </c>
      <c r="R16" s="62">
        <f t="shared" si="0"/>
        <v>325.35310594448566</v>
      </c>
      <c r="S16" s="62">
        <f ca="1">AVERAGE(OFFSET($R$3,0,0,'Données projet'!$E$9+1,1))-AVERAGE(OFFSET($H$3,0,0,'Données projet'!$E$9+1,1))</f>
        <v>348.62416478262719</v>
      </c>
      <c r="T16" s="62">
        <f t="shared" si="34"/>
        <v>371.70674704563288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6.9411764705882355</v>
      </c>
      <c r="N17" s="14">
        <f>IF('Données projet'!$A$36&gt;35,N16+M17-V16,IF(A17&lt;'Données projet'!$A$36,$K$205^A17,IF(A17='Données projet'!$A$36,'Données projet'!$B$36,N16+M17-V16)))</f>
        <v>50.845880300225161</v>
      </c>
      <c r="O17" s="14">
        <f>N17*VLOOKUP('Données projet'!$B$9,Paramètres!$A$1:$I$89,3,0)*VLOOKUP('Données projet'!$B$9,Paramètres!$A$1:$I$89,5,0)</f>
        <v>30.405836419534648</v>
      </c>
      <c r="P17" s="14">
        <f t="shared" si="33"/>
        <v>9.4165719705798292</v>
      </c>
      <c r="Q17" s="22">
        <f t="shared" si="2"/>
        <v>69.357361279449364</v>
      </c>
      <c r="R17" s="62">
        <f t="shared" si="0"/>
        <v>343.13513905722715</v>
      </c>
      <c r="S17" s="62">
        <f ca="1">AVERAGE(OFFSET($R$3,0,0,'Données projet'!$E$9+1,1))-AVERAGE(OFFSET($H$3,0,0,'Données projet'!$E$9+1,1))</f>
        <v>348.62416478262719</v>
      </c>
      <c r="T17" s="62">
        <f t="shared" si="34"/>
        <v>371.70674704563288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6.9411764705882355</v>
      </c>
      <c r="N18" s="14">
        <f>IF('Données projet'!$A$36&gt;35,N17+M18-V17,IF(A18&lt;'Données projet'!$A$36,$K$205^A18,IF(A18='Données projet'!$A$36,'Données projet'!$B$36,N17+M18-V17)))</f>
        <v>67.317996620272581</v>
      </c>
      <c r="O18" s="14">
        <f>N18*VLOOKUP('Données projet'!$B$9,Paramètres!$A$1:$I$89,3,0)*VLOOKUP('Données projet'!$B$9,Paramètres!$A$1:$I$89,5,0)</f>
        <v>40.256161978923011</v>
      </c>
      <c r="P18" s="14">
        <f t="shared" si="33"/>
        <v>12.066517421720839</v>
      </c>
      <c r="Q18" s="22">
        <f t="shared" si="2"/>
        <v>91.128666622788032</v>
      </c>
      <c r="R18" s="62">
        <f t="shared" si="0"/>
        <v>366.12866662278805</v>
      </c>
      <c r="S18" s="62">
        <f ca="1">AVERAGE(OFFSET($R$3,0,0,'Données projet'!$E$9+1,1))-AVERAGE(OFFSET($H$3,0,0,'Données projet'!$E$9+1,1))</f>
        <v>348.62416478262719</v>
      </c>
      <c r="T18" s="62">
        <f t="shared" si="34"/>
        <v>371.70674704563288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6.9411764705882355</v>
      </c>
      <c r="N19" s="14">
        <f>IF('Données projet'!$A$36&gt;35,N18+M19-V18,IF(A19&lt;'Données projet'!$A$36,$K$205^A19,IF(A19='Données projet'!$A$36,'Données projet'!$B$36,N18+M19-V18)))</f>
        <v>89.126447260014572</v>
      </c>
      <c r="O19" s="14">
        <f>N19*VLOOKUP('Données projet'!$B$9,Paramètres!$A$1:$I$89,3,0)*VLOOKUP('Données projet'!$B$9,Paramètres!$A$1:$I$89,5,0)</f>
        <v>53.297615461488718</v>
      </c>
      <c r="P19" s="14">
        <f t="shared" si="33"/>
        <v>15.46219188294774</v>
      </c>
      <c r="Q19" s="22">
        <f t="shared" si="2"/>
        <v>119.75666445822681</v>
      </c>
      <c r="R19" s="62">
        <f t="shared" si="0"/>
        <v>395.97888668044902</v>
      </c>
      <c r="S19" s="62">
        <f ca="1">AVERAGE(OFFSET($R$3,0,0,'Données projet'!$E$9+1,1))-AVERAGE(OFFSET($H$3,0,0,'Données projet'!$E$9+1,1))</f>
        <v>348.62416478262719</v>
      </c>
      <c r="T19" s="62">
        <f t="shared" si="34"/>
        <v>371.70674704563288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118</v>
      </c>
      <c r="L20" s="13">
        <f>VLOOKUP(A20,'Données projet'!$A$35:$I$55,9,0)</f>
        <v>6.9411764705882355</v>
      </c>
      <c r="M20" s="13">
        <f t="array" ref="M20">INDEX(L:L,MIN(IF(ISNUMBER(L20:L216),ROW(L20:L216),"")))</f>
        <v>6.9411764705882355</v>
      </c>
      <c r="N20" s="14">
        <f>IF('Données projet'!$A$36&gt;35,N19+M20-V19,IF(A20&lt;'Données projet'!$A$36,$K$205^A20,IF(A20='Données projet'!$A$36,'Données projet'!$B$36,N19+M20-V19)))</f>
        <v>118</v>
      </c>
      <c r="O20" s="14">
        <f>N20*VLOOKUP('Données projet'!$B$9,Paramètres!$A$1:$I$89,3,0)*VLOOKUP('Données projet'!$B$9,Paramètres!$A$1:$I$89,5,0)</f>
        <v>70.564000000000007</v>
      </c>
      <c r="P20" s="14">
        <f t="shared" si="33"/>
        <v>19.813453167086163</v>
      </c>
      <c r="Q20" s="22">
        <f t="shared" si="2"/>
        <v>157.40739759934175</v>
      </c>
      <c r="R20" s="62">
        <f t="shared" si="0"/>
        <v>434.85184204378618</v>
      </c>
      <c r="S20" s="62">
        <f ca="1">AVERAGE(OFFSET($R$3,0,0,'Données projet'!$E$9+1,1))-AVERAGE(OFFSET($H$3,0,0,'Données projet'!$E$9+1,1))</f>
        <v>348.62416478262719</v>
      </c>
      <c r="T20" s="62">
        <f t="shared" si="34"/>
        <v>371.70674704563288</v>
      </c>
      <c r="U20" s="16">
        <f>IF(ISNA(VLOOKUP(A20,'Données projet'!$A$35:$I$55,3,0)),0,VLOOKUP(A20,'Données projet'!$A$35:$I$55,3,0))</f>
        <v>1</v>
      </c>
      <c r="V20" s="16">
        <f>IF(ISNA(VLOOKUP(A20,'Données projet'!$A$35:$I$55,4,0)),0,VLOOKUP(A20,'Données projet'!$A$35:$I$55,4,0))</f>
        <v>15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1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10.1561237088124</v>
      </c>
      <c r="AC20" s="24">
        <f t="shared" si="3"/>
        <v>10.1561237088124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11.333333333333334</v>
      </c>
      <c r="N21" s="14">
        <f>IF('Données projet'!$A$36&gt;35,N20+M21-V20,IF(A21&lt;'Données projet'!$A$36,$K$205^A21,IF(A21='Données projet'!$A$36,'Données projet'!$B$36,N20+M21-V20)))</f>
        <v>114.33333333333334</v>
      </c>
      <c r="O21" s="14">
        <f>N21*VLOOKUP('Données projet'!$B$9,Paramètres!$A$1:$I$89,3,0)*VLOOKUP('Données projet'!$B$9,Paramètres!$A$1:$I$89,5,0)</f>
        <v>68.37133333333334</v>
      </c>
      <c r="P21" s="14">
        <f t="shared" si="33"/>
        <v>19.268449754335993</v>
      </c>
      <c r="Q21" s="22">
        <f t="shared" si="2"/>
        <v>152.63928887769075</v>
      </c>
      <c r="R21" s="62">
        <f t="shared" si="0"/>
        <v>431.3059555443574</v>
      </c>
      <c r="S21" s="62">
        <f ca="1">AVERAGE(OFFSET($R$3,0,0,'Données projet'!$E$9+1,1))-AVERAGE(OFFSET($H$3,0,0,'Données projet'!$E$9+1,1))</f>
        <v>348.62416478262719</v>
      </c>
      <c r="T21" s="62">
        <f t="shared" si="34"/>
        <v>371.70674704563288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7.1814639450707176</v>
      </c>
      <c r="AC21" s="24">
        <f t="shared" si="3"/>
        <v>7.1814639450707176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11.333333333333334</v>
      </c>
      <c r="N22" s="14">
        <f>IF('Données projet'!$A$36&gt;35,N21+M22-V21,IF(A22&lt;'Données projet'!$A$36,$K$205^A22,IF(A22='Données projet'!$A$36,'Données projet'!$B$36,N21+M22-V21)))</f>
        <v>125.66666666666667</v>
      </c>
      <c r="O22" s="14">
        <f>N22*VLOOKUP('Données projet'!$B$9,Paramètres!$A$1:$I$89,3,0)*VLOOKUP('Données projet'!$B$9,Paramètres!$A$1:$I$89,5,0)</f>
        <v>75.148666666666671</v>
      </c>
      <c r="P22" s="14">
        <f t="shared" si="33"/>
        <v>20.946723857947624</v>
      </c>
      <c r="Q22" s="22">
        <f t="shared" si="2"/>
        <v>167.36613849703656</v>
      </c>
      <c r="R22" s="62">
        <f t="shared" si="0"/>
        <v>447.25502738592542</v>
      </c>
      <c r="S22" s="62">
        <f ca="1">AVERAGE(OFFSET($R$3,0,0,'Données projet'!$E$9+1,1))-AVERAGE(OFFSET($H$3,0,0,'Données projet'!$E$9+1,1))</f>
        <v>348.62416478262719</v>
      </c>
      <c r="T22" s="62">
        <f t="shared" si="34"/>
        <v>371.70674704563288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5.0780618544062008</v>
      </c>
      <c r="AC22" s="24">
        <f t="shared" si="3"/>
        <v>5.0780618544062008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137</v>
      </c>
      <c r="L23" s="13">
        <f>VLOOKUP(A23,'Données projet'!$A$35:$I$55,9,0)</f>
        <v>11.333333333333334</v>
      </c>
      <c r="M23" s="13">
        <f t="array" ref="M23">INDEX(L:L,MIN(IF(ISNUMBER(L23:L219),ROW(L23:L219),"")))</f>
        <v>11.333333333333334</v>
      </c>
      <c r="N23" s="14">
        <f>IF('Données projet'!$A$36&gt;35,N22+M23-V22,IF(A23&lt;'Données projet'!$A$36,$K$205^A23,IF(A23='Données projet'!$A$36,'Données projet'!$B$36,N22+M23-V22)))</f>
        <v>137</v>
      </c>
      <c r="O23" s="14">
        <f>N23*VLOOKUP('Données projet'!$B$9,Paramètres!$A$1:$I$89,3,0)*VLOOKUP('Données projet'!$B$9,Paramètres!$A$1:$I$89,5,0)</f>
        <v>81.926000000000002</v>
      </c>
      <c r="P23" s="14">
        <f t="shared" si="33"/>
        <v>22.607447146245146</v>
      </c>
      <c r="Q23" s="22">
        <f t="shared" si="2"/>
        <v>182.06242044637693</v>
      </c>
      <c r="R23" s="62">
        <f t="shared" si="0"/>
        <v>463.1735315574881</v>
      </c>
      <c r="S23" s="62">
        <f ca="1">AVERAGE(OFFSET($R$3,0,0,'Données projet'!$E$9+1,1))-AVERAGE(OFFSET($H$3,0,0,'Données projet'!$E$9+1,1))</f>
        <v>348.62416478262719</v>
      </c>
      <c r="T23" s="62">
        <f t="shared" si="34"/>
        <v>371.70674704563288</v>
      </c>
      <c r="U23" s="16">
        <f>IF(ISNA(VLOOKUP(A23,'Données projet'!$A$35:$I$55,3,0)),0,VLOOKUP(A23,'Données projet'!$A$35:$I$55,3,0))</f>
        <v>2</v>
      </c>
      <c r="V23" s="16">
        <f>IF(ISNA(VLOOKUP(A23,'Données projet'!$A$35:$I$55,4,0)),0,VLOOKUP(A23,'Données projet'!$A$35:$I$55,4,0))</f>
        <v>15</v>
      </c>
      <c r="W23" s="17">
        <f>IF(ISNA(VLOOKUP(A23,'Données projet'!$A$35:$I$55,5,0)),0%,VLOOKUP(A23,'Données projet'!$A$35:$I$55,5,0)*VLOOKUP('Données projet'!$B$9,Paramètres!$A$1:$I$89,7,0))</f>
        <v>0.22500000000000001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0.5</v>
      </c>
      <c r="Z23" s="23">
        <f>EXP(-LN(2)/35)*Z22+(1-EXP(-LN(2)/35))/(LN(2)/35)*V23*W23*VLOOKUP('Données projet'!$B$9,Paramètres!$A$1:$I$89,3,0)*0.475*44/12</f>
        <v>2.6773387121908523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8.6687938269415596</v>
      </c>
      <c r="AC23" s="24">
        <f t="shared" si="3"/>
        <v>11.346132539132412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16.399999999999999</v>
      </c>
      <c r="N24" s="14">
        <f>IF('Données projet'!$A$36&gt;35,N23+M24-V23,IF(A24&lt;'Données projet'!$A$36,$K$205^A24,IF(A24='Données projet'!$A$36,'Données projet'!$B$36,N23+M24-V23)))</f>
        <v>138.4</v>
      </c>
      <c r="O24" s="14">
        <f>N24*VLOOKUP('Données projet'!$B$9,Paramètres!$A$1:$I$89,3,0)*VLOOKUP('Données projet'!$B$9,Paramètres!$A$1:$I$89,5,0)</f>
        <v>82.763200000000012</v>
      </c>
      <c r="P24" s="14">
        <f t="shared" si="33"/>
        <v>22.811459894537176</v>
      </c>
      <c r="Q24" s="22">
        <f t="shared" si="2"/>
        <v>183.8758659829856</v>
      </c>
      <c r="R24" s="62">
        <f t="shared" si="0"/>
        <v>466.20919931631892</v>
      </c>
      <c r="S24" s="62">
        <f ca="1">AVERAGE(OFFSET($R$3,0,0,'Données projet'!$E$9+1,1))-AVERAGE(OFFSET($H$3,0,0,'Données projet'!$E$9+1,1))</f>
        <v>348.62416478262719</v>
      </c>
      <c r="T24" s="62">
        <f t="shared" si="34"/>
        <v>371.70674704563288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2.6248377330601573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6.1297628997384601</v>
      </c>
      <c r="AC24" s="24">
        <f t="shared" si="3"/>
        <v>8.754600632798617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16.399999999999999</v>
      </c>
      <c r="N25" s="14">
        <f>IF('Données projet'!$A$36&gt;35,N24+M25-V24,IF(A25&lt;'Données projet'!$A$36,$K$205^A25,IF(A25='Données projet'!$A$36,'Données projet'!$B$36,N24+M25-V24)))</f>
        <v>154.80000000000001</v>
      </c>
      <c r="O25" s="14">
        <f>N25*VLOOKUP('Données projet'!$B$9,Paramètres!$A$1:$I$89,3,0)*VLOOKUP('Données projet'!$B$9,Paramètres!$A$1:$I$89,5,0)</f>
        <v>92.570400000000021</v>
      </c>
      <c r="P25" s="14">
        <f t="shared" si="33"/>
        <v>25.184123943972491</v>
      </c>
      <c r="Q25" s="22">
        <f t="shared" si="2"/>
        <v>205.0891292024188</v>
      </c>
      <c r="R25" s="62">
        <f t="shared" si="0"/>
        <v>488.64468475797435</v>
      </c>
      <c r="S25" s="62">
        <f ca="1">AVERAGE(OFFSET($R$3,0,0,'Données projet'!$E$9+1,1))-AVERAGE(OFFSET($H$3,0,0,'Données projet'!$E$9+1,1))</f>
        <v>348.62416478262719</v>
      </c>
      <c r="T25" s="62">
        <f t="shared" si="34"/>
        <v>371.70674704563288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2.5733662661077799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4.3343969134707807</v>
      </c>
      <c r="AC25" s="24">
        <f t="shared" si="3"/>
        <v>6.907763179578561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16.399999999999999</v>
      </c>
      <c r="N26" s="14">
        <f>IF('Données projet'!$A$36&gt;35,N25+M26-V25,IF(A26&lt;'Données projet'!$A$36,$K$205^A26,IF(A26='Données projet'!$A$36,'Données projet'!$B$36,N25+M26-V25)))</f>
        <v>171.20000000000002</v>
      </c>
      <c r="O26" s="14">
        <f>N26*VLOOKUP('Données projet'!$B$9,Paramètres!$A$1:$I$89,3,0)*VLOOKUP('Données projet'!$B$9,Paramètres!$A$1:$I$89,5,0)</f>
        <v>102.37760000000002</v>
      </c>
      <c r="P26" s="14">
        <f t="shared" si="33"/>
        <v>27.527651005505614</v>
      </c>
      <c r="Q26" s="22">
        <f t="shared" si="2"/>
        <v>226.25164550125564</v>
      </c>
      <c r="R26" s="62">
        <f t="shared" si="0"/>
        <v>511.02942327903338</v>
      </c>
      <c r="S26" s="62">
        <f ca="1">AVERAGE(OFFSET($R$3,0,0,'Données projet'!$E$9+1,1))-AVERAGE(OFFSET($H$3,0,0,'Données projet'!$E$9+1,1))</f>
        <v>348.62416478262719</v>
      </c>
      <c r="T26" s="62">
        <f t="shared" si="34"/>
        <v>371.70674704563288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2.5229041232278435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3.0648814498692305</v>
      </c>
      <c r="AC26" s="24">
        <f t="shared" si="3"/>
        <v>5.587785573097074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16.399999999999999</v>
      </c>
      <c r="N27" s="14">
        <f>IF('Données projet'!$A$36&gt;35,N26+M27-V26,IF(A27&lt;'Données projet'!$A$36,$K$205^A27,IF(A27='Données projet'!$A$36,'Données projet'!$B$36,N26+M27-V26)))</f>
        <v>187.60000000000002</v>
      </c>
      <c r="O27" s="14">
        <f>N27*VLOOKUP('Données projet'!$B$9,Paramètres!$A$1:$I$89,3,0)*VLOOKUP('Données projet'!$B$9,Paramètres!$A$1:$I$89,5,0)</f>
        <v>112.18480000000002</v>
      </c>
      <c r="P27" s="14">
        <f t="shared" si="33"/>
        <v>29.845149809641946</v>
      </c>
      <c r="Q27" s="22">
        <f t="shared" si="2"/>
        <v>247.36882925179307</v>
      </c>
      <c r="R27" s="62">
        <f t="shared" si="0"/>
        <v>533.36882925179304</v>
      </c>
      <c r="S27" s="62">
        <f ca="1">AVERAGE(OFFSET($R$3,0,0,'Données projet'!$E$9+1,1))-AVERAGE(OFFSET($H$3,0,0,'Données projet'!$E$9+1,1))</f>
        <v>348.62416478262719</v>
      </c>
      <c r="T27" s="62">
        <f t="shared" si="34"/>
        <v>371.70674704563288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2.4734315121909147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2.1671984567353908</v>
      </c>
      <c r="AC27" s="24">
        <f t="shared" si="3"/>
        <v>4.6406299689263051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204</v>
      </c>
      <c r="L28" s="13">
        <f>VLOOKUP(A28,'Données projet'!$A$35:$I$55,9,0)</f>
        <v>16.399999999999999</v>
      </c>
      <c r="M28" s="13">
        <f t="array" ref="M28">INDEX(L:L,MIN(IF(ISNUMBER(L28:L224),ROW(L28:L224),"")))</f>
        <v>16.399999999999999</v>
      </c>
      <c r="N28" s="14">
        <f>IF('Données projet'!$A$36&gt;35,N27+M28-V27,IF(A28&lt;'Données projet'!$A$36,$K$205^A28,IF(A28='Données projet'!$A$36,'Données projet'!$B$36,N27+M28-V27)))</f>
        <v>204.00000000000003</v>
      </c>
      <c r="O28" s="14">
        <f>N28*VLOOKUP('Données projet'!$B$9,Paramètres!$A$1:$I$89,3,0)*VLOOKUP('Données projet'!$B$9,Paramètres!$A$1:$I$89,5,0)</f>
        <v>121.99200000000003</v>
      </c>
      <c r="P28" s="14">
        <f t="shared" si="33"/>
        <v>32.139154469866327</v>
      </c>
      <c r="Q28" s="22">
        <f t="shared" si="2"/>
        <v>268.44509403501723</v>
      </c>
      <c r="R28" s="62">
        <f t="shared" si="0"/>
        <v>555.66731625723946</v>
      </c>
      <c r="S28" s="62">
        <f ca="1">AVERAGE(OFFSET($R$3,0,0,'Données projet'!$E$9+1,1))-AVERAGE(OFFSET($H$3,0,0,'Données projet'!$E$9+1,1))</f>
        <v>348.62416478262719</v>
      </c>
      <c r="T28" s="62">
        <f t="shared" si="34"/>
        <v>371.70674704563288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36</v>
      </c>
      <c r="W28" s="17">
        <f>IF(ISNA(VLOOKUP(A28,'Données projet'!$A$35:$I$55,5,0)),0%,VLOOKUP(A28,'Données projet'!$A$35:$I$55,5,0)*VLOOKUP('Données projet'!$B$9,Paramètres!$A$1:$I$89,7,0))</f>
        <v>0.22500000000000001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0.5</v>
      </c>
      <c r="Z28" s="23">
        <f>EXP(-LN(2)/35)*Z27+(1-EXP(-LN(2)/35))/(LN(2)/35)*V28*W28*VLOOKUP('Données projet'!$B$9,Paramètres!$A$1:$I$89,3,0)*0.475*44/12</f>
        <v>8.8505419381391519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13.719789175509494</v>
      </c>
      <c r="AC28" s="24">
        <f t="shared" si="3"/>
        <v>22.570331113648646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17.600000000000001</v>
      </c>
      <c r="N29" s="14">
        <f>IF('Données projet'!$A$36&gt;35,N28+M29-V28,IF(A29&lt;'Données projet'!$A$36,$K$205^A29,IF(A29='Données projet'!$A$36,'Données projet'!$B$36,N28+M29-V28)))</f>
        <v>185.60000000000002</v>
      </c>
      <c r="O29" s="14">
        <f>N29*VLOOKUP('Données projet'!$B$9,Paramètres!$A$1:$I$89,3,0)*VLOOKUP('Données projet'!$B$9,Paramètres!$A$1:$I$89,5,0)</f>
        <v>110.98880000000003</v>
      </c>
      <c r="P29" s="14">
        <f t="shared" si="33"/>
        <v>29.56383208945169</v>
      </c>
      <c r="Q29" s="22">
        <f t="shared" si="2"/>
        <v>244.79583422246174</v>
      </c>
      <c r="R29" s="62">
        <f t="shared" si="0"/>
        <v>533.24027866690619</v>
      </c>
      <c r="S29" s="62">
        <f ca="1">AVERAGE(OFFSET($R$3,0,0,'Données projet'!$E$9+1,1))-AVERAGE(OFFSET($H$3,0,0,'Données projet'!$E$9+1,1))</f>
        <v>348.62416478262719</v>
      </c>
      <c r="T29" s="62">
        <f t="shared" si="34"/>
        <v>371.70674704563288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8.676988209029787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9.7013559624525563</v>
      </c>
      <c r="AC29" s="24">
        <f t="shared" si="3"/>
        <v>18.378344171482343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17.600000000000001</v>
      </c>
      <c r="N30" s="14">
        <f>IF('Données projet'!$A$36&gt;35,N29+M30-V29,IF(A30&lt;'Données projet'!$A$36,$K$205^A30,IF(A30='Données projet'!$A$36,'Données projet'!$B$36,N29+M30-V29)))</f>
        <v>203.20000000000002</v>
      </c>
      <c r="O30" s="14">
        <f>N30*VLOOKUP('Données projet'!$B$9,Paramètres!$A$1:$I$89,3,0)*VLOOKUP('Données projet'!$B$9,Paramètres!$A$1:$I$89,5,0)</f>
        <v>121.51360000000001</v>
      </c>
      <c r="P30" s="14">
        <f t="shared" si="33"/>
        <v>32.027763694063836</v>
      </c>
      <c r="Q30" s="22">
        <f t="shared" si="2"/>
        <v>267.41787510049454</v>
      </c>
      <c r="R30" s="62">
        <f t="shared" si="0"/>
        <v>557.08454176716123</v>
      </c>
      <c r="S30" s="62">
        <f ca="1">AVERAGE(OFFSET($R$3,0,0,'Données projet'!$E$9+1,1))-AVERAGE(OFFSET($H$3,0,0,'Données projet'!$E$9+1,1))</f>
        <v>348.62416478262719</v>
      </c>
      <c r="T30" s="62">
        <f t="shared" si="34"/>
        <v>371.70674704563288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8.5068377626909353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6.8598945877547486</v>
      </c>
      <c r="AC30" s="24">
        <f t="shared" si="3"/>
        <v>15.366732350445684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17.600000000000001</v>
      </c>
      <c r="N31" s="14">
        <f>IF('Données projet'!$A$36&gt;35,N30+M31-V30,IF(A31&lt;'Données projet'!$A$36,$K$205^A31,IF(A31='Données projet'!$A$36,'Données projet'!$B$36,N30+M31-V30)))</f>
        <v>220.8</v>
      </c>
      <c r="O31" s="14">
        <f>N31*VLOOKUP('Données projet'!$B$9,Paramètres!$A$1:$I$89,3,0)*VLOOKUP('Données projet'!$B$9,Paramètres!$A$1:$I$89,5,0)</f>
        <v>132.03840000000002</v>
      </c>
      <c r="P31" s="14">
        <f t="shared" si="33"/>
        <v>34.466946374534373</v>
      </c>
      <c r="Q31" s="22">
        <f t="shared" si="2"/>
        <v>289.99681160231404</v>
      </c>
      <c r="R31" s="62">
        <f t="shared" si="0"/>
        <v>580.8857004912029</v>
      </c>
      <c r="S31" s="62">
        <f ca="1">AVERAGE(OFFSET($R$3,0,0,'Données projet'!$E$9+1,1))-AVERAGE(OFFSET($H$3,0,0,'Données projet'!$E$9+1,1))</f>
        <v>348.62416478262719</v>
      </c>
      <c r="T31" s="62">
        <f t="shared" si="34"/>
        <v>371.70674704563288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8.3400238628232639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4.850677981226279</v>
      </c>
      <c r="AC31" s="24">
        <f t="shared" si="3"/>
        <v>13.190701844049542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17.600000000000001</v>
      </c>
      <c r="N32" s="14">
        <f>IF('Données projet'!$A$36&gt;35,N31+M32-V31,IF(A32&lt;'Données projet'!$A$36,$K$205^A32,IF(A32='Données projet'!$A$36,'Données projet'!$B$36,N31+M32-V31)))</f>
        <v>238.4</v>
      </c>
      <c r="O32" s="14">
        <f>N32*VLOOKUP('Données projet'!$B$9,Paramètres!$A$1:$I$89,3,0)*VLOOKUP('Données projet'!$B$9,Paramètres!$A$1:$I$89,5,0)</f>
        <v>142.56319999999999</v>
      </c>
      <c r="P32" s="14">
        <f t="shared" si="33"/>
        <v>36.883577154665602</v>
      </c>
      <c r="Q32" s="22">
        <f t="shared" si="2"/>
        <v>312.53647021104257</v>
      </c>
      <c r="R32" s="62">
        <f t="shared" si="0"/>
        <v>604.64758132215366</v>
      </c>
      <c r="S32" s="62">
        <f ca="1">AVERAGE(OFFSET($R$3,0,0,'Données projet'!$E$9+1,1))-AVERAGE(OFFSET($H$3,0,0,'Données projet'!$E$9+1,1))</f>
        <v>348.62416478262719</v>
      </c>
      <c r="T32" s="62">
        <f t="shared" si="34"/>
        <v>371.70674704563288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8.1764810817855658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3.4299472938773747</v>
      </c>
      <c r="AC32" s="24">
        <f t="shared" si="3"/>
        <v>11.60642837566294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256</v>
      </c>
      <c r="L33" s="13">
        <f>VLOOKUP(A33,'Données projet'!$A$35:$I$55,9,0)</f>
        <v>17.600000000000001</v>
      </c>
      <c r="M33" s="13">
        <f t="array" ref="M33">INDEX(L:L,MIN(IF(ISNUMBER(L33:L229),ROW(L33:L229),"")))</f>
        <v>17.600000000000001</v>
      </c>
      <c r="N33" s="14">
        <f>IF('Données projet'!$A$36&gt;35,N32+M33-V32,IF(A33&lt;'Données projet'!$A$36,$K$205^A33,IF(A33='Données projet'!$A$36,'Données projet'!$B$36,N32+M33-V32)))</f>
        <v>256</v>
      </c>
      <c r="O33" s="14">
        <f>N33*VLOOKUP('Données projet'!$B$9,Paramètres!$A$1:$I$89,3,0)*VLOOKUP('Données projet'!$B$9,Paramètres!$A$1:$I$89,5,0)</f>
        <v>153.08800000000002</v>
      </c>
      <c r="P33" s="14">
        <f t="shared" si="33"/>
        <v>39.27951026543515</v>
      </c>
      <c r="Q33" s="22">
        <f t="shared" si="2"/>
        <v>335.04008037896625</v>
      </c>
      <c r="R33" s="62">
        <f t="shared" si="0"/>
        <v>628.37341371229957</v>
      </c>
      <c r="S33" s="62">
        <f ca="1">AVERAGE(OFFSET($R$3,0,0,'Données projet'!$E$9+1,1))-AVERAGE(OFFSET($H$3,0,0,'Données projet'!$E$9+1,1))</f>
        <v>348.62416478262719</v>
      </c>
      <c r="T33" s="62">
        <f t="shared" si="34"/>
        <v>371.70674704563288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54</v>
      </c>
      <c r="W33" s="17">
        <f>IF(ISNA(VLOOKUP(A33,'Données projet'!$A$35:$I$55,5,0)),0%,VLOOKUP(A33,'Données projet'!$A$35:$I$55,5,0)*VLOOKUP('Données projet'!$B$9,Paramètres!$A$1:$I$89,7,0))</f>
        <v>0.22500000000000001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0.5</v>
      </c>
      <c r="Z33" s="23">
        <f>EXP(-LN(2)/35)*Z32+(1-EXP(-LN(2)/35))/(LN(2)/35)*V33*W33*VLOOKUP('Données projet'!$B$9,Paramètres!$A$1:$I$89,3,0)*0.475*44/12</f>
        <v>17.654564638819835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20.706361666475459</v>
      </c>
      <c r="AC33" s="24">
        <f t="shared" si="3"/>
        <v>38.360926305295294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18.8</v>
      </c>
      <c r="N34" s="14">
        <f>IF('Données projet'!$A$36&gt;35,N33+M34-V33,IF(A34&lt;'Données projet'!$A$36,$K$205^A34,IF(A34='Données projet'!$A$36,'Données projet'!$B$36,N33+M34-V33)))</f>
        <v>220.8</v>
      </c>
      <c r="O34" s="14">
        <f>N34*VLOOKUP('Données projet'!$B$9,Paramètres!$A$1:$I$89,3,0)*VLOOKUP('Données projet'!$B$9,Paramètres!$A$1:$I$89,5,0)</f>
        <v>132.03840000000002</v>
      </c>
      <c r="P34" s="14">
        <f t="shared" si="33"/>
        <v>34.466946374534373</v>
      </c>
      <c r="Q34" s="22">
        <f t="shared" si="2"/>
        <v>289.99681160231404</v>
      </c>
      <c r="R34" s="62">
        <f t="shared" si="0"/>
        <v>583.33014493564735</v>
      </c>
      <c r="S34" s="62">
        <f ca="1">AVERAGE(OFFSET($R$3,0,0,'Données projet'!$E$9+1,1))-AVERAGE(OFFSET($H$3,0,0,'Données projet'!$E$9+1,1))</f>
        <v>348.62416478262719</v>
      </c>
      <c r="T34" s="62">
        <f t="shared" si="34"/>
        <v>371.70674704563288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17.308369394473733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14.641608748065979</v>
      </c>
      <c r="AC34" s="24">
        <f t="shared" si="3"/>
        <v>31.949978142539713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18.8</v>
      </c>
      <c r="N35" s="14">
        <f>IF('Données projet'!$A$36&gt;35,N34+M35-V34,IF(A35&lt;'Données projet'!$A$36,$K$205^A35,IF(A35='Données projet'!$A$36,'Données projet'!$B$36,N34+M35-V34)))</f>
        <v>239.60000000000002</v>
      </c>
      <c r="O35" s="14">
        <f>N35*VLOOKUP('Données projet'!$B$9,Paramètres!$A$1:$I$89,3,0)*VLOOKUP('Données projet'!$B$9,Paramètres!$A$1:$I$89,5,0)</f>
        <v>143.28080000000003</v>
      </c>
      <c r="P35" s="14">
        <f t="shared" si="33"/>
        <v>37.047574465948976</v>
      </c>
      <c r="Q35" s="22">
        <f t="shared" ref="Q35:Q66" si="53">(O35+P35)*0.475*44/12</f>
        <v>314.07191886152782</v>
      </c>
      <c r="R35" s="62">
        <f t="shared" si="0"/>
        <v>607.40525219486108</v>
      </c>
      <c r="S35" s="62">
        <f ca="1">AVERAGE(OFFSET($R$3,0,0,'Données projet'!$E$9+1,1))-AVERAGE(OFFSET($H$3,0,0,'Données projet'!$E$9+1,1))</f>
        <v>348.62416478262719</v>
      </c>
      <c r="T35" s="62">
        <f t="shared" si="34"/>
        <v>371.70674704563288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16.96896282771101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10.353180833237731</v>
      </c>
      <c r="AC35" s="24">
        <f t="shared" si="3"/>
        <v>27.32214366094874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18.8</v>
      </c>
      <c r="N36" s="14">
        <f>IF('Données projet'!$A$36&gt;35,N35+M36-V35,IF(A36&lt;'Données projet'!$A$36,$K$205^A36,IF(A36='Données projet'!$A$36,'Données projet'!$B$36,N35+M36-V35)))</f>
        <v>258.40000000000003</v>
      </c>
      <c r="O36" s="14">
        <f>N36*VLOOKUP('Données projet'!$B$9,Paramètres!$A$1:$I$89,3,0)*VLOOKUP('Données projet'!$B$9,Paramètres!$A$1:$I$89,5,0)</f>
        <v>154.52320000000003</v>
      </c>
      <c r="P36" s="14">
        <f t="shared" si="33"/>
        <v>39.60471498856284</v>
      </c>
      <c r="Q36" s="22">
        <f t="shared" si="53"/>
        <v>338.10611860508033</v>
      </c>
      <c r="R36" s="62">
        <f t="shared" si="0"/>
        <v>631.43945193841364</v>
      </c>
      <c r="S36" s="62">
        <f ca="1">AVERAGE(OFFSET($R$3,0,0,'Données projet'!$E$9+1,1))-AVERAGE(OFFSET($H$3,0,0,'Données projet'!$E$9+1,1))</f>
        <v>348.62416478262719</v>
      </c>
      <c r="T36" s="62">
        <f t="shared" si="34"/>
        <v>371.70674704563288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16.63621181670494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7.3208043740329911</v>
      </c>
      <c r="AC36" s="24">
        <f t="shared" si="3"/>
        <v>23.957016190737932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18.8</v>
      </c>
      <c r="N37" s="14">
        <f>IF('Données projet'!$A$36&gt;35,N36+M37-V36,IF(A37&lt;'Données projet'!$A$36,$K$205^A37,IF(A37='Données projet'!$A$36,'Données projet'!$B$36,N36+M37-V36)))</f>
        <v>277.20000000000005</v>
      </c>
      <c r="O37" s="14">
        <f>N37*VLOOKUP('Données projet'!$B$9,Paramètres!$A$1:$I$89,3,0)*VLOOKUP('Données projet'!$B$9,Paramètres!$A$1:$I$89,5,0)</f>
        <v>165.76560000000003</v>
      </c>
      <c r="P37" s="14">
        <f t="shared" si="33"/>
        <v>42.140271125684265</v>
      </c>
      <c r="Q37" s="22">
        <f t="shared" si="53"/>
        <v>362.10272554390014</v>
      </c>
      <c r="R37" s="62">
        <f t="shared" si="0"/>
        <v>655.43605887723345</v>
      </c>
      <c r="S37" s="62">
        <f ca="1">AVERAGE(OFFSET($R$3,0,0,'Données projet'!$E$9+1,1))-AVERAGE(OFFSET($H$3,0,0,'Données projet'!$E$9+1,1))</f>
        <v>348.62416478262719</v>
      </c>
      <c r="T37" s="62">
        <f t="shared" si="34"/>
        <v>371.70674704563288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16.309985850066621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5.1765904166188665</v>
      </c>
      <c r="AC37" s="24">
        <f t="shared" si="3"/>
        <v>21.486576266685489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296</v>
      </c>
      <c r="L38" s="13">
        <f>VLOOKUP(A38,'Données projet'!$A$35:$I$55,9,0)</f>
        <v>18.8</v>
      </c>
      <c r="M38" s="13">
        <f t="array" ref="M38">INDEX(L:L,MIN(IF(ISNUMBER(L38:L234),ROW(L38:L234),"")))</f>
        <v>18.8</v>
      </c>
      <c r="N38" s="14">
        <f>IF('Données projet'!$A$36&gt;35,N37+M38-V37,IF(A38&lt;'Données projet'!$A$36,$K$205^A38,IF(A38='Données projet'!$A$36,'Données projet'!$B$36,N37+M38-V37)))</f>
        <v>296.00000000000006</v>
      </c>
      <c r="O38" s="14">
        <f>N38*VLOOKUP('Données projet'!$B$9,Paramètres!$A$1:$I$89,3,0)*VLOOKUP('Données projet'!$B$9,Paramètres!$A$1:$I$89,5,0)</f>
        <v>177.00800000000004</v>
      </c>
      <c r="P38" s="14">
        <f t="shared" si="33"/>
        <v>44.65587329900309</v>
      </c>
      <c r="Q38" s="22">
        <f t="shared" si="53"/>
        <v>386.06457932909711</v>
      </c>
      <c r="R38" s="62">
        <f t="shared" si="0"/>
        <v>679.39791266243037</v>
      </c>
      <c r="S38" s="62">
        <f ca="1">AVERAGE(OFFSET($R$3,0,0,'Données projet'!$E$9+1,1))-AVERAGE(OFFSET($H$3,0,0,'Données projet'!$E$9+1,1))</f>
        <v>348.62416478262719</v>
      </c>
      <c r="T38" s="62">
        <f t="shared" si="34"/>
        <v>371.70674704563288</v>
      </c>
      <c r="U38" s="16">
        <f>IF(ISNA(VLOOKUP(A38,'Données projet'!$A$35:$I$55,3,0)),0,VLOOKUP(A38,'Données projet'!$A$35:$I$55,3,0))</f>
        <v>5</v>
      </c>
      <c r="V38" s="16">
        <f>IF(ISNA(VLOOKUP(A38,'Données projet'!$A$35:$I$55,4,0)),0,VLOOKUP(A38,'Données projet'!$A$35:$I$55,4,0))</f>
        <v>52</v>
      </c>
      <c r="W38" s="17">
        <f>IF(ISNA(VLOOKUP(A38,'Données projet'!$A$35:$I$55,5,0)),0%,VLOOKUP(A38,'Données projet'!$A$35:$I$55,5,0)*VLOOKUP('Données projet'!$B$9,Paramètres!$A$1:$I$89,7,0))</f>
        <v>0.36000000000000004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0.2</v>
      </c>
      <c r="Z38" s="23">
        <f>EXP(-LN(2)/35)*Z37+(1-EXP(-LN(2)/35))/(LN(2)/35)*V38*W38*VLOOKUP('Données projet'!$B$9,Paramètres!$A$1:$I$89,3,0)*0.475*44/12</f>
        <v>30.84046236594115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10.701981291793093</v>
      </c>
      <c r="AC38" s="24">
        <f t="shared" si="3"/>
        <v>41.542443657734239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17.600000000000001</v>
      </c>
      <c r="N39" s="14">
        <f>IF('Données projet'!$A$36&gt;35,N38+M39-V38,IF(A39&lt;'Données projet'!$A$36,$K$205^A39,IF(A39='Données projet'!$A$36,'Données projet'!$B$36,N38+M39-V38)))</f>
        <v>261.60000000000008</v>
      </c>
      <c r="O39" s="14">
        <f>N39*VLOOKUP('Données projet'!$B$9,Paramètres!$A$1:$I$89,3,0)*VLOOKUP('Données projet'!$B$9,Paramètres!$A$1:$I$89,5,0)</f>
        <v>156.43680000000006</v>
      </c>
      <c r="P39" s="14">
        <f t="shared" si="33"/>
        <v>40.037775291207829</v>
      </c>
      <c r="Q39" s="22">
        <f t="shared" si="53"/>
        <v>342.1932186321871</v>
      </c>
      <c r="R39" s="62">
        <f t="shared" si="0"/>
        <v>635.52655196552041</v>
      </c>
      <c r="S39" s="62">
        <f ca="1">AVERAGE(OFFSET($R$3,0,0,'Données projet'!$E$9+1,1))-AVERAGE(OFFSET($H$3,0,0,'Données projet'!$E$9+1,1))</f>
        <v>348.62416478262719</v>
      </c>
      <c r="T39" s="62">
        <f t="shared" si="34"/>
        <v>371.70674704563288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30.235699709769673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7.5674435435584639</v>
      </c>
      <c r="AC39" s="24">
        <f t="shared" si="3"/>
        <v>37.803143253328138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17.600000000000001</v>
      </c>
      <c r="N40" s="14">
        <f>IF('Données projet'!$A$36&gt;35,N39+M40-V39,IF(A40&lt;'Données projet'!$A$36,$K$205^A40,IF(A40='Données projet'!$A$36,'Données projet'!$B$36,N39+M40-V39)))</f>
        <v>279.2000000000001</v>
      </c>
      <c r="O40" s="14">
        <f>N40*VLOOKUP('Données projet'!$B$9,Paramètres!$A$1:$I$89,3,0)*VLOOKUP('Données projet'!$B$9,Paramètres!$A$1:$I$89,5,0)</f>
        <v>166.96160000000006</v>
      </c>
      <c r="P40" s="14">
        <f t="shared" si="33"/>
        <v>42.408810446399933</v>
      </c>
      <c r="Q40" s="22">
        <f t="shared" si="53"/>
        <v>364.6534648608133</v>
      </c>
      <c r="R40" s="62">
        <f t="shared" si="0"/>
        <v>657.98679819414656</v>
      </c>
      <c r="S40" s="62">
        <f ca="1">AVERAGE(OFFSET($R$3,0,0,'Données projet'!$E$9+1,1))-AVERAGE(OFFSET($H$3,0,0,'Données projet'!$E$9+1,1))</f>
        <v>348.62416478262719</v>
      </c>
      <c r="T40" s="62">
        <f t="shared" si="34"/>
        <v>371.70674704563288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29.642796080416922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5.3509906458965473</v>
      </c>
      <c r="AC40" s="24">
        <f t="shared" si="3"/>
        <v>34.993786726313466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17.600000000000001</v>
      </c>
      <c r="N41" s="14">
        <f>IF('Données projet'!$A$36&gt;35,N40+M41-V40,IF(A41&lt;'Données projet'!$A$36,$K$205^A41,IF(A41='Données projet'!$A$36,'Données projet'!$B$36,N40+M41-V40)))</f>
        <v>296.80000000000013</v>
      </c>
      <c r="O41" s="14">
        <f>N41*VLOOKUP('Données projet'!$B$9,Paramètres!$A$1:$I$89,3,0)*VLOOKUP('Données projet'!$B$9,Paramètres!$A$1:$I$89,5,0)</f>
        <v>177.48640000000012</v>
      </c>
      <c r="P41" s="14">
        <f t="shared" si="33"/>
        <v>44.762499594286361</v>
      </c>
      <c r="Q41" s="22">
        <f t="shared" si="53"/>
        <v>387.08350012671559</v>
      </c>
      <c r="R41" s="62">
        <f t="shared" si="0"/>
        <v>680.41683346004891</v>
      </c>
      <c r="S41" s="62">
        <f ca="1">AVERAGE(OFFSET($R$3,0,0,'Données projet'!$E$9+1,1))-AVERAGE(OFFSET($H$3,0,0,'Données projet'!$E$9+1,1))</f>
        <v>348.62416478262719</v>
      </c>
      <c r="T41" s="62">
        <f t="shared" si="34"/>
        <v>371.70674704563288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29.061518929600272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3.7837217717792329</v>
      </c>
      <c r="AC41" s="24">
        <f t="shared" si="3"/>
        <v>32.845240701379502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17.600000000000001</v>
      </c>
      <c r="N42" s="14">
        <f>IF('Données projet'!$A$36&gt;35,N41+M42-V41,IF(A42&lt;'Données projet'!$A$36,$K$205^A42,IF(A42='Données projet'!$A$36,'Données projet'!$B$36,N41+M42-V41)))</f>
        <v>314.40000000000015</v>
      </c>
      <c r="O42" s="14">
        <f>N42*VLOOKUP('Données projet'!$B$9,Paramètres!$A$1:$I$89,3,0)*VLOOKUP('Données projet'!$B$9,Paramètres!$A$1:$I$89,5,0)</f>
        <v>188.01120000000012</v>
      </c>
      <c r="P42" s="14">
        <f t="shared" si="33"/>
        <v>47.099988496591031</v>
      </c>
      <c r="Q42" s="22">
        <f t="shared" si="53"/>
        <v>409.48531996489623</v>
      </c>
      <c r="R42" s="62">
        <f t="shared" si="0"/>
        <v>702.81865329822949</v>
      </c>
      <c r="S42" s="62">
        <f ca="1">AVERAGE(OFFSET($R$3,0,0,'Données projet'!$E$9+1,1))-AVERAGE(OFFSET($H$3,0,0,'Données projet'!$E$9+1,1))</f>
        <v>348.62416478262719</v>
      </c>
      <c r="T42" s="62">
        <f t="shared" si="34"/>
        <v>371.70674704563288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28.491640269167082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2.6754953229482741</v>
      </c>
      <c r="AC42" s="24">
        <f t="shared" si="3"/>
        <v>31.167135592115358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332</v>
      </c>
      <c r="L43" s="13">
        <f>VLOOKUP(A43,'Données projet'!$A$35:$I$55,9,0)</f>
        <v>17.600000000000001</v>
      </c>
      <c r="M43" s="13">
        <f t="array" ref="M43">INDEX(L:L,MIN(IF(ISNUMBER(L43:L239),ROW(L43:L239),"")))</f>
        <v>17.600000000000001</v>
      </c>
      <c r="N43" s="14">
        <f>IF('Données projet'!$A$36&gt;35,N42+M43-V42,IF(A43&lt;'Données projet'!$A$36,$K$205^A43,IF(A43='Données projet'!$A$36,'Données projet'!$B$36,N42+M43-V42)))</f>
        <v>332.00000000000017</v>
      </c>
      <c r="O43" s="14">
        <f>N43*VLOOKUP('Données projet'!$B$9,Paramètres!$A$1:$I$89,3,0)*VLOOKUP('Données projet'!$B$9,Paramètres!$A$1:$I$89,5,0)</f>
        <v>198.53600000000012</v>
      </c>
      <c r="P43" s="14">
        <f t="shared" si="33"/>
        <v>49.42228739122875</v>
      </c>
      <c r="Q43" s="22">
        <f t="shared" si="53"/>
        <v>431.86068387305687</v>
      </c>
      <c r="R43" s="62">
        <f t="shared" si="0"/>
        <v>725.19401720639019</v>
      </c>
      <c r="S43" s="62">
        <f ca="1">AVERAGE(OFFSET($R$3,0,0,'Données projet'!$E$9+1,1))-AVERAGE(OFFSET($H$3,0,0,'Données projet'!$E$9+1,1))</f>
        <v>348.62416478262719</v>
      </c>
      <c r="T43" s="62">
        <f t="shared" si="34"/>
        <v>371.70674704563288</v>
      </c>
      <c r="U43" s="16">
        <f>IF(ISNA(VLOOKUP(A43,'Données projet'!$A$35:$I$55,3,0)),0,VLOOKUP(A43,'Données projet'!$A$35:$I$55,3,0))</f>
        <v>6</v>
      </c>
      <c r="V43" s="16">
        <f>IF(ISNA(VLOOKUP(A43,'Données projet'!$A$35:$I$55,4,0)),0,VLOOKUP(A43,'Données projet'!$A$35:$I$55,4,0))</f>
        <v>48</v>
      </c>
      <c r="W43" s="17">
        <f>IF(ISNA(VLOOKUP(A43,'Données projet'!$A$35:$I$55,5,0)),0%,VLOOKUP(A43,'Données projet'!$A$35:$I$55,5,0)*VLOOKUP('Données projet'!$B$9,Paramètres!$A$1:$I$89,7,0))</f>
        <v>0.36000000000000004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0.2</v>
      </c>
      <c r="Z43" s="23">
        <f>EXP(-LN(2)/35)*Z42+(1-EXP(-LN(2)/35))/(LN(2)/35)*V43*W43*VLOOKUP('Données projet'!$B$9,Paramètres!$A$1:$I$89,3,0)*0.475*44/12</f>
        <v>41.640910788090494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8.3917800595295517</v>
      </c>
      <c r="AC43" s="24">
        <f t="shared" si="3"/>
        <v>50.032690847620046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20</v>
      </c>
      <c r="N44" s="14">
        <f>IF('Données projet'!$A$36&gt;35,N43+M44-V43,IF(A44&lt;'Données projet'!$A$36,$K$205^A44,IF(A44='Données projet'!$A$36,'Données projet'!$B$36,N43+M44-V43)))</f>
        <v>304.00000000000017</v>
      </c>
      <c r="O44" s="14">
        <f>N44*VLOOKUP('Données projet'!$B$9,Paramètres!$A$1:$I$89,3,0)*VLOOKUP('Données projet'!$B$9,Paramètres!$A$1:$I$89,5,0)</f>
        <v>181.79200000000012</v>
      </c>
      <c r="P44" s="14">
        <f t="shared" si="33"/>
        <v>45.720642997712574</v>
      </c>
      <c r="Q44" s="22">
        <f t="shared" si="53"/>
        <v>396.25118655434966</v>
      </c>
      <c r="R44" s="62">
        <f t="shared" si="0"/>
        <v>689.58451988768297</v>
      </c>
      <c r="S44" s="62">
        <f ca="1">AVERAGE(OFFSET($R$3,0,0,'Données projet'!$E$9+1,1))-AVERAGE(OFFSET($H$3,0,0,'Données projet'!$E$9+1,1))</f>
        <v>348.62416478262719</v>
      </c>
      <c r="T44" s="62">
        <f t="shared" si="34"/>
        <v>371.70674704563288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40.824357925983733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5.9338845863193956</v>
      </c>
      <c r="AC44" s="24">
        <f t="shared" si="3"/>
        <v>46.758242512303127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20</v>
      </c>
      <c r="N45" s="14">
        <f>IF('Données projet'!$A$36&gt;35,N44+M45-V44,IF(A45&lt;'Données projet'!$A$36,$K$205^A45,IF(A45='Données projet'!$A$36,'Données projet'!$B$36,N44+M45-V44)))</f>
        <v>324.00000000000017</v>
      </c>
      <c r="O45" s="14">
        <f>N45*VLOOKUP('Données projet'!$B$9,Paramètres!$A$1:$I$89,3,0)*VLOOKUP('Données projet'!$B$9,Paramètres!$A$1:$I$89,5,0)</f>
        <v>193.75200000000009</v>
      </c>
      <c r="P45" s="14">
        <f t="shared" si="33"/>
        <v>48.368520355376113</v>
      </c>
      <c r="Q45" s="22">
        <f t="shared" si="53"/>
        <v>421.69323961894696</v>
      </c>
      <c r="R45" s="62">
        <f t="shared" si="0"/>
        <v>715.02657295228028</v>
      </c>
      <c r="S45" s="62">
        <f ca="1">AVERAGE(OFFSET($R$3,0,0,'Données projet'!$E$9+1,1))-AVERAGE(OFFSET($H$3,0,0,'Données projet'!$E$9+1,1))</f>
        <v>348.62416478262719</v>
      </c>
      <c r="T45" s="62">
        <f t="shared" si="34"/>
        <v>371.70674704563288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40.023817167454816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4.1958900297647759</v>
      </c>
      <c r="AC45" s="24">
        <f t="shared" si="3"/>
        <v>44.219707197219591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20</v>
      </c>
      <c r="N46" s="14">
        <f>IF('Données projet'!$A$36&gt;35,N45+M46-V45,IF(A46&lt;'Données projet'!$A$36,$K$205^A46,IF(A46='Données projet'!$A$36,'Données projet'!$B$36,N45+M46-V45)))</f>
        <v>344.00000000000017</v>
      </c>
      <c r="O46" s="14">
        <f>N46*VLOOKUP('Données projet'!$B$9,Paramètres!$A$1:$I$89,3,0)*VLOOKUP('Données projet'!$B$9,Paramètres!$A$1:$I$89,5,0)</f>
        <v>205.71200000000013</v>
      </c>
      <c r="P46" s="14">
        <f t="shared" si="33"/>
        <v>50.997427696933762</v>
      </c>
      <c r="Q46" s="22">
        <f t="shared" si="53"/>
        <v>447.10225323882656</v>
      </c>
      <c r="R46" s="62">
        <f t="shared" si="0"/>
        <v>740.43558657215988</v>
      </c>
      <c r="S46" s="62">
        <f ca="1">AVERAGE(OFFSET($R$3,0,0,'Données projet'!$E$9+1,1))-AVERAGE(OFFSET($H$3,0,0,'Données projet'!$E$9+1,1))</f>
        <v>348.62416478262719</v>
      </c>
      <c r="T46" s="62">
        <f t="shared" si="34"/>
        <v>371.70674704563288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39.238974524919001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2.9669422931596978</v>
      </c>
      <c r="AC46" s="24">
        <f t="shared" si="3"/>
        <v>42.205916818078698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20</v>
      </c>
      <c r="N47" s="14">
        <f>IF('Données projet'!$A$36&gt;35,N46+M47-V46,IF(A47&lt;'Données projet'!$A$36,$K$205^A47,IF(A47='Données projet'!$A$36,'Données projet'!$B$36,N46+M47-V46)))</f>
        <v>364.00000000000017</v>
      </c>
      <c r="O47" s="14">
        <f>N47*VLOOKUP('Données projet'!$B$9,Paramètres!$A$1:$I$89,3,0)*VLOOKUP('Données projet'!$B$9,Paramètres!$A$1:$I$89,5,0)</f>
        <v>217.67200000000011</v>
      </c>
      <c r="P47" s="14">
        <f t="shared" si="33"/>
        <v>53.60859357546007</v>
      </c>
      <c r="Q47" s="22">
        <f t="shared" si="53"/>
        <v>472.48036714392646</v>
      </c>
      <c r="R47" s="62">
        <f t="shared" si="0"/>
        <v>765.81370047725977</v>
      </c>
      <c r="S47" s="62">
        <f ca="1">AVERAGE(OFFSET($R$3,0,0,'Données projet'!$E$9+1,1))-AVERAGE(OFFSET($H$3,0,0,'Données projet'!$E$9+1,1))</f>
        <v>348.62416478262719</v>
      </c>
      <c r="T47" s="62">
        <f t="shared" si="34"/>
        <v>371.70674704563288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38.469522167896571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2.0979450148823879</v>
      </c>
      <c r="AC47" s="24">
        <f t="shared" si="3"/>
        <v>40.567467182778955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384</v>
      </c>
      <c r="L48" s="13">
        <f>VLOOKUP(A48,'Données projet'!$A$35:$I$55,9,0)</f>
        <v>20</v>
      </c>
      <c r="M48" s="13">
        <f t="array" ref="M48">INDEX(L:L,MIN(IF(ISNUMBER(L48:L244),ROW(L48:L244),"")))</f>
        <v>20</v>
      </c>
      <c r="N48" s="14">
        <f>IF('Données projet'!$A$36&gt;35,N47+M48-V47,IF(A48&lt;'Données projet'!$A$36,$K$205^A48,IF(A48='Données projet'!$A$36,'Données projet'!$B$36,N47+M48-V47)))</f>
        <v>384.00000000000017</v>
      </c>
      <c r="O48" s="14">
        <f>N48*VLOOKUP('Données projet'!$B$9,Paramètres!$A$1:$I$89,3,0)*VLOOKUP('Données projet'!$B$9,Paramètres!$A$1:$I$89,5,0)</f>
        <v>229.63200000000015</v>
      </c>
      <c r="P48" s="14">
        <f t="shared" si="33"/>
        <v>56.20310391330672</v>
      </c>
      <c r="Q48" s="22">
        <f t="shared" si="53"/>
        <v>497.8294726490094</v>
      </c>
      <c r="R48" s="62">
        <f t="shared" si="0"/>
        <v>791.16280598234266</v>
      </c>
      <c r="S48" s="62">
        <f ca="1">AVERAGE(OFFSET($R$3,0,0,'Données projet'!$E$9+1,1))-AVERAGE(OFFSET($H$3,0,0,'Données projet'!$E$9+1,1))</f>
        <v>348.62416478262719</v>
      </c>
      <c r="T48" s="62">
        <f t="shared" si="34"/>
        <v>371.70674704563288</v>
      </c>
      <c r="U48" s="16">
        <f>IF(ISNA(VLOOKUP(A48,'Données projet'!$A$35:$I$55,3,0)),0,VLOOKUP(A48,'Données projet'!$A$35:$I$55,3,0))</f>
        <v>7</v>
      </c>
      <c r="V48" s="16">
        <f>IF(ISNA(VLOOKUP(A48,'Données projet'!$A$35:$I$55,4,0)),0,VLOOKUP(A48,'Données projet'!$A$35:$I$55,4,0))</f>
        <v>57</v>
      </c>
      <c r="W48" s="17">
        <f>IF(ISNA(VLOOKUP(A48,'Données projet'!$A$35:$I$55,5,0)),0%,VLOOKUP(A48,'Données projet'!$A$35:$I$55,5,0)*VLOOKUP('Données projet'!$B$9,Paramètres!$A$1:$I$89,7,0))</f>
        <v>0.36000000000000004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0.2</v>
      </c>
      <c r="Z48" s="23">
        <f>EXP(-LN(2)/35)*Z47+(1-EXP(-LN(2)/35))/(LN(2)/35)*V48*W48*VLOOKUP('Données projet'!$B$9,Paramètres!$A$1:$I$89,3,0)*0.475*44/12</f>
        <v>53.993377672396136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9.2021251652772733</v>
      </c>
      <c r="AC48" s="24">
        <f t="shared" si="3"/>
        <v>63.195502837673409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17.399999999999999</v>
      </c>
      <c r="N49" s="14">
        <f>IF('Données projet'!$A$36&gt;35,N48+M49-V48,IF(A49&lt;'Données projet'!$A$36,$K$205^A49,IF(A49='Données projet'!$A$36,'Données projet'!$B$36,N48+M49-V48)))</f>
        <v>344.40000000000015</v>
      </c>
      <c r="O49" s="14">
        <f>N49*VLOOKUP('Données projet'!$B$9,Paramètres!$A$1:$I$89,3,0)*VLOOKUP('Données projet'!$B$9,Paramètres!$A$1:$I$89,5,0)</f>
        <v>205.95120000000009</v>
      </c>
      <c r="P49" s="14">
        <f t="shared" si="33"/>
        <v>51.049821044529857</v>
      </c>
      <c r="Q49" s="22">
        <f t="shared" si="53"/>
        <v>447.61011165255627</v>
      </c>
      <c r="R49" s="62">
        <f t="shared" si="0"/>
        <v>740.94344498588953</v>
      </c>
      <c r="S49" s="62">
        <f ca="1">AVERAGE(OFFSET($R$3,0,0,'Données projet'!$E$9+1,1))-AVERAGE(OFFSET($H$3,0,0,'Données projet'!$E$9+1,1))</f>
        <v>348.62416478262719</v>
      </c>
      <c r="T49" s="62">
        <f t="shared" si="34"/>
        <v>371.70674704563288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52.934600468948993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6.5068851056949395</v>
      </c>
      <c r="AC49" s="24">
        <f t="shared" si="3"/>
        <v>59.441485574643934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17.399999999999999</v>
      </c>
      <c r="N50" s="14">
        <f>IF('Données projet'!$A$36&gt;35,N49+M50-V49,IF(A50&lt;'Données projet'!$A$36,$K$205^A50,IF(A50='Données projet'!$A$36,'Données projet'!$B$36,N49+M50-V49)))</f>
        <v>361.80000000000013</v>
      </c>
      <c r="O50" s="14">
        <f>N50*VLOOKUP('Données projet'!$B$9,Paramètres!$A$1:$I$89,3,0)*VLOOKUP('Données projet'!$B$9,Paramètres!$A$1:$I$89,5,0)</f>
        <v>216.35640000000006</v>
      </c>
      <c r="P50" s="14">
        <f t="shared" si="33"/>
        <v>53.322199188237285</v>
      </c>
      <c r="Q50" s="22">
        <f t="shared" si="53"/>
        <v>469.69022691951341</v>
      </c>
      <c r="R50" s="62">
        <f t="shared" si="0"/>
        <v>763.02356025284666</v>
      </c>
      <c r="S50" s="62">
        <f ca="1">AVERAGE(OFFSET($R$3,0,0,'Données projet'!$E$9+1,1))-AVERAGE(OFFSET($H$3,0,0,'Données projet'!$E$9+1,1))</f>
        <v>348.62416478262719</v>
      </c>
      <c r="T50" s="62">
        <f t="shared" si="34"/>
        <v>371.70674704563288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51.896585240671122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4.6010625826386367</v>
      </c>
      <c r="AC50" s="24">
        <f t="shared" si="3"/>
        <v>56.497647823309762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17.399999999999999</v>
      </c>
      <c r="N51" s="14">
        <f>IF('Données projet'!$A$36&gt;35,N50+M51-V50,IF(A51&lt;'Données projet'!$A$36,$K$205^A51,IF(A51='Données projet'!$A$36,'Données projet'!$B$36,N50+M51-V50)))</f>
        <v>379.2000000000001</v>
      </c>
      <c r="O51" s="14">
        <f>N51*VLOOKUP('Données projet'!$B$9,Paramètres!$A$1:$I$89,3,0)*VLOOKUP('Données projet'!$B$9,Paramètres!$A$1:$I$89,5,0)</f>
        <v>226.76160000000007</v>
      </c>
      <c r="P51" s="14">
        <f t="shared" si="33"/>
        <v>55.581886910575967</v>
      </c>
      <c r="Q51" s="22">
        <f t="shared" si="53"/>
        <v>491.74823970258649</v>
      </c>
      <c r="R51" s="62">
        <f t="shared" si="0"/>
        <v>785.08157303591975</v>
      </c>
      <c r="S51" s="62">
        <f ca="1">AVERAGE(OFFSET($R$3,0,0,'Données projet'!$E$9+1,1))-AVERAGE(OFFSET($H$3,0,0,'Données projet'!$E$9+1,1))</f>
        <v>348.62416478262719</v>
      </c>
      <c r="T51" s="62">
        <f t="shared" si="34"/>
        <v>371.70674704563288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50.878924857893004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3.2534425528474697</v>
      </c>
      <c r="AC51" s="24">
        <f t="shared" si="3"/>
        <v>54.132367410740471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17.399999999999999</v>
      </c>
      <c r="N52" s="14">
        <f>IF('Données projet'!$A$36&gt;35,N51+M52-V51,IF(A52&lt;'Données projet'!$A$36,$K$205^A52,IF(A52='Données projet'!$A$36,'Données projet'!$B$36,N51+M52-V51)))</f>
        <v>396.60000000000008</v>
      </c>
      <c r="O52" s="14">
        <f>N52*VLOOKUP('Données projet'!$B$9,Paramètres!$A$1:$I$89,3,0)*VLOOKUP('Données projet'!$B$9,Paramètres!$A$1:$I$89,5,0)</f>
        <v>237.16680000000005</v>
      </c>
      <c r="P52" s="14">
        <f t="shared" si="33"/>
        <v>57.829533038824259</v>
      </c>
      <c r="Q52" s="22">
        <f t="shared" si="53"/>
        <v>513.78528004261909</v>
      </c>
      <c r="R52" s="62">
        <f t="shared" si="0"/>
        <v>807.11861337595246</v>
      </c>
      <c r="S52" s="62">
        <f ca="1">AVERAGE(OFFSET($R$3,0,0,'Données projet'!$E$9+1,1))-AVERAGE(OFFSET($H$3,0,0,'Données projet'!$E$9+1,1))</f>
        <v>348.62416478262719</v>
      </c>
      <c r="T52" s="62">
        <f t="shared" si="34"/>
        <v>371.70674704563288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49.881220174509622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2.3005312913193183</v>
      </c>
      <c r="AC52" s="24">
        <f t="shared" si="3"/>
        <v>52.181751465828938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414</v>
      </c>
      <c r="L53" s="13">
        <f>VLOOKUP(A53,'Données projet'!$A$35:$I$55,9,0)</f>
        <v>17.399999999999999</v>
      </c>
      <c r="M53" s="13">
        <f t="array" ref="M53">INDEX(L:L,MIN(IF(ISNUMBER(L53:L249),ROW(L53:L249),"")))</f>
        <v>17.399999999999999</v>
      </c>
      <c r="N53" s="14">
        <f>IF('Données projet'!$A$36&gt;35,N52+M53-V52,IF(A53&lt;'Données projet'!$A$36,$K$205^A53,IF(A53='Données projet'!$A$36,'Données projet'!$B$36,N52+M53-V52)))</f>
        <v>414.00000000000006</v>
      </c>
      <c r="O53" s="14">
        <f>N53*VLOOKUP('Données projet'!$B$9,Paramètres!$A$1:$I$89,3,0)*VLOOKUP('Données projet'!$B$9,Paramètres!$A$1:$I$89,5,0)</f>
        <v>247.57200000000003</v>
      </c>
      <c r="P53" s="14">
        <f t="shared" si="33"/>
        <v>60.065726249156576</v>
      </c>
      <c r="Q53" s="22">
        <f t="shared" si="53"/>
        <v>535.80237321728112</v>
      </c>
      <c r="R53" s="62">
        <f t="shared" si="0"/>
        <v>829.13570655061449</v>
      </c>
      <c r="S53" s="62">
        <f ca="1">AVERAGE(OFFSET($R$3,0,0,'Données projet'!$E$9+1,1))-AVERAGE(OFFSET($H$3,0,0,'Données projet'!$E$9+1,1))</f>
        <v>348.62416478262719</v>
      </c>
      <c r="T53" s="62">
        <f t="shared" si="34"/>
        <v>371.70674704563288</v>
      </c>
      <c r="U53" s="16">
        <f>IF(ISNA(VLOOKUP(A53,'Données projet'!$A$35:$I$55,3,0)),0,VLOOKUP(A53,'Données projet'!$A$35:$I$55,3,0))</f>
        <v>8</v>
      </c>
      <c r="V53" s="16">
        <f>IF(ISNA(VLOOKUP(A53,'Données projet'!$A$35:$I$55,4,0)),0,VLOOKUP(A53,'Données projet'!$A$35:$I$55,4,0))</f>
        <v>47</v>
      </c>
      <c r="W53" s="17">
        <f>IF(ISNA(VLOOKUP(A53,'Données projet'!$A$35:$I$55,5,0)),0%,VLOOKUP(A53,'Données projet'!$A$35:$I$55,5,0)*VLOOKUP('Données projet'!$B$9,Paramètres!$A$1:$I$89,7,0))</f>
        <v>0.36000000000000004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0.2</v>
      </c>
      <c r="Z53" s="23">
        <f>EXP(-LN(2)/35)*Z52+(1-EXP(-LN(2)/35))/(LN(2)/35)*V53*W53*VLOOKUP('Données projet'!$B$9,Paramètres!$A$1:$I$89,3,0)*0.475*44/12</f>
        <v>62.325471281877761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7.9912254672795058</v>
      </c>
      <c r="AC53" s="24">
        <f t="shared" si="3"/>
        <v>70.316696749157273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19.2</v>
      </c>
      <c r="N54" s="14">
        <f>IF('Données projet'!$A$36&gt;35,N53+M54-V53,IF(A54&lt;'Données projet'!$A$36,$K$205^A54,IF(A54='Données projet'!$A$36,'Données projet'!$B$36,N53+M54-V53)))</f>
        <v>386.20000000000005</v>
      </c>
      <c r="O54" s="14">
        <f>N54*VLOOKUP('Données projet'!$B$9,Paramètres!$A$1:$I$89,3,0)*VLOOKUP('Données projet'!$B$9,Paramètres!$A$1:$I$89,5,0)</f>
        <v>230.94760000000002</v>
      </c>
      <c r="P54" s="14">
        <f t="shared" si="33"/>
        <v>56.487525751065782</v>
      </c>
      <c r="Q54" s="22">
        <f t="shared" si="53"/>
        <v>500.61617734977295</v>
      </c>
      <c r="R54" s="62">
        <f t="shared" si="0"/>
        <v>793.94951068310627</v>
      </c>
      <c r="S54" s="62">
        <f ca="1">AVERAGE(OFFSET($R$3,0,0,'Données projet'!$E$9+1,1))-AVERAGE(OFFSET($H$3,0,0,'Données projet'!$E$9+1,1))</f>
        <v>348.62416478262719</v>
      </c>
      <c r="T54" s="62">
        <f t="shared" si="34"/>
        <v>371.70674704563288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61.103306804823973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5.6506497179039759</v>
      </c>
      <c r="AC54" s="24">
        <f t="shared" si="3"/>
        <v>66.753956522727947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19.2</v>
      </c>
      <c r="N55" s="14">
        <f>IF('Données projet'!$A$36&gt;35,N54+M55-V54,IF(A55&lt;'Données projet'!$A$36,$K$205^A55,IF(A55='Données projet'!$A$36,'Données projet'!$B$36,N54+M55-V54)))</f>
        <v>405.40000000000003</v>
      </c>
      <c r="O55" s="14">
        <f>N55*VLOOKUP('Données projet'!$B$9,Paramètres!$A$1:$I$89,3,0)*VLOOKUP('Données projet'!$B$9,Paramètres!$A$1:$I$89,5,0)</f>
        <v>242.42920000000007</v>
      </c>
      <c r="P55" s="14">
        <f t="shared" si="33"/>
        <v>58.961877963646693</v>
      </c>
      <c r="Q55" s="22">
        <f t="shared" si="53"/>
        <v>524.92279412001812</v>
      </c>
      <c r="R55" s="62">
        <f t="shared" si="0"/>
        <v>818.25612745335138</v>
      </c>
      <c r="S55" s="62">
        <f ca="1">AVERAGE(OFFSET($R$3,0,0,'Données projet'!$E$9+1,1))-AVERAGE(OFFSET($H$3,0,0,'Données projet'!$E$9+1,1))</f>
        <v>348.62416478262719</v>
      </c>
      <c r="T55" s="62">
        <f t="shared" si="34"/>
        <v>371.70674704563288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59.905108227718486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3.9956127336397533</v>
      </c>
      <c r="AC55" s="24">
        <f t="shared" si="3"/>
        <v>63.900720961358239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19.2</v>
      </c>
      <c r="N56" s="14">
        <f>IF('Données projet'!$A$36&gt;35,N55+M56-V55,IF(A56&lt;'Données projet'!$A$36,$K$205^A56,IF(A56='Données projet'!$A$36,'Données projet'!$B$36,N55+M56-V55)))</f>
        <v>424.6</v>
      </c>
      <c r="O56" s="14">
        <f>N56*VLOOKUP('Données projet'!$B$9,Paramètres!$A$1:$I$89,3,0)*VLOOKUP('Données projet'!$B$9,Paramètres!$A$1:$I$89,5,0)</f>
        <v>253.91080000000005</v>
      </c>
      <c r="P56" s="14">
        <f t="shared" si="33"/>
        <v>61.422621781167194</v>
      </c>
      <c r="Q56" s="22">
        <f t="shared" si="53"/>
        <v>549.20570960219959</v>
      </c>
      <c r="R56" s="62">
        <f t="shared" si="0"/>
        <v>842.53904293553296</v>
      </c>
      <c r="S56" s="62">
        <f ca="1">AVERAGE(OFFSET($R$3,0,0,'Données projet'!$E$9+1,1))-AVERAGE(OFFSET($H$3,0,0,'Données projet'!$E$9+1,1))</f>
        <v>348.62416478262719</v>
      </c>
      <c r="T56" s="62">
        <f t="shared" si="34"/>
        <v>371.70674704563288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58.730405593881066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2.8253248589519884</v>
      </c>
      <c r="AC56" s="24">
        <f t="shared" si="3"/>
        <v>61.555730452833053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19.2</v>
      </c>
      <c r="N57" s="14">
        <f>IF('Données projet'!$A$36&gt;35,N56+M57-V56,IF(A57&lt;'Données projet'!$A$36,$K$205^A57,IF(A57='Données projet'!$A$36,'Données projet'!$B$36,N56+M57-V56)))</f>
        <v>443.8</v>
      </c>
      <c r="O57" s="14">
        <f>N57*VLOOKUP('Données projet'!$B$9,Paramètres!$A$1:$I$89,3,0)*VLOOKUP('Données projet'!$B$9,Paramètres!$A$1:$I$89,5,0)</f>
        <v>265.39240000000007</v>
      </c>
      <c r="P57" s="14">
        <f t="shared" si="33"/>
        <v>63.870442862391819</v>
      </c>
      <c r="Q57" s="22">
        <f t="shared" si="53"/>
        <v>573.46611798533252</v>
      </c>
      <c r="R57" s="62">
        <f t="shared" si="0"/>
        <v>866.79945131866589</v>
      </c>
      <c r="S57" s="62">
        <f ca="1">AVERAGE(OFFSET($R$3,0,0,'Données projet'!$E$9+1,1))-AVERAGE(OFFSET($H$3,0,0,'Données projet'!$E$9+1,1))</f>
        <v>348.62416478262719</v>
      </c>
      <c r="T57" s="62">
        <f t="shared" si="34"/>
        <v>371.70674704563288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57.578738162195343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1.9978063668198771</v>
      </c>
      <c r="AC57" s="24">
        <f t="shared" si="3"/>
        <v>59.576544529015223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463</v>
      </c>
      <c r="L58" s="13">
        <f>VLOOKUP(A58,'Données projet'!$A$35:$I$55,9,0)</f>
        <v>19.2</v>
      </c>
      <c r="M58" s="13">
        <f t="array" ref="M58">INDEX(L:L,MIN(IF(ISNUMBER(L58:L254),ROW(L58:L254),"")))</f>
        <v>19.2</v>
      </c>
      <c r="N58" s="14">
        <f>IF('Données projet'!$A$36&gt;35,N57+M58-V57,IF(A58&lt;'Données projet'!$A$36,$K$205^A58,IF(A58='Données projet'!$A$36,'Données projet'!$B$36,N57+M58-V57)))</f>
        <v>463</v>
      </c>
      <c r="O58" s="14">
        <f>N58*VLOOKUP('Données projet'!$B$9,Paramètres!$A$1:$I$89,3,0)*VLOOKUP('Données projet'!$B$9,Paramètres!$A$1:$I$89,5,0)</f>
        <v>276.87400000000002</v>
      </c>
      <c r="P58" s="14">
        <f t="shared" si="33"/>
        <v>66.305964184031993</v>
      </c>
      <c r="Q58" s="22">
        <f t="shared" si="53"/>
        <v>597.7051042871891</v>
      </c>
      <c r="R58" s="62">
        <f t="shared" si="0"/>
        <v>891.03843762052247</v>
      </c>
      <c r="S58" s="62">
        <f ca="1">AVERAGE(OFFSET($R$3,0,0,'Données projet'!$E$9+1,1))-AVERAGE(OFFSET($H$3,0,0,'Données projet'!$E$9+1,1))</f>
        <v>348.62416478262719</v>
      </c>
      <c r="T58" s="62">
        <f t="shared" si="34"/>
        <v>371.70674704563288</v>
      </c>
      <c r="U58" s="16">
        <f>IF(ISNA(VLOOKUP(A58,'Données projet'!$A$35:$I$55,3,0)),0,VLOOKUP(A58,'Données projet'!$A$35:$I$55,3,0))</f>
        <v>9</v>
      </c>
      <c r="V58" s="16">
        <f>IF(ISNA(VLOOKUP(A58,'Données projet'!$A$35:$I$55,4,0)),0,VLOOKUP(A58,'Données projet'!$A$35:$I$55,4,0))</f>
        <v>48</v>
      </c>
      <c r="W58" s="17">
        <f>IF(ISNA(VLOOKUP(A58,'Données projet'!$A$35:$I$55,5,0)),0%,VLOOKUP(A58,'Données projet'!$A$35:$I$55,5,0)*VLOOKUP('Données projet'!$B$9,Paramètres!$A$1:$I$89,7,0))</f>
        <v>0.36000000000000004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0.2</v>
      </c>
      <c r="Z58" s="23">
        <f>EXP(-LN(2)/35)*Z57+(1-EXP(-LN(2)/35))/(LN(2)/35)*V58*W58*VLOOKUP('Données projet'!$B$9,Paramètres!$A$1:$I$89,3,0)*0.475*44/12</f>
        <v>70.157628432814363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7.91258160311593</v>
      </c>
      <c r="AC58" s="24">
        <f t="shared" si="3"/>
        <v>78.070210035930288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17</v>
      </c>
      <c r="N59" s="14">
        <f>IF('Données projet'!$A$36&gt;35,N58+M59-V58,IF(A59&lt;'Données projet'!$A$36,$K$205^A59,IF(A59='Données projet'!$A$36,'Données projet'!$B$36,N58+M59-V58)))</f>
        <v>432</v>
      </c>
      <c r="O59" s="14">
        <f>N59*VLOOKUP('Données projet'!$B$9,Paramètres!$A$1:$I$89,3,0)*VLOOKUP('Données projet'!$B$9,Paramètres!$A$1:$I$89,5,0)</f>
        <v>258.33600000000001</v>
      </c>
      <c r="P59" s="14">
        <f t="shared" si="33"/>
        <v>62.367547966451262</v>
      </c>
      <c r="Q59" s="22">
        <f t="shared" si="53"/>
        <v>558.55867937490257</v>
      </c>
      <c r="R59" s="62">
        <f t="shared" si="0"/>
        <v>851.89201270823582</v>
      </c>
      <c r="S59" s="62">
        <f ca="1">AVERAGE(OFFSET($R$3,0,0,'Données projet'!$E$9+1,1))-AVERAGE(OFFSET($H$3,0,0,'Données projet'!$E$9+1,1))</f>
        <v>348.62416478262719</v>
      </c>
      <c r="T59" s="62">
        <f t="shared" si="34"/>
        <v>371.70674704563288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68.781880131174859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5.5950401082551977</v>
      </c>
      <c r="AC59" s="24">
        <f t="shared" si="3"/>
        <v>74.376920239430063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17</v>
      </c>
      <c r="N60" s="14">
        <f>IF('Données projet'!$A$36&gt;35,N59+M60-V59,IF(A60&lt;'Données projet'!$A$36,$K$205^A60,IF(A60='Données projet'!$A$36,'Données projet'!$B$36,N59+M60-V59)))</f>
        <v>449</v>
      </c>
      <c r="O60" s="14">
        <f>N60*VLOOKUP('Données projet'!$B$9,Paramètres!$A$1:$I$89,3,0)*VLOOKUP('Données projet'!$B$9,Paramètres!$A$1:$I$89,5,0)</f>
        <v>268.50200000000001</v>
      </c>
      <c r="P60" s="14">
        <f t="shared" si="33"/>
        <v>64.531253013339168</v>
      </c>
      <c r="Q60" s="22">
        <f t="shared" si="53"/>
        <v>580.03291566489895</v>
      </c>
      <c r="R60" s="62">
        <f t="shared" si="0"/>
        <v>873.36624899823232</v>
      </c>
      <c r="S60" s="62">
        <f ca="1">AVERAGE(OFFSET($R$3,0,0,'Données projet'!$E$9+1,1))-AVERAGE(OFFSET($H$3,0,0,'Données projet'!$E$9+1,1))</f>
        <v>348.62416478262719</v>
      </c>
      <c r="T60" s="62">
        <f t="shared" si="34"/>
        <v>371.70674704563288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67.433109414606903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3.9562908015579654</v>
      </c>
      <c r="AC60" s="24">
        <f t="shared" si="3"/>
        <v>71.389400216164873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17</v>
      </c>
      <c r="N61" s="14">
        <f>IF('Données projet'!$A$36&gt;35,N60+M61-V60,IF(A61&lt;'Données projet'!$A$36,$K$205^A61,IF(A61='Données projet'!$A$36,'Données projet'!$B$36,N60+M61-V60)))</f>
        <v>466</v>
      </c>
      <c r="O61" s="14">
        <f>N61*VLOOKUP('Données projet'!$B$9,Paramètres!$A$1:$I$89,3,0)*VLOOKUP('Données projet'!$B$9,Paramètres!$A$1:$I$89,5,0)</f>
        <v>278.66800000000001</v>
      </c>
      <c r="P61" s="14">
        <f t="shared" si="33"/>
        <v>66.685440917424543</v>
      </c>
      <c r="Q61" s="22">
        <f t="shared" si="53"/>
        <v>601.49057626451452</v>
      </c>
      <c r="R61" s="62">
        <f t="shared" si="0"/>
        <v>894.82390959784789</v>
      </c>
      <c r="S61" s="62">
        <f ca="1">AVERAGE(OFFSET($R$3,0,0,'Données projet'!$E$9+1,1))-AVERAGE(OFFSET($H$3,0,0,'Données projet'!$E$9+1,1))</f>
        <v>348.62416478262719</v>
      </c>
      <c r="T61" s="62">
        <f t="shared" si="34"/>
        <v>371.70674704563288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66.110787269121943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2.7975200541275993</v>
      </c>
      <c r="AC61" s="24">
        <f t="shared" si="3"/>
        <v>68.908307323249545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17</v>
      </c>
      <c r="N62" s="14">
        <f>IF('Données projet'!$A$36&gt;35,N61+M62-V61,IF(A62&lt;'Données projet'!$A$36,$K$205^A62,IF(A62='Données projet'!$A$36,'Données projet'!$B$36,N61+M62-V61)))</f>
        <v>483</v>
      </c>
      <c r="O62" s="14">
        <f>N62*VLOOKUP('Données projet'!$B$9,Paramètres!$A$1:$I$89,3,0)*VLOOKUP('Données projet'!$B$9,Paramètres!$A$1:$I$89,5,0)</f>
        <v>288.834</v>
      </c>
      <c r="P62" s="14">
        <f t="shared" si="33"/>
        <v>68.830498636563377</v>
      </c>
      <c r="Q62" s="22">
        <f t="shared" si="53"/>
        <v>622.93233512534789</v>
      </c>
      <c r="R62" s="62">
        <f t="shared" si="0"/>
        <v>916.26566845868115</v>
      </c>
      <c r="S62" s="62">
        <f ca="1">AVERAGE(OFFSET($R$3,0,0,'Données projet'!$E$9+1,1))-AVERAGE(OFFSET($H$3,0,0,'Données projet'!$E$9+1,1))</f>
        <v>348.62416478262719</v>
      </c>
      <c r="T62" s="62">
        <f t="shared" si="34"/>
        <v>371.70674704563288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64.814395054373065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1.9781454007789832</v>
      </c>
      <c r="AC62" s="24">
        <f t="shared" si="3"/>
        <v>66.79254045515205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500</v>
      </c>
      <c r="L63" s="13">
        <f>VLOOKUP(A63,'Données projet'!$A$35:$I$55,9,0)</f>
        <v>17</v>
      </c>
      <c r="M63" s="13">
        <f t="array" ref="M63">INDEX(L:L,MIN(IF(ISNUMBER(L63:L259),ROW(L63:L259),"")))</f>
        <v>17</v>
      </c>
      <c r="N63" s="14">
        <f>IF('Données projet'!$A$36&gt;35,N62+M63-V62,IF(A63&lt;'Données projet'!$A$36,$K$205^A63,IF(A63='Données projet'!$A$36,'Données projet'!$B$36,N62+M63-V62)))</f>
        <v>500</v>
      </c>
      <c r="O63" s="14">
        <f>N63*VLOOKUP('Données projet'!$B$9,Paramètres!$A$1:$I$89,3,0)*VLOOKUP('Données projet'!$B$9,Paramètres!$A$1:$I$89,5,0)</f>
        <v>299</v>
      </c>
      <c r="P63" s="14">
        <f t="shared" si="33"/>
        <v>70.966784344875109</v>
      </c>
      <c r="Q63" s="22">
        <f t="shared" si="53"/>
        <v>644.35881606732414</v>
      </c>
      <c r="R63" s="62">
        <f t="shared" si="0"/>
        <v>937.6921494006574</v>
      </c>
      <c r="S63" s="62">
        <f ca="1">AVERAGE(OFFSET($R$3,0,0,'Données projet'!$E$9+1,1))-AVERAGE(OFFSET($H$3,0,0,'Données projet'!$E$9+1,1))</f>
        <v>348.62416478262719</v>
      </c>
      <c r="T63" s="62">
        <f t="shared" si="34"/>
        <v>371.70674704563288</v>
      </c>
      <c r="U63" s="16">
        <f>IF(ISNA(VLOOKUP(A63,'Données projet'!$A$35:$I$55,3,0)),0,VLOOKUP(A63,'Données projet'!$A$35:$I$55,3,0))</f>
        <v>10</v>
      </c>
      <c r="V63" s="16">
        <f>IF(ISNA(VLOOKUP(A63,'Données projet'!$A$35:$I$55,4,0)),0,VLOOKUP(A63,'Données projet'!$A$35:$I$55,4,0))</f>
        <v>32</v>
      </c>
      <c r="W63" s="17">
        <f>IF(ISNA(VLOOKUP(A63,'Données projet'!$A$35:$I$55,5,0)),0%,VLOOKUP(A63,'Données projet'!$A$35:$I$55,5,0)*VLOOKUP('Données projet'!$B$9,Paramètres!$A$1:$I$89,7,0))</f>
        <v>0.36000000000000004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0.2</v>
      </c>
      <c r="Z63" s="23">
        <f>EXP(-LN(2)/35)*Z62+(1-EXP(-LN(2)/35))/(LN(2)/35)*V63*W63*VLOOKUP('Données projet'!$B$9,Paramètres!$A$1:$I$89,3,0)*0.475*44/12</f>
        <v>72.68207377117902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5.732039476157091</v>
      </c>
      <c r="AC63" s="24">
        <f t="shared" si="3"/>
        <v>78.414113247336104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17.399999999999999</v>
      </c>
      <c r="N64" s="14">
        <f>IF('Données projet'!$A$36&gt;35,N63+M64-V63,IF(A64&lt;'Données projet'!$A$36,$K$205^A64,IF(A64='Données projet'!$A$36,'Données projet'!$B$36,N63+M64-V63)))</f>
        <v>485.4</v>
      </c>
      <c r="O64" s="14">
        <f>N64*VLOOKUP('Données projet'!$B$9,Paramètres!$A$1:$I$89,3,0)*VLOOKUP('Données projet'!$B$9,Paramètres!$A$1:$I$89,5,0)</f>
        <v>290.26920000000001</v>
      </c>
      <c r="P64" s="14">
        <f t="shared" si="33"/>
        <v>69.13261576818384</v>
      </c>
      <c r="Q64" s="22">
        <f t="shared" si="53"/>
        <v>625.95816246292009</v>
      </c>
      <c r="R64" s="62">
        <f t="shared" si="0"/>
        <v>919.29149579625346</v>
      </c>
      <c r="S64" s="62">
        <f ca="1">AVERAGE(OFFSET($R$3,0,0,'Données projet'!$E$9+1,1))-AVERAGE(OFFSET($H$3,0,0,'Données projet'!$E$9+1,1))</f>
        <v>348.62416478262719</v>
      </c>
      <c r="T64" s="62">
        <f t="shared" si="34"/>
        <v>371.70674704563288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71.256822636213812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4.0531639836196645</v>
      </c>
      <c r="AC64" s="24">
        <f t="shared" si="3"/>
        <v>75.309986619833481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17.399999999999999</v>
      </c>
      <c r="N65" s="14">
        <f>IF('Données projet'!$A$36&gt;35,N64+M65-V64,IF(A65&lt;'Données projet'!$A$36,$K$205^A65,IF(A65='Données projet'!$A$36,'Données projet'!$B$36,N64+M65-V64)))</f>
        <v>502.79999999999995</v>
      </c>
      <c r="O65" s="14">
        <f>N65*VLOOKUP('Données projet'!$B$9,Paramètres!$A$1:$I$89,3,0)*VLOOKUP('Données projet'!$B$9,Paramètres!$A$1:$I$89,5,0)</f>
        <v>300.67439999999999</v>
      </c>
      <c r="P65" s="14">
        <f t="shared" si="33"/>
        <v>71.317825137860439</v>
      </c>
      <c r="Q65" s="22">
        <f t="shared" si="53"/>
        <v>647.88645878177363</v>
      </c>
      <c r="R65" s="62">
        <f t="shared" si="0"/>
        <v>941.21979211510688</v>
      </c>
      <c r="S65" s="62">
        <f ca="1">AVERAGE(OFFSET($R$3,0,0,'Données projet'!$E$9+1,1))-AVERAGE(OFFSET($H$3,0,0,'Données projet'!$E$9+1,1))</f>
        <v>348.62416478262719</v>
      </c>
      <c r="T65" s="62">
        <f t="shared" si="34"/>
        <v>371.70674704563288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69.859519806687914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2.8660197380785455</v>
      </c>
      <c r="AC65" s="24">
        <f t="shared" si="3"/>
        <v>72.725539544766463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17.399999999999999</v>
      </c>
      <c r="N66" s="14">
        <f>IF('Données projet'!$A$36&gt;35,N65+M66-V65,IF(A66&lt;'Données projet'!$A$36,$K$205^A66,IF(A66='Données projet'!$A$36,'Données projet'!$B$36,N65+M66-V65)))</f>
        <v>520.19999999999993</v>
      </c>
      <c r="O66" s="14">
        <f>N66*VLOOKUP('Données projet'!$B$9,Paramètres!$A$1:$I$89,3,0)*VLOOKUP('Données projet'!$B$9,Paramètres!$A$1:$I$89,5,0)</f>
        <v>311.07959999999997</v>
      </c>
      <c r="P66" s="14">
        <f t="shared" si="33"/>
        <v>73.49424798183118</v>
      </c>
      <c r="Q66" s="22">
        <f t="shared" si="53"/>
        <v>669.79945190168917</v>
      </c>
      <c r="R66" s="62">
        <f t="shared" si="0"/>
        <v>963.13278523502254</v>
      </c>
      <c r="S66" s="62">
        <f ca="1">AVERAGE(OFFSET($R$3,0,0,'Données projet'!$E$9+1,1))-AVERAGE(OFFSET($H$3,0,0,'Données projet'!$E$9+1,1))</f>
        <v>348.62416478262719</v>
      </c>
      <c r="T66" s="62">
        <f t="shared" si="34"/>
        <v>371.70674704563288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68.489617233378453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2.0265819918098322</v>
      </c>
      <c r="AC66" s="24">
        <f t="shared" si="3"/>
        <v>70.516199225188288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17.399999999999999</v>
      </c>
      <c r="N67" s="14">
        <f>IF('Données projet'!$A$36&gt;35,N66+M67-V66,IF(A67&lt;'Données projet'!$A$36,$K$205^A67,IF(A67='Données projet'!$A$36,'Données projet'!$B$36,N66+M67-V66)))</f>
        <v>537.59999999999991</v>
      </c>
      <c r="O67" s="14">
        <f>N67*VLOOKUP('Données projet'!$B$9,Paramètres!$A$1:$I$89,3,0)*VLOOKUP('Données projet'!$B$9,Paramètres!$A$1:$I$89,5,0)</f>
        <v>321.48479999999995</v>
      </c>
      <c r="P67" s="14">
        <f t="shared" si="33"/>
        <v>75.662211893590367</v>
      </c>
      <c r="Q67" s="22">
        <f t="shared" ref="Q67:Q98" si="54">(O67+P67)*0.475*44/12</f>
        <v>691.69771238133637</v>
      </c>
      <c r="R67" s="62">
        <f t="shared" ref="R67:R130" si="55">Q67+(I67+J67)*44/12</f>
        <v>985.03104571466974</v>
      </c>
      <c r="S67" s="62">
        <f ca="1">AVERAGE(OFFSET($R$3,0,0,'Données projet'!$E$9+1,1))-AVERAGE(OFFSET($H$3,0,0,'Données projet'!$E$9+1,1))</f>
        <v>348.62416478262719</v>
      </c>
      <c r="T67" s="62">
        <f t="shared" si="34"/>
        <v>371.70674704563288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67.14657761397352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1.4330098690392727</v>
      </c>
      <c r="AC67" s="24">
        <f t="shared" si="3"/>
        <v>68.579587483012787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555</v>
      </c>
      <c r="L68" s="13">
        <f>VLOOKUP(A68,'Données projet'!$A$35:$I$55,9,0)</f>
        <v>17.399999999999999</v>
      </c>
      <c r="M68" s="13">
        <f t="array" ref="M68">INDEX(L:L,MIN(IF(ISNUMBER(L68:L264),ROW(L68:L264),"")))</f>
        <v>17.399999999999999</v>
      </c>
      <c r="N68" s="14">
        <f>IF('Données projet'!$A$36&gt;35,N67+M68-V67,IF(A68&lt;'Données projet'!$A$36,$K$205^A68,IF(A68='Données projet'!$A$36,'Données projet'!$B$36,N67+M68-V67)))</f>
        <v>554.99999999999989</v>
      </c>
      <c r="O68" s="14">
        <f>N68*VLOOKUP('Données projet'!$B$9,Paramètres!$A$1:$I$89,3,0)*VLOOKUP('Données projet'!$B$9,Paramètres!$A$1:$I$89,5,0)</f>
        <v>331.88999999999993</v>
      </c>
      <c r="P68" s="14">
        <f t="shared" si="33"/>
        <v>77.822022056956186</v>
      </c>
      <c r="Q68" s="22">
        <f t="shared" si="54"/>
        <v>713.58177174919854</v>
      </c>
      <c r="R68" s="62">
        <f t="shared" si="55"/>
        <v>1006.9151050825319</v>
      </c>
      <c r="S68" s="62">
        <f ca="1">AVERAGE(OFFSET($R$3,0,0,'Données projet'!$E$9+1,1))-AVERAGE(OFFSET($H$3,0,0,'Données projet'!$E$9+1,1))</f>
        <v>348.62416478262719</v>
      </c>
      <c r="T68" s="62">
        <f t="shared" si="34"/>
        <v>371.70674704563288</v>
      </c>
      <c r="U68" s="16">
        <f>IF(ISNA(VLOOKUP(A68,'Données projet'!$A$35:$I$55,3,0)),0,VLOOKUP(A68,'Données projet'!$A$35:$I$55,3,0))</f>
        <v>11</v>
      </c>
      <c r="V68" s="16">
        <f>IF(ISNA(VLOOKUP(A68,'Données projet'!$A$35:$I$55,4,0)),0,VLOOKUP(A68,'Données projet'!$A$35:$I$55,4,0))</f>
        <v>28</v>
      </c>
      <c r="W68" s="17">
        <f>IF(ISNA(VLOOKUP(A68,'Données projet'!$A$35:$I$55,5,0)),0%,VLOOKUP(A68,'Données projet'!$A$35:$I$55,5,0)*VLOOKUP('Données projet'!$B$9,Paramètres!$A$1:$I$89,7,0))</f>
        <v>0.36000000000000004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0.2</v>
      </c>
      <c r="Z68" s="23">
        <f>EXP(-LN(2)/35)*Z67+(1-EXP(-LN(2)/35))/(LN(2)/35)*V68*W68*VLOOKUP('Données projet'!$B$9,Paramètres!$A$1:$I$89,3,0)*0.475*44/12</f>
        <v>73.826192469408511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4.8049105138615449</v>
      </c>
      <c r="AC68" s="24">
        <f t="shared" ref="AC68:AC131" si="57">SUM(Z68:AB68)</f>
        <v>78.631102983270054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526.99999999999989</v>
      </c>
      <c r="O69" s="14">
        <f>N69*VLOOKUP('Données projet'!$B$9,Paramètres!$A$1:$I$89,3,0)*VLOOKUP('Données projet'!$B$9,Paramètres!$A$1:$I$89,5,0)</f>
        <v>315.14599999999996</v>
      </c>
      <c r="P69" s="14">
        <f t="shared" ref="P69:P132" si="87">EXP(-1.0587+0.8836*LN(O69)+0.284)</f>
        <v>74.342487867211162</v>
      </c>
      <c r="Q69" s="22">
        <f t="shared" si="54"/>
        <v>678.35911636872606</v>
      </c>
      <c r="R69" s="62">
        <f t="shared" si="55"/>
        <v>971.69244970205932</v>
      </c>
      <c r="S69" s="62">
        <f ca="1">AVERAGE(OFFSET($R$3,0,0,'Données projet'!$E$9+1,1))-AVERAGE(OFFSET($H$3,0,0,'Données projet'!$E$9+1,1))</f>
        <v>348.62416478262719</v>
      </c>
      <c r="T69" s="62">
        <f t="shared" ref="T69:T132" si="88">$T$3</f>
        <v>371.70674704563288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72.378505864614525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3.3975848073460373</v>
      </c>
      <c r="AC69" s="24">
        <f t="shared" si="57"/>
        <v>75.77609067196056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526.99999999999989</v>
      </c>
      <c r="O70" s="14">
        <f>N70*VLOOKUP('Données projet'!$B$9,Paramètres!$A$1:$I$89,3,0)*VLOOKUP('Données projet'!$B$9,Paramètres!$A$1:$I$89,5,0)</f>
        <v>315.14599999999996</v>
      </c>
      <c r="P70" s="14">
        <f t="shared" si="87"/>
        <v>74.342487867211162</v>
      </c>
      <c r="Q70" s="22">
        <f t="shared" si="54"/>
        <v>678.35911636872606</v>
      </c>
      <c r="R70" s="62">
        <f t="shared" si="55"/>
        <v>971.69244970205932</v>
      </c>
      <c r="S70" s="62">
        <f ca="1">AVERAGE(OFFSET($R$3,0,0,'Données projet'!$E$9+1,1))-AVERAGE(OFFSET($H$3,0,0,'Données projet'!$E$9+1,1))</f>
        <v>348.62416478262719</v>
      </c>
      <c r="T70" s="62">
        <f t="shared" si="88"/>
        <v>371.70674704563288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70.959207511138899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2.4024552569307729</v>
      </c>
      <c r="AC70" s="24">
        <f t="shared" si="57"/>
        <v>73.361662768069678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526.99999999999989</v>
      </c>
      <c r="O71" s="14">
        <f>N71*VLOOKUP('Données projet'!$B$9,Paramètres!$A$1:$I$89,3,0)*VLOOKUP('Données projet'!$B$9,Paramètres!$A$1:$I$89,5,0)</f>
        <v>315.14599999999996</v>
      </c>
      <c r="P71" s="14">
        <f t="shared" si="87"/>
        <v>74.342487867211162</v>
      </c>
      <c r="Q71" s="22">
        <f t="shared" si="54"/>
        <v>678.35911636872606</v>
      </c>
      <c r="R71" s="62">
        <f t="shared" si="55"/>
        <v>971.69244970205932</v>
      </c>
      <c r="S71" s="62">
        <f ca="1">AVERAGE(OFFSET($R$3,0,0,'Données projet'!$E$9+1,1))-AVERAGE(OFFSET($H$3,0,0,'Données projet'!$E$9+1,1))</f>
        <v>348.62416478262719</v>
      </c>
      <c r="T71" s="62">
        <f t="shared" si="88"/>
        <v>371.70674704563288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69.567740732688421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1.6987924036730189</v>
      </c>
      <c r="AC71" s="24">
        <f t="shared" si="57"/>
        <v>71.266533136361446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526.99999999999989</v>
      </c>
      <c r="O72" s="14">
        <f>N72*VLOOKUP('Données projet'!$B$9,Paramètres!$A$1:$I$89,3,0)*VLOOKUP('Données projet'!$B$9,Paramètres!$A$1:$I$89,5,0)</f>
        <v>315.14599999999996</v>
      </c>
      <c r="P72" s="14">
        <f t="shared" si="87"/>
        <v>74.342487867211162</v>
      </c>
      <c r="Q72" s="22">
        <f t="shared" si="54"/>
        <v>678.35911636872606</v>
      </c>
      <c r="R72" s="62">
        <f t="shared" si="55"/>
        <v>971.69244970205932</v>
      </c>
      <c r="S72" s="62">
        <f ca="1">AVERAGE(OFFSET($R$3,0,0,'Données projet'!$E$9+1,1))-AVERAGE(OFFSET($H$3,0,0,'Données projet'!$E$9+1,1))</f>
        <v>348.62416478262719</v>
      </c>
      <c r="T72" s="62">
        <f t="shared" si="88"/>
        <v>371.70674704563288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68.203559769052418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1.2012276284653864</v>
      </c>
      <c r="AC72" s="24">
        <f t="shared" si="57"/>
        <v>69.404787397517808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526.99999999999989</v>
      </c>
      <c r="O73" s="14">
        <f>N73*VLOOKUP('Données projet'!$B$9,Paramètres!$A$1:$I$89,3,0)*VLOOKUP('Données projet'!$B$9,Paramètres!$A$1:$I$89,5,0)</f>
        <v>315.14599999999996</v>
      </c>
      <c r="P73" s="14">
        <f t="shared" si="87"/>
        <v>74.342487867211162</v>
      </c>
      <c r="Q73" s="22">
        <f t="shared" si="54"/>
        <v>678.35911636872606</v>
      </c>
      <c r="R73" s="62">
        <f t="shared" si="55"/>
        <v>971.69244970205932</v>
      </c>
      <c r="S73" s="62">
        <f ca="1">AVERAGE(OFFSET($R$3,0,0,'Données projet'!$E$9+1,1))-AVERAGE(OFFSET($H$3,0,0,'Données projet'!$E$9+1,1))</f>
        <v>348.62416478262719</v>
      </c>
      <c r="T73" s="62">
        <f t="shared" si="88"/>
        <v>371.70674704563288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66.866129562045089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0.84939620183650943</v>
      </c>
      <c r="AC73" s="24">
        <f t="shared" si="57"/>
        <v>67.715525763881601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526.99999999999989</v>
      </c>
      <c r="O74" s="14">
        <f>N74*VLOOKUP('Données projet'!$B$9,Paramètres!$A$1:$I$89,3,0)*VLOOKUP('Données projet'!$B$9,Paramètres!$A$1:$I$89,5,0)</f>
        <v>315.14599999999996</v>
      </c>
      <c r="P74" s="14">
        <f t="shared" si="87"/>
        <v>74.342487867211162</v>
      </c>
      <c r="Q74" s="22">
        <f t="shared" si="54"/>
        <v>678.35911636872606</v>
      </c>
      <c r="R74" s="62">
        <f t="shared" si="55"/>
        <v>971.69244970205932</v>
      </c>
      <c r="S74" s="62">
        <f ca="1">AVERAGE(OFFSET($R$3,0,0,'Données projet'!$E$9+1,1))-AVERAGE(OFFSET($H$3,0,0,'Données projet'!$E$9+1,1))</f>
        <v>348.62416478262719</v>
      </c>
      <c r="T74" s="62">
        <f t="shared" si="88"/>
        <v>371.70674704563288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65.554925545645304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0.60061381423269322</v>
      </c>
      <c r="AC74" s="24">
        <f t="shared" si="57"/>
        <v>66.155539359877992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526.99999999999989</v>
      </c>
      <c r="O75" s="14">
        <f>N75*VLOOKUP('Données projet'!$B$9,Paramètres!$A$1:$I$89,3,0)*VLOOKUP('Données projet'!$B$9,Paramètres!$A$1:$I$89,5,0)</f>
        <v>315.14599999999996</v>
      </c>
      <c r="P75" s="14">
        <f t="shared" si="87"/>
        <v>74.342487867211162</v>
      </c>
      <c r="Q75" s="22">
        <f t="shared" si="54"/>
        <v>678.35911636872606</v>
      </c>
      <c r="R75" s="62">
        <f t="shared" si="55"/>
        <v>971.69244970205932</v>
      </c>
      <c r="S75" s="62">
        <f ca="1">AVERAGE(OFFSET($R$3,0,0,'Données projet'!$E$9+1,1))-AVERAGE(OFFSET($H$3,0,0,'Données projet'!$E$9+1,1))</f>
        <v>348.62416478262719</v>
      </c>
      <c r="T75" s="62">
        <f t="shared" si="88"/>
        <v>371.70674704563288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64.269433440251632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0.42469810091825472</v>
      </c>
      <c r="AC75" s="24">
        <f t="shared" si="57"/>
        <v>64.694131541169881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526.99999999999989</v>
      </c>
      <c r="O76" s="14">
        <f>N76*VLOOKUP('Données projet'!$B$9,Paramètres!$A$1:$I$89,3,0)*VLOOKUP('Données projet'!$B$9,Paramètres!$A$1:$I$89,5,0)</f>
        <v>315.14599999999996</v>
      </c>
      <c r="P76" s="14">
        <f t="shared" si="87"/>
        <v>74.342487867211162</v>
      </c>
      <c r="Q76" s="22">
        <f t="shared" si="54"/>
        <v>678.35911636872606</v>
      </c>
      <c r="R76" s="62">
        <f t="shared" si="55"/>
        <v>971.69244970205932</v>
      </c>
      <c r="S76" s="62">
        <f ca="1">AVERAGE(OFFSET($R$3,0,0,'Données projet'!$E$9+1,1))-AVERAGE(OFFSET($H$3,0,0,'Données projet'!$E$9+1,1))</f>
        <v>348.62416478262719</v>
      </c>
      <c r="T76" s="62">
        <f t="shared" si="88"/>
        <v>371.70674704563288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63.00914905097197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0.30030690711634661</v>
      </c>
      <c r="AC76" s="24">
        <f t="shared" si="57"/>
        <v>63.309455958088314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526.99999999999989</v>
      </c>
      <c r="O77" s="14">
        <f>N77*VLOOKUP('Données projet'!$B$9,Paramètres!$A$1:$I$89,3,0)*VLOOKUP('Données projet'!$B$9,Paramètres!$A$1:$I$89,5,0)</f>
        <v>315.14599999999996</v>
      </c>
      <c r="P77" s="14">
        <f t="shared" si="87"/>
        <v>74.342487867211162</v>
      </c>
      <c r="Q77" s="22">
        <f t="shared" si="54"/>
        <v>678.35911636872606</v>
      </c>
      <c r="R77" s="62">
        <f t="shared" si="55"/>
        <v>971.69244970205932</v>
      </c>
      <c r="S77" s="62">
        <f ca="1">AVERAGE(OFFSET($R$3,0,0,'Données projet'!$E$9+1,1))-AVERAGE(OFFSET($H$3,0,0,'Données projet'!$E$9+1,1))</f>
        <v>348.62416478262719</v>
      </c>
      <c r="T77" s="62">
        <f t="shared" si="88"/>
        <v>371.70674704563288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61.773578069868506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0.21234905045912736</v>
      </c>
      <c r="AC77" s="24">
        <f t="shared" si="57"/>
        <v>61.985927120327631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526.99999999999989</v>
      </c>
      <c r="O78" s="14">
        <f>N78*VLOOKUP('Données projet'!$B$9,Paramètres!$A$1:$I$89,3,0)*VLOOKUP('Données projet'!$B$9,Paramètres!$A$1:$I$89,5,0)</f>
        <v>315.14599999999996</v>
      </c>
      <c r="P78" s="14">
        <f t="shared" si="87"/>
        <v>74.342487867211162</v>
      </c>
      <c r="Q78" s="22">
        <f t="shared" si="54"/>
        <v>678.35911636872606</v>
      </c>
      <c r="R78" s="62">
        <f t="shared" si="55"/>
        <v>971.69244970205932</v>
      </c>
      <c r="S78" s="62">
        <f ca="1">AVERAGE(OFFSET($R$3,0,0,'Données projet'!$E$9+1,1))-AVERAGE(OFFSET($H$3,0,0,'Données projet'!$E$9+1,1))</f>
        <v>348.62416478262719</v>
      </c>
      <c r="T78" s="62">
        <f t="shared" si="88"/>
        <v>371.70674704563288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60.5622358820806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0.15015345355817331</v>
      </c>
      <c r="AC78" s="24">
        <f t="shared" si="57"/>
        <v>60.712389335638775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526.99999999999989</v>
      </c>
      <c r="O79" s="14">
        <f>N79*VLOOKUP('Données projet'!$B$9,Paramètres!$A$1:$I$89,3,0)*VLOOKUP('Données projet'!$B$9,Paramètres!$A$1:$I$89,5,0)</f>
        <v>315.14599999999996</v>
      </c>
      <c r="P79" s="14">
        <f t="shared" si="87"/>
        <v>74.342487867211162</v>
      </c>
      <c r="Q79" s="22">
        <f t="shared" si="54"/>
        <v>678.35911636872606</v>
      </c>
      <c r="R79" s="62">
        <f t="shared" si="55"/>
        <v>971.69244970205932</v>
      </c>
      <c r="S79" s="62">
        <f ca="1">AVERAGE(OFFSET($R$3,0,0,'Données projet'!$E$9+1,1))-AVERAGE(OFFSET($H$3,0,0,'Données projet'!$E$9+1,1))</f>
        <v>348.62416478262719</v>
      </c>
      <c r="T79" s="62">
        <f t="shared" si="88"/>
        <v>371.70674704563288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59.374647375749433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0.10617452522956368</v>
      </c>
      <c r="AC79" s="24">
        <f t="shared" si="57"/>
        <v>59.480821900978995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526.99999999999989</v>
      </c>
      <c r="O80" s="14">
        <f>N80*VLOOKUP('Données projet'!$B$9,Paramètres!$A$1:$I$89,3,0)*VLOOKUP('Données projet'!$B$9,Paramètres!$A$1:$I$89,5,0)</f>
        <v>315.14599999999996</v>
      </c>
      <c r="P80" s="14">
        <f t="shared" si="87"/>
        <v>74.342487867211162</v>
      </c>
      <c r="Q80" s="22">
        <f t="shared" si="54"/>
        <v>678.35911636872606</v>
      </c>
      <c r="R80" s="62">
        <f t="shared" si="55"/>
        <v>971.69244970205932</v>
      </c>
      <c r="S80" s="62">
        <f ca="1">AVERAGE(OFFSET($R$3,0,0,'Données projet'!$E$9+1,1))-AVERAGE(OFFSET($H$3,0,0,'Données projet'!$E$9+1,1))</f>
        <v>348.62416478262719</v>
      </c>
      <c r="T80" s="62">
        <f t="shared" si="88"/>
        <v>371.70674704563288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58.210346755669953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7.5076726779086653E-2</v>
      </c>
      <c r="AC80" s="24">
        <f t="shared" si="57"/>
        <v>58.28542348244904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526.99999999999989</v>
      </c>
      <c r="O81" s="14">
        <f>N81*VLOOKUP('Données projet'!$B$9,Paramètres!$A$1:$I$89,3,0)*VLOOKUP('Données projet'!$B$9,Paramètres!$A$1:$I$89,5,0)</f>
        <v>315.14599999999996</v>
      </c>
      <c r="P81" s="14">
        <f t="shared" si="87"/>
        <v>74.342487867211162</v>
      </c>
      <c r="Q81" s="22">
        <f t="shared" si="54"/>
        <v>678.35911636872606</v>
      </c>
      <c r="R81" s="62">
        <f t="shared" si="55"/>
        <v>971.69244970205932</v>
      </c>
      <c r="S81" s="62">
        <f ca="1">AVERAGE(OFFSET($R$3,0,0,'Données projet'!$E$9+1,1))-AVERAGE(OFFSET($H$3,0,0,'Données projet'!$E$9+1,1))</f>
        <v>348.62416478262719</v>
      </c>
      <c r="T81" s="62">
        <f t="shared" si="88"/>
        <v>371.70674704563288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57.068877360596979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5.308726261478184E-2</v>
      </c>
      <c r="AC81" s="24">
        <f t="shared" si="57"/>
        <v>57.12196462321176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526.99999999999989</v>
      </c>
      <c r="O82" s="14">
        <f>N82*VLOOKUP('Données projet'!$B$9,Paramètres!$A$1:$I$89,3,0)*VLOOKUP('Données projet'!$B$9,Paramètres!$A$1:$I$89,5,0)</f>
        <v>315.14599999999996</v>
      </c>
      <c r="P82" s="14">
        <f t="shared" si="87"/>
        <v>74.342487867211162</v>
      </c>
      <c r="Q82" s="22">
        <f t="shared" si="54"/>
        <v>678.35911636872606</v>
      </c>
      <c r="R82" s="62">
        <f t="shared" si="55"/>
        <v>971.69244970205932</v>
      </c>
      <c r="S82" s="62">
        <f ca="1">AVERAGE(OFFSET($R$3,0,0,'Données projet'!$E$9+1,1))-AVERAGE(OFFSET($H$3,0,0,'Données projet'!$E$9+1,1))</f>
        <v>348.62416478262719</v>
      </c>
      <c r="T82" s="62">
        <f t="shared" si="88"/>
        <v>371.70674704563288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55.949791484133797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3.7538363389543326E-2</v>
      </c>
      <c r="AC82" s="24">
        <f t="shared" si="57"/>
        <v>55.987329847523341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526.99999999999989</v>
      </c>
      <c r="O83" s="14">
        <f>N83*VLOOKUP('Données projet'!$B$9,Paramètres!$A$1:$I$89,3,0)*VLOOKUP('Données projet'!$B$9,Paramètres!$A$1:$I$89,5,0)</f>
        <v>315.14599999999996</v>
      </c>
      <c r="P83" s="14">
        <f t="shared" si="87"/>
        <v>74.342487867211162</v>
      </c>
      <c r="Q83" s="22">
        <f t="shared" si="54"/>
        <v>678.35911636872606</v>
      </c>
      <c r="R83" s="62">
        <f t="shared" si="55"/>
        <v>971.69244970205932</v>
      </c>
      <c r="S83" s="62">
        <f ca="1">AVERAGE(OFFSET($R$3,0,0,'Données projet'!$E$9+1,1))-AVERAGE(OFFSET($H$3,0,0,'Données projet'!$E$9+1,1))</f>
        <v>348.62416478262719</v>
      </c>
      <c r="T83" s="62">
        <f t="shared" si="88"/>
        <v>371.70674704563288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54.852650199133073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2.654363130739092E-2</v>
      </c>
      <c r="AC83" s="24">
        <f t="shared" si="57"/>
        <v>54.879193830440464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526.99999999999989</v>
      </c>
      <c r="O84" s="14">
        <f>N84*VLOOKUP('Données projet'!$B$9,Paramètres!$A$1:$I$89,3,0)*VLOOKUP('Données projet'!$B$9,Paramètres!$A$1:$I$89,5,0)</f>
        <v>315.14599999999996</v>
      </c>
      <c r="P84" s="14">
        <f t="shared" si="87"/>
        <v>74.342487867211162</v>
      </c>
      <c r="Q84" s="22">
        <f t="shared" si="54"/>
        <v>678.35911636872606</v>
      </c>
      <c r="R84" s="62">
        <f t="shared" si="55"/>
        <v>971.69244970205932</v>
      </c>
      <c r="S84" s="62">
        <f ca="1">AVERAGE(OFFSET($R$3,0,0,'Données projet'!$E$9+1,1))-AVERAGE(OFFSET($H$3,0,0,'Données projet'!$E$9+1,1))</f>
        <v>348.62416478262719</v>
      </c>
      <c r="T84" s="62">
        <f t="shared" si="88"/>
        <v>371.70674704563288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53.777023185541111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1.8769181694771663E-2</v>
      </c>
      <c r="AC84" s="24">
        <f t="shared" si="57"/>
        <v>53.795792367235883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526.99999999999989</v>
      </c>
      <c r="O85" s="14">
        <f>N85*VLOOKUP('Données projet'!$B$9,Paramètres!$A$1:$I$89,3,0)*VLOOKUP('Données projet'!$B$9,Paramètres!$A$1:$I$89,5,0)</f>
        <v>315.14599999999996</v>
      </c>
      <c r="P85" s="14">
        <f t="shared" si="87"/>
        <v>74.342487867211162</v>
      </c>
      <c r="Q85" s="22">
        <f t="shared" si="54"/>
        <v>678.35911636872606</v>
      </c>
      <c r="R85" s="62">
        <f t="shared" si="55"/>
        <v>971.69244970205932</v>
      </c>
      <c r="S85" s="62">
        <f ca="1">AVERAGE(OFFSET($R$3,0,0,'Données projet'!$E$9+1,1))-AVERAGE(OFFSET($H$3,0,0,'Données projet'!$E$9+1,1))</f>
        <v>348.62416478262719</v>
      </c>
      <c r="T85" s="62">
        <f t="shared" si="88"/>
        <v>371.70674704563288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52.722488561617986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1.327181565369546E-2</v>
      </c>
      <c r="AC85" s="24">
        <f t="shared" si="57"/>
        <v>52.735760377271681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526.99999999999989</v>
      </c>
      <c r="O86" s="14">
        <f>N86*VLOOKUP('Données projet'!$B$9,Paramètres!$A$1:$I$89,3,0)*VLOOKUP('Données projet'!$B$9,Paramètres!$A$1:$I$89,5,0)</f>
        <v>315.14599999999996</v>
      </c>
      <c r="P86" s="14">
        <f t="shared" si="87"/>
        <v>74.342487867211162</v>
      </c>
      <c r="Q86" s="22">
        <f t="shared" si="54"/>
        <v>678.35911636872606</v>
      </c>
      <c r="R86" s="62">
        <f t="shared" si="55"/>
        <v>971.69244970205932</v>
      </c>
      <c r="S86" s="62">
        <f ca="1">AVERAGE(OFFSET($R$3,0,0,'Données projet'!$E$9+1,1))-AVERAGE(OFFSET($H$3,0,0,'Données projet'!$E$9+1,1))</f>
        <v>348.62416478262719</v>
      </c>
      <c r="T86" s="62">
        <f t="shared" si="88"/>
        <v>371.70674704563288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51.688632718467389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9.3845908473858316E-3</v>
      </c>
      <c r="AC86" s="24">
        <f t="shared" si="57"/>
        <v>51.698017309314771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526.99999999999989</v>
      </c>
      <c r="O87" s="14">
        <f>N87*VLOOKUP('Données projet'!$B$9,Paramètres!$A$1:$I$89,3,0)*VLOOKUP('Données projet'!$B$9,Paramètres!$A$1:$I$89,5,0)</f>
        <v>315.14599999999996</v>
      </c>
      <c r="P87" s="14">
        <f t="shared" si="87"/>
        <v>74.342487867211162</v>
      </c>
      <c r="Q87" s="22">
        <f t="shared" si="54"/>
        <v>678.35911636872606</v>
      </c>
      <c r="R87" s="62">
        <f t="shared" si="55"/>
        <v>971.69244970205932</v>
      </c>
      <c r="S87" s="62">
        <f ca="1">AVERAGE(OFFSET($R$3,0,0,'Données projet'!$E$9+1,1))-AVERAGE(OFFSET($H$3,0,0,'Données projet'!$E$9+1,1))</f>
        <v>348.62416478262719</v>
      </c>
      <c r="T87" s="62">
        <f t="shared" si="88"/>
        <v>371.70674704563288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50.675050157811171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6.63590782684773E-3</v>
      </c>
      <c r="AC87" s="24">
        <f t="shared" si="57"/>
        <v>50.681686065638019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526.99999999999989</v>
      </c>
      <c r="O88" s="14">
        <f>N88*VLOOKUP('Données projet'!$B$9,Paramètres!$A$1:$I$89,3,0)*VLOOKUP('Données projet'!$B$9,Paramètres!$A$1:$I$89,5,0)</f>
        <v>315.14599999999996</v>
      </c>
      <c r="P88" s="14">
        <f t="shared" si="87"/>
        <v>74.342487867211162</v>
      </c>
      <c r="Q88" s="22">
        <f t="shared" si="54"/>
        <v>678.35911636872606</v>
      </c>
      <c r="R88" s="62">
        <f t="shared" si="55"/>
        <v>971.69244970205932</v>
      </c>
      <c r="S88" s="62">
        <f ca="1">AVERAGE(OFFSET($R$3,0,0,'Données projet'!$E$9+1,1))-AVERAGE(OFFSET($H$3,0,0,'Données projet'!$E$9+1,1))</f>
        <v>348.62416478262719</v>
      </c>
      <c r="T88" s="62">
        <f t="shared" si="88"/>
        <v>371.70674704563288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49.681343332945104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4.6922954236929158E-3</v>
      </c>
      <c r="AC88" s="24">
        <f t="shared" si="57"/>
        <v>49.686035628368799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526.99999999999989</v>
      </c>
      <c r="O89" s="14">
        <f>N89*VLOOKUP('Données projet'!$B$9,Paramètres!$A$1:$I$89,3,0)*VLOOKUP('Données projet'!$B$9,Paramètres!$A$1:$I$89,5,0)</f>
        <v>315.14599999999996</v>
      </c>
      <c r="P89" s="14">
        <f t="shared" si="87"/>
        <v>74.342487867211162</v>
      </c>
      <c r="Q89" s="22">
        <f t="shared" si="54"/>
        <v>678.35911636872606</v>
      </c>
      <c r="R89" s="62">
        <f t="shared" si="55"/>
        <v>971.69244970205932</v>
      </c>
      <c r="S89" s="62">
        <f ca="1">AVERAGE(OFFSET($R$3,0,0,'Données projet'!$E$9+1,1))-AVERAGE(OFFSET($H$3,0,0,'Données projet'!$E$9+1,1))</f>
        <v>348.62416478262719</v>
      </c>
      <c r="T89" s="62">
        <f t="shared" si="88"/>
        <v>371.70674704563288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48.707122492813347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3.317953913423865E-3</v>
      </c>
      <c r="AC89" s="24">
        <f t="shared" si="57"/>
        <v>48.710440446726771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526.99999999999989</v>
      </c>
      <c r="O90" s="14">
        <f>N90*VLOOKUP('Données projet'!$B$9,Paramètres!$A$1:$I$89,3,0)*VLOOKUP('Données projet'!$B$9,Paramètres!$A$1:$I$89,5,0)</f>
        <v>315.14599999999996</v>
      </c>
      <c r="P90" s="14">
        <f t="shared" si="87"/>
        <v>74.342487867211162</v>
      </c>
      <c r="Q90" s="22">
        <f t="shared" si="54"/>
        <v>678.35911636872606</v>
      </c>
      <c r="R90" s="62">
        <f t="shared" si="55"/>
        <v>971.69244970205932</v>
      </c>
      <c r="S90" s="62">
        <f ca="1">AVERAGE(OFFSET($R$3,0,0,'Données projet'!$E$9+1,1))-AVERAGE(OFFSET($H$3,0,0,'Données projet'!$E$9+1,1))</f>
        <v>348.62416478262719</v>
      </c>
      <c r="T90" s="62">
        <f t="shared" si="88"/>
        <v>371.70674704563288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47.75200552914054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2.3461477118464579E-3</v>
      </c>
      <c r="AC90" s="24">
        <f t="shared" si="57"/>
        <v>47.754351676852387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526.99999999999989</v>
      </c>
      <c r="O91" s="14">
        <f>N91*VLOOKUP('Données projet'!$B$9,Paramètres!$A$1:$I$89,3,0)*VLOOKUP('Données projet'!$B$9,Paramètres!$A$1:$I$89,5,0)</f>
        <v>315.14599999999996</v>
      </c>
      <c r="P91" s="14">
        <f t="shared" si="87"/>
        <v>74.342487867211162</v>
      </c>
      <c r="Q91" s="22">
        <f t="shared" si="54"/>
        <v>678.35911636872606</v>
      </c>
      <c r="R91" s="62">
        <f t="shared" si="55"/>
        <v>971.69244970205932</v>
      </c>
      <c r="S91" s="62">
        <f ca="1">AVERAGE(OFFSET($R$3,0,0,'Données projet'!$E$9+1,1))-AVERAGE(OFFSET($H$3,0,0,'Données projet'!$E$9+1,1))</f>
        <v>348.62416478262719</v>
      </c>
      <c r="T91" s="62">
        <f t="shared" si="88"/>
        <v>371.70674704563288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46.815617826561528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1.6589769567119325E-3</v>
      </c>
      <c r="AC91" s="24">
        <f t="shared" si="57"/>
        <v>46.81727680351824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526.99999999999989</v>
      </c>
      <c r="O92" s="14">
        <f>N92*VLOOKUP('Données projet'!$B$9,Paramètres!$A$1:$I$89,3,0)*VLOOKUP('Données projet'!$B$9,Paramètres!$A$1:$I$89,5,0)</f>
        <v>315.14599999999996</v>
      </c>
      <c r="P92" s="14">
        <f t="shared" si="87"/>
        <v>74.342487867211162</v>
      </c>
      <c r="Q92" s="22">
        <f t="shared" si="54"/>
        <v>678.35911636872606</v>
      </c>
      <c r="R92" s="62">
        <f t="shared" si="55"/>
        <v>971.69244970205932</v>
      </c>
      <c r="S92" s="62">
        <f ca="1">AVERAGE(OFFSET($R$3,0,0,'Données projet'!$E$9+1,1))-AVERAGE(OFFSET($H$3,0,0,'Données projet'!$E$9+1,1))</f>
        <v>348.62416478262719</v>
      </c>
      <c r="T92" s="62">
        <f t="shared" si="88"/>
        <v>371.70674704563288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45.897592115689989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1.1730738559232289E-3</v>
      </c>
      <c r="AC92" s="24">
        <f t="shared" si="57"/>
        <v>45.898765189545912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526.99999999999989</v>
      </c>
      <c r="O93" s="14">
        <f>N93*VLOOKUP('Données projet'!$B$9,Paramètres!$A$1:$I$89,3,0)*VLOOKUP('Données projet'!$B$9,Paramètres!$A$1:$I$89,5,0)</f>
        <v>315.14599999999996</v>
      </c>
      <c r="P93" s="14">
        <f t="shared" si="87"/>
        <v>74.342487867211162</v>
      </c>
      <c r="Q93" s="22">
        <f t="shared" si="54"/>
        <v>678.35911636872606</v>
      </c>
      <c r="R93" s="62">
        <f t="shared" si="55"/>
        <v>971.69244970205932</v>
      </c>
      <c r="S93" s="62">
        <f ca="1">AVERAGE(OFFSET($R$3,0,0,'Données projet'!$E$9+1,1))-AVERAGE(OFFSET($H$3,0,0,'Données projet'!$E$9+1,1))</f>
        <v>348.62416478262719</v>
      </c>
      <c r="T93" s="62">
        <f t="shared" si="88"/>
        <v>371.70674704563288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44.997568329068244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8.2948847835596624E-4</v>
      </c>
      <c r="AC93" s="24">
        <f t="shared" si="57"/>
        <v>44.998397817546604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526.99999999999989</v>
      </c>
      <c r="O94" s="14">
        <f>N94*VLOOKUP('Données projet'!$B$9,Paramètres!$A$1:$I$89,3,0)*VLOOKUP('Données projet'!$B$9,Paramètres!$A$1:$I$89,5,0)</f>
        <v>315.14599999999996</v>
      </c>
      <c r="P94" s="14">
        <f t="shared" si="87"/>
        <v>74.342487867211162</v>
      </c>
      <c r="Q94" s="22">
        <f t="shared" si="54"/>
        <v>678.35911636872606</v>
      </c>
      <c r="R94" s="62">
        <f t="shared" si="55"/>
        <v>971.69244970205932</v>
      </c>
      <c r="S94" s="62">
        <f ca="1">AVERAGE(OFFSET($R$3,0,0,'Données projet'!$E$9+1,1))-AVERAGE(OFFSET($H$3,0,0,'Données projet'!$E$9+1,1))</f>
        <v>348.62416478262719</v>
      </c>
      <c r="T94" s="62">
        <f t="shared" si="88"/>
        <v>371.70674704563288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44.11519345994185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5.8653692796161447E-4</v>
      </c>
      <c r="AC94" s="24">
        <f t="shared" si="57"/>
        <v>44.115779996869811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526.99999999999989</v>
      </c>
      <c r="O95" s="14">
        <f>N95*VLOOKUP('Données projet'!$B$9,Paramètres!$A$1:$I$89,3,0)*VLOOKUP('Données projet'!$B$9,Paramètres!$A$1:$I$89,5,0)</f>
        <v>315.14599999999996</v>
      </c>
      <c r="P95" s="14">
        <f t="shared" si="87"/>
        <v>74.342487867211162</v>
      </c>
      <c r="Q95" s="22">
        <f t="shared" si="54"/>
        <v>678.35911636872606</v>
      </c>
      <c r="R95" s="62">
        <f t="shared" si="55"/>
        <v>971.69244970205932</v>
      </c>
      <c r="S95" s="62">
        <f ca="1">AVERAGE(OFFSET($R$3,0,0,'Données projet'!$E$9+1,1))-AVERAGE(OFFSET($H$3,0,0,'Données projet'!$E$9+1,1))</f>
        <v>348.62416478262719</v>
      </c>
      <c r="T95" s="62">
        <f t="shared" si="88"/>
        <v>371.70674704563288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43.250121423803492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4.1474423917798312E-4</v>
      </c>
      <c r="AC95" s="24">
        <f t="shared" si="57"/>
        <v>43.250536168042672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526.99999999999989</v>
      </c>
      <c r="O96" s="14">
        <f>N96*VLOOKUP('Données projet'!$B$9,Paramètres!$A$1:$I$89,3,0)*VLOOKUP('Données projet'!$B$9,Paramètres!$A$1:$I$89,5,0)</f>
        <v>315.14599999999996</v>
      </c>
      <c r="P96" s="14">
        <f t="shared" si="87"/>
        <v>74.342487867211162</v>
      </c>
      <c r="Q96" s="22">
        <f t="shared" si="54"/>
        <v>678.35911636872606</v>
      </c>
      <c r="R96" s="62">
        <f t="shared" si="55"/>
        <v>971.69244970205932</v>
      </c>
      <c r="S96" s="62">
        <f ca="1">AVERAGE(OFFSET($R$3,0,0,'Données projet'!$E$9+1,1))-AVERAGE(OFFSET($H$3,0,0,'Données projet'!$E$9+1,1))</f>
        <v>348.62416478262719</v>
      </c>
      <c r="T96" s="62">
        <f t="shared" si="88"/>
        <v>371.70674704563288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42.40201292265197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2.9326846398080724E-4</v>
      </c>
      <c r="AC96" s="24">
        <f t="shared" si="57"/>
        <v>42.402306191115947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526.99999999999989</v>
      </c>
      <c r="O97" s="14">
        <f>N97*VLOOKUP('Données projet'!$B$9,Paramètres!$A$1:$I$89,3,0)*VLOOKUP('Données projet'!$B$9,Paramètres!$A$1:$I$89,5,0)</f>
        <v>315.14599999999996</v>
      </c>
      <c r="P97" s="14">
        <f t="shared" si="87"/>
        <v>74.342487867211162</v>
      </c>
      <c r="Q97" s="22">
        <f t="shared" si="54"/>
        <v>678.35911636872606</v>
      </c>
      <c r="R97" s="62">
        <f t="shared" si="55"/>
        <v>971.69244970205932</v>
      </c>
      <c r="S97" s="62">
        <f ca="1">AVERAGE(OFFSET($R$3,0,0,'Données projet'!$E$9+1,1))-AVERAGE(OFFSET($H$3,0,0,'Données projet'!$E$9+1,1))</f>
        <v>348.62416478262719</v>
      </c>
      <c r="T97" s="62">
        <f t="shared" si="88"/>
        <v>371.70674704563288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41.57053531191292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2.0737211958899156E-4</v>
      </c>
      <c r="AC97" s="24">
        <f t="shared" si="57"/>
        <v>41.57074268403251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526.99999999999989</v>
      </c>
      <c r="O98" s="14">
        <f>N98*VLOOKUP('Données projet'!$B$9,Paramètres!$A$1:$I$89,3,0)*VLOOKUP('Données projet'!$B$9,Paramètres!$A$1:$I$89,5,0)</f>
        <v>315.14599999999996</v>
      </c>
      <c r="P98" s="14">
        <f t="shared" si="87"/>
        <v>74.342487867211162</v>
      </c>
      <c r="Q98" s="22">
        <f t="shared" si="54"/>
        <v>678.35911636872606</v>
      </c>
      <c r="R98" s="62">
        <f t="shared" si="55"/>
        <v>971.69244970205932</v>
      </c>
      <c r="S98" s="62">
        <f ca="1">AVERAGE(OFFSET($R$3,0,0,'Données projet'!$E$9+1,1))-AVERAGE(OFFSET($H$3,0,0,'Données projet'!$E$9+1,1))</f>
        <v>348.62416478262719</v>
      </c>
      <c r="T98" s="62">
        <f t="shared" si="88"/>
        <v>371.70674704563288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40.755362469969199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1.4663423199040362E-4</v>
      </c>
      <c r="AC98" s="24">
        <f t="shared" si="57"/>
        <v>40.755509104201188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526.99999999999989</v>
      </c>
      <c r="O99" s="14">
        <f>N99*VLOOKUP('Données projet'!$B$9,Paramètres!$A$1:$I$89,3,0)*VLOOKUP('Données projet'!$B$9,Paramètres!$A$1:$I$89,5,0)</f>
        <v>315.14599999999996</v>
      </c>
      <c r="P99" s="14">
        <f t="shared" si="87"/>
        <v>74.342487867211162</v>
      </c>
      <c r="Q99" s="22">
        <f t="shared" ref="Q99:Q130" si="107">(O99+P99)*0.475*44/12</f>
        <v>678.35911636872606</v>
      </c>
      <c r="R99" s="62">
        <f t="shared" si="55"/>
        <v>971.69244970205932</v>
      </c>
      <c r="S99" s="62">
        <f ca="1">AVERAGE(OFFSET($R$3,0,0,'Données projet'!$E$9+1,1))-AVERAGE(OFFSET($H$3,0,0,'Données projet'!$E$9+1,1))</f>
        <v>348.62416478262719</v>
      </c>
      <c r="T99" s="62">
        <f t="shared" si="88"/>
        <v>371.70674704563288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39.956174670249652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1.0368605979449578E-4</v>
      </c>
      <c r="AC99" s="24">
        <f t="shared" si="57"/>
        <v>39.956278356309447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526.99999999999989</v>
      </c>
      <c r="O100" s="14">
        <f>N100*VLOOKUP('Données projet'!$B$9,Paramètres!$A$1:$I$89,3,0)*VLOOKUP('Données projet'!$B$9,Paramètres!$A$1:$I$89,5,0)</f>
        <v>315.14599999999996</v>
      </c>
      <c r="P100" s="14">
        <f t="shared" si="87"/>
        <v>74.342487867211162</v>
      </c>
      <c r="Q100" s="22">
        <f t="shared" si="107"/>
        <v>678.35911636872606</v>
      </c>
      <c r="R100" s="62">
        <f t="shared" si="55"/>
        <v>971.69244970205932</v>
      </c>
      <c r="S100" s="62">
        <f ca="1">AVERAGE(OFFSET($R$3,0,0,'Données projet'!$E$9+1,1))-AVERAGE(OFFSET($H$3,0,0,'Données projet'!$E$9+1,1))</f>
        <v>348.62416478262719</v>
      </c>
      <c r="T100" s="62">
        <f t="shared" si="88"/>
        <v>371.70674704563288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39.172658455826181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7.3317115995201809E-5</v>
      </c>
      <c r="AC100" s="24">
        <f t="shared" si="57"/>
        <v>39.172731772942178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526.99999999999989</v>
      </c>
      <c r="O101" s="14">
        <f>N101*VLOOKUP('Données projet'!$B$9,Paramètres!$A$1:$I$89,3,0)*VLOOKUP('Données projet'!$B$9,Paramètres!$A$1:$I$89,5,0)</f>
        <v>315.14599999999996</v>
      </c>
      <c r="P101" s="14">
        <f t="shared" si="87"/>
        <v>74.342487867211162</v>
      </c>
      <c r="Q101" s="22">
        <f t="shared" si="107"/>
        <v>678.35911636872606</v>
      </c>
      <c r="R101" s="62">
        <f t="shared" si="55"/>
        <v>971.69244970205932</v>
      </c>
      <c r="S101" s="62">
        <f ca="1">AVERAGE(OFFSET($R$3,0,0,'Données projet'!$E$9+1,1))-AVERAGE(OFFSET($H$3,0,0,'Données projet'!$E$9+1,1))</f>
        <v>348.62416478262719</v>
      </c>
      <c r="T101" s="62">
        <f t="shared" si="88"/>
        <v>371.70674704563288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38.404506516469851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5.184302989724789E-5</v>
      </c>
      <c r="AC101" s="24">
        <f t="shared" si="57"/>
        <v>38.404558359499745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526.99999999999989</v>
      </c>
      <c r="O102" s="14">
        <f>N102*VLOOKUP('Données projet'!$B$9,Paramètres!$A$1:$I$89,3,0)*VLOOKUP('Données projet'!$B$9,Paramètres!$A$1:$I$89,5,0)</f>
        <v>315.14599999999996</v>
      </c>
      <c r="P102" s="14">
        <f t="shared" si="87"/>
        <v>74.342487867211162</v>
      </c>
      <c r="Q102" s="22">
        <f t="shared" si="107"/>
        <v>678.35911636872606</v>
      </c>
      <c r="R102" s="62">
        <f t="shared" si="55"/>
        <v>971.69244970205932</v>
      </c>
      <c r="S102" s="62">
        <f ca="1">AVERAGE(OFFSET($R$3,0,0,'Données projet'!$E$9+1,1))-AVERAGE(OFFSET($H$3,0,0,'Données projet'!$E$9+1,1))</f>
        <v>348.62416478262719</v>
      </c>
      <c r="T102" s="62">
        <f t="shared" si="88"/>
        <v>371.70674704563288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37.651417568117878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3.6658557997600905E-5</v>
      </c>
      <c r="AC102" s="24">
        <f t="shared" si="57"/>
        <v>37.651454226675874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526.99999999999989</v>
      </c>
      <c r="O103" s="14">
        <f>N103*VLOOKUP('Données projet'!$B$9,Paramètres!$A$1:$I$89,3,0)*VLOOKUP('Données projet'!$B$9,Paramètres!$A$1:$I$89,5,0)</f>
        <v>315.14599999999996</v>
      </c>
      <c r="P103" s="14">
        <f t="shared" si="87"/>
        <v>74.342487867211162</v>
      </c>
      <c r="Q103" s="22">
        <f t="shared" si="107"/>
        <v>678.35911636872606</v>
      </c>
      <c r="R103" s="62">
        <f t="shared" si="55"/>
        <v>971.69244970205932</v>
      </c>
      <c r="S103" s="62">
        <f ca="1">AVERAGE(OFFSET($R$3,0,0,'Données projet'!$E$9+1,1))-AVERAGE(OFFSET($H$3,0,0,'Données projet'!$E$9+1,1))</f>
        <v>348.62416478262719</v>
      </c>
      <c r="T103" s="62">
        <f t="shared" si="88"/>
        <v>371.70674704563288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36.913096234704192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2.5921514948623945E-5</v>
      </c>
      <c r="AC103" s="24">
        <f t="shared" si="57"/>
        <v>36.913122156219139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526.99999999999989</v>
      </c>
      <c r="O104" s="14">
        <f>N104*VLOOKUP('Données projet'!$B$9,Paramètres!$A$1:$I$89,3,0)*VLOOKUP('Données projet'!$B$9,Paramètres!$A$1:$I$89,5,0)</f>
        <v>315.14599999999996</v>
      </c>
      <c r="P104" s="14">
        <f t="shared" si="87"/>
        <v>74.342487867211162</v>
      </c>
      <c r="Q104" s="22">
        <f t="shared" si="107"/>
        <v>678.35911636872606</v>
      </c>
      <c r="R104" s="62">
        <f t="shared" si="55"/>
        <v>971.69244970205932</v>
      </c>
      <c r="S104" s="62">
        <f ca="1">AVERAGE(OFFSET($R$3,0,0,'Données projet'!$E$9+1,1))-AVERAGE(OFFSET($H$3,0,0,'Données projet'!$E$9+1,1))</f>
        <v>348.62416478262719</v>
      </c>
      <c r="T104" s="62">
        <f t="shared" si="88"/>
        <v>371.70674704563288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36.189252932307198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1.8329278998800452E-5</v>
      </c>
      <c r="AC104" s="24">
        <f t="shared" si="57"/>
        <v>36.1892712615862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526.99999999999989</v>
      </c>
      <c r="O105" s="14">
        <f>N105*VLOOKUP('Données projet'!$B$9,Paramètres!$A$1:$I$89,3,0)*VLOOKUP('Données projet'!$B$9,Paramètres!$A$1:$I$89,5,0)</f>
        <v>315.14599999999996</v>
      </c>
      <c r="P105" s="14">
        <f t="shared" si="87"/>
        <v>74.342487867211162</v>
      </c>
      <c r="Q105" s="22">
        <f t="shared" si="107"/>
        <v>678.35911636872606</v>
      </c>
      <c r="R105" s="62">
        <f t="shared" si="55"/>
        <v>971.69244970205932</v>
      </c>
      <c r="S105" s="62">
        <f ca="1">AVERAGE(OFFSET($R$3,0,0,'Données projet'!$E$9+1,1))-AVERAGE(OFFSET($H$3,0,0,'Données projet'!$E$9+1,1))</f>
        <v>348.62416478262719</v>
      </c>
      <c r="T105" s="62">
        <f t="shared" si="88"/>
        <v>371.70674704563288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35.479603755569386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1.2960757474311973E-5</v>
      </c>
      <c r="AC105" s="24">
        <f t="shared" si="57"/>
        <v>35.479616716326859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526.99999999999989</v>
      </c>
      <c r="O106" s="14">
        <f>N106*VLOOKUP('Données projet'!$B$9,Paramètres!$A$1:$I$89,3,0)*VLOOKUP('Données projet'!$B$9,Paramètres!$A$1:$I$89,5,0)</f>
        <v>315.14599999999996</v>
      </c>
      <c r="P106" s="14">
        <f t="shared" si="87"/>
        <v>74.342487867211162</v>
      </c>
      <c r="Q106" s="22">
        <f t="shared" si="107"/>
        <v>678.35911636872606</v>
      </c>
      <c r="R106" s="62">
        <f t="shared" si="55"/>
        <v>971.69244970205932</v>
      </c>
      <c r="S106" s="62">
        <f ca="1">AVERAGE(OFFSET($R$3,0,0,'Données projet'!$E$9+1,1))-AVERAGE(OFFSET($H$3,0,0,'Données projet'!$E$9+1,1))</f>
        <v>348.62416478262719</v>
      </c>
      <c r="T106" s="62">
        <f t="shared" si="88"/>
        <v>371.70674704563288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34.783870366344146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9.1646394994002262E-6</v>
      </c>
      <c r="AC106" s="24">
        <f t="shared" si="57"/>
        <v>34.783879530983647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526.99999999999989</v>
      </c>
      <c r="O107" s="14">
        <f>N107*VLOOKUP('Données projet'!$B$9,Paramètres!$A$1:$I$89,3,0)*VLOOKUP('Données projet'!$B$9,Paramètres!$A$1:$I$89,5,0)</f>
        <v>315.14599999999996</v>
      </c>
      <c r="P107" s="14">
        <f t="shared" si="87"/>
        <v>74.342487867211162</v>
      </c>
      <c r="Q107" s="22">
        <f t="shared" si="107"/>
        <v>678.35911636872606</v>
      </c>
      <c r="R107" s="62">
        <f t="shared" si="55"/>
        <v>971.69244970205932</v>
      </c>
      <c r="S107" s="62">
        <f ca="1">AVERAGE(OFFSET($R$3,0,0,'Données projet'!$E$9+1,1))-AVERAGE(OFFSET($H$3,0,0,'Données projet'!$E$9+1,1))</f>
        <v>348.62416478262719</v>
      </c>
      <c r="T107" s="62">
        <f t="shared" si="88"/>
        <v>371.70674704563288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34.101779884526145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6.4803787371559863E-6</v>
      </c>
      <c r="AC107" s="24">
        <f t="shared" si="57"/>
        <v>34.101786364904882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526.99999999999989</v>
      </c>
      <c r="O108" s="14">
        <f>N108*VLOOKUP('Données projet'!$B$9,Paramètres!$A$1:$I$89,3,0)*VLOOKUP('Données projet'!$B$9,Paramètres!$A$1:$I$89,5,0)</f>
        <v>315.14599999999996</v>
      </c>
      <c r="P108" s="14">
        <f t="shared" si="87"/>
        <v>74.342487867211162</v>
      </c>
      <c r="Q108" s="22">
        <f t="shared" si="107"/>
        <v>678.35911636872606</v>
      </c>
      <c r="R108" s="62">
        <f t="shared" si="55"/>
        <v>971.69244970205932</v>
      </c>
      <c r="S108" s="62">
        <f ca="1">AVERAGE(OFFSET($R$3,0,0,'Données projet'!$E$9+1,1))-AVERAGE(OFFSET($H$3,0,0,'Données projet'!$E$9+1,1))</f>
        <v>348.62416478262719</v>
      </c>
      <c r="T108" s="62">
        <f t="shared" si="88"/>
        <v>371.70674704563288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33.433064781022487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4.5823197497001131E-6</v>
      </c>
      <c r="AC108" s="24">
        <f t="shared" si="57"/>
        <v>33.433069363342234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526.99999999999989</v>
      </c>
      <c r="O109" s="14">
        <f>N109*VLOOKUP('Données projet'!$B$9,Paramètres!$A$1:$I$89,3,0)*VLOOKUP('Données projet'!$B$9,Paramètres!$A$1:$I$89,5,0)</f>
        <v>315.14599999999996</v>
      </c>
      <c r="P109" s="14">
        <f t="shared" si="87"/>
        <v>74.342487867211162</v>
      </c>
      <c r="Q109" s="22">
        <f t="shared" si="107"/>
        <v>678.35911636872606</v>
      </c>
      <c r="R109" s="62">
        <f t="shared" si="55"/>
        <v>971.69244970205932</v>
      </c>
      <c r="S109" s="62">
        <f ca="1">AVERAGE(OFFSET($R$3,0,0,'Données projet'!$E$9+1,1))-AVERAGE(OFFSET($H$3,0,0,'Données projet'!$E$9+1,1))</f>
        <v>348.62416478262719</v>
      </c>
      <c r="T109" s="62">
        <f t="shared" si="88"/>
        <v>371.70674704563288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32.777462772822595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3.2401893685779931E-6</v>
      </c>
      <c r="AC109" s="24">
        <f t="shared" si="57"/>
        <v>32.777466013011967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526.99999999999989</v>
      </c>
      <c r="O110" s="14">
        <f>N110*VLOOKUP('Données projet'!$B$9,Paramètres!$A$1:$I$89,3,0)*VLOOKUP('Données projet'!$B$9,Paramètres!$A$1:$I$89,5,0)</f>
        <v>315.14599999999996</v>
      </c>
      <c r="P110" s="14">
        <f t="shared" si="87"/>
        <v>74.342487867211162</v>
      </c>
      <c r="Q110" s="22">
        <f t="shared" si="107"/>
        <v>678.35911636872606</v>
      </c>
      <c r="R110" s="62">
        <f t="shared" si="55"/>
        <v>971.69244970205932</v>
      </c>
      <c r="S110" s="62">
        <f ca="1">AVERAGE(OFFSET($R$3,0,0,'Données projet'!$E$9+1,1))-AVERAGE(OFFSET($H$3,0,0,'Données projet'!$E$9+1,1))</f>
        <v>348.62416478262719</v>
      </c>
      <c r="T110" s="62">
        <f t="shared" si="88"/>
        <v>371.70674704563288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32.134716720125759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2.2911598748500565E-6</v>
      </c>
      <c r="AC110" s="24">
        <f t="shared" si="57"/>
        <v>32.134719011285632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526.99999999999989</v>
      </c>
      <c r="O111" s="14">
        <f>N111*VLOOKUP('Données projet'!$B$9,Paramètres!$A$1:$I$89,3,0)*VLOOKUP('Données projet'!$B$9,Paramètres!$A$1:$I$89,5,0)</f>
        <v>315.14599999999996</v>
      </c>
      <c r="P111" s="14">
        <f t="shared" si="87"/>
        <v>74.342487867211162</v>
      </c>
      <c r="Q111" s="22">
        <f t="shared" si="107"/>
        <v>678.35911636872606</v>
      </c>
      <c r="R111" s="62">
        <f t="shared" si="55"/>
        <v>971.69244970205932</v>
      </c>
      <c r="S111" s="62">
        <f ca="1">AVERAGE(OFFSET($R$3,0,0,'Données projet'!$E$9+1,1))-AVERAGE(OFFSET($H$3,0,0,'Données projet'!$E$9+1,1))</f>
        <v>348.62416478262719</v>
      </c>
      <c r="T111" s="62">
        <f t="shared" si="88"/>
        <v>371.70674704563288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31.504574525485928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1.6200946842889966E-6</v>
      </c>
      <c r="AC111" s="24">
        <f t="shared" si="57"/>
        <v>31.504576145580614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526.99999999999989</v>
      </c>
      <c r="O112" s="14">
        <f>N112*VLOOKUP('Données projet'!$B$9,Paramètres!$A$1:$I$89,3,0)*VLOOKUP('Données projet'!$B$9,Paramètres!$A$1:$I$89,5,0)</f>
        <v>315.14599999999996</v>
      </c>
      <c r="P112" s="14">
        <f t="shared" si="87"/>
        <v>74.342487867211162</v>
      </c>
      <c r="Q112" s="22">
        <f t="shared" si="107"/>
        <v>678.35911636872606</v>
      </c>
      <c r="R112" s="62">
        <f t="shared" si="55"/>
        <v>971.69244970205932</v>
      </c>
      <c r="S112" s="62">
        <f ca="1">AVERAGE(OFFSET($R$3,0,0,'Données projet'!$E$9+1,1))-AVERAGE(OFFSET($H$3,0,0,'Données projet'!$E$9+1,1))</f>
        <v>348.62416478262719</v>
      </c>
      <c r="T112" s="62">
        <f t="shared" si="88"/>
        <v>371.70674704563288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30.8867890349342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1.1455799374250283E-6</v>
      </c>
      <c r="AC112" s="24">
        <f t="shared" si="57"/>
        <v>30.886790180514136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526.99999999999989</v>
      </c>
      <c r="O113" s="14">
        <f>N113*VLOOKUP('Données projet'!$B$9,Paramètres!$A$1:$I$89,3,0)*VLOOKUP('Données projet'!$B$9,Paramètres!$A$1:$I$89,5,0)</f>
        <v>315.14599999999996</v>
      </c>
      <c r="P113" s="14">
        <f t="shared" si="87"/>
        <v>74.342487867211162</v>
      </c>
      <c r="Q113" s="22">
        <f t="shared" si="107"/>
        <v>678.35911636872606</v>
      </c>
      <c r="R113" s="62">
        <f t="shared" si="55"/>
        <v>971.69244970205932</v>
      </c>
      <c r="S113" s="62">
        <f ca="1">AVERAGE(OFFSET($R$3,0,0,'Données projet'!$E$9+1,1))-AVERAGE(OFFSET($H$3,0,0,'Données projet'!$E$9+1,1))</f>
        <v>348.62416478262719</v>
      </c>
      <c r="T113" s="62">
        <f t="shared" si="88"/>
        <v>371.70674704563288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30.281117941040247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8.1004734214449829E-7</v>
      </c>
      <c r="AC113" s="24">
        <f t="shared" si="57"/>
        <v>30.28111875108759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526.99999999999989</v>
      </c>
      <c r="O114" s="14">
        <f>N114*VLOOKUP('Données projet'!$B$9,Paramètres!$A$1:$I$89,3,0)*VLOOKUP('Données projet'!$B$9,Paramètres!$A$1:$I$89,5,0)</f>
        <v>315.14599999999996</v>
      </c>
      <c r="P114" s="14">
        <f t="shared" si="87"/>
        <v>74.342487867211162</v>
      </c>
      <c r="Q114" s="22">
        <f t="shared" si="107"/>
        <v>678.35911636872606</v>
      </c>
      <c r="R114" s="62">
        <f t="shared" si="55"/>
        <v>971.69244970205932</v>
      </c>
      <c r="S114" s="62">
        <f ca="1">AVERAGE(OFFSET($R$3,0,0,'Données projet'!$E$9+1,1))-AVERAGE(OFFSET($H$3,0,0,'Données projet'!$E$9+1,1))</f>
        <v>348.62416478262719</v>
      </c>
      <c r="T114" s="62">
        <f t="shared" si="88"/>
        <v>371.70674704563288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29.687323687874663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5.7278996871251414E-7</v>
      </c>
      <c r="AC114" s="24">
        <f t="shared" si="57"/>
        <v>29.687324260664631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526.99999999999989</v>
      </c>
      <c r="O115" s="14">
        <f>N115*VLOOKUP('Données projet'!$B$9,Paramètres!$A$1:$I$89,3,0)*VLOOKUP('Données projet'!$B$9,Paramètres!$A$1:$I$89,5,0)</f>
        <v>315.14599999999996</v>
      </c>
      <c r="P115" s="14">
        <f t="shared" si="87"/>
        <v>74.342487867211162</v>
      </c>
      <c r="Q115" s="22">
        <f t="shared" si="107"/>
        <v>678.35911636872606</v>
      </c>
      <c r="R115" s="62">
        <f t="shared" si="55"/>
        <v>971.69244970205932</v>
      </c>
      <c r="S115" s="62">
        <f ca="1">AVERAGE(OFFSET($R$3,0,0,'Données projet'!$E$9+1,1))-AVERAGE(OFFSET($H$3,0,0,'Données projet'!$E$9+1,1))</f>
        <v>348.62416478262719</v>
      </c>
      <c r="T115" s="62">
        <f t="shared" si="88"/>
        <v>371.70674704563288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29.105173377834927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4.0502367107224914E-7</v>
      </c>
      <c r="AC115" s="24">
        <f t="shared" si="57"/>
        <v>29.105173782858596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526.99999999999989</v>
      </c>
      <c r="O116" s="14">
        <f>N116*VLOOKUP('Données projet'!$B$9,Paramètres!$A$1:$I$89,3,0)*VLOOKUP('Données projet'!$B$9,Paramètres!$A$1:$I$89,5,0)</f>
        <v>315.14599999999996</v>
      </c>
      <c r="P116" s="14">
        <f t="shared" si="87"/>
        <v>74.342487867211162</v>
      </c>
      <c r="Q116" s="22">
        <f t="shared" si="107"/>
        <v>678.35911636872606</v>
      </c>
      <c r="R116" s="62">
        <f t="shared" si="55"/>
        <v>971.69244970205932</v>
      </c>
      <c r="S116" s="62">
        <f ca="1">AVERAGE(OFFSET($R$3,0,0,'Données projet'!$E$9+1,1))-AVERAGE(OFFSET($H$3,0,0,'Données projet'!$E$9+1,1))</f>
        <v>348.62416478262719</v>
      </c>
      <c r="T116" s="62">
        <f t="shared" si="88"/>
        <v>371.70674704563288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28.53443868029844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2.8639498435625707E-7</v>
      </c>
      <c r="AC116" s="24">
        <f t="shared" si="57"/>
        <v>28.534438966693425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526.99999999999989</v>
      </c>
      <c r="O117" s="14">
        <f>N117*VLOOKUP('Données projet'!$B$9,Paramètres!$A$1:$I$89,3,0)*VLOOKUP('Données projet'!$B$9,Paramètres!$A$1:$I$89,5,0)</f>
        <v>315.14599999999996</v>
      </c>
      <c r="P117" s="14">
        <f t="shared" si="87"/>
        <v>74.342487867211162</v>
      </c>
      <c r="Q117" s="22">
        <f t="shared" si="107"/>
        <v>678.35911636872606</v>
      </c>
      <c r="R117" s="62">
        <f t="shared" si="55"/>
        <v>971.69244970205932</v>
      </c>
      <c r="S117" s="62">
        <f ca="1">AVERAGE(OFFSET($R$3,0,0,'Données projet'!$E$9+1,1))-AVERAGE(OFFSET($H$3,0,0,'Données projet'!$E$9+1,1))</f>
        <v>348.62416478262719</v>
      </c>
      <c r="T117" s="62">
        <f t="shared" si="88"/>
        <v>371.70674704563288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27.974895742066852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2.0251183553612457E-7</v>
      </c>
      <c r="AC117" s="24">
        <f t="shared" si="57"/>
        <v>27.974895944578687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526.99999999999989</v>
      </c>
      <c r="O118" s="14">
        <f>N118*VLOOKUP('Données projet'!$B$9,Paramètres!$A$1:$I$89,3,0)*VLOOKUP('Données projet'!$B$9,Paramètres!$A$1:$I$89,5,0)</f>
        <v>315.14599999999996</v>
      </c>
      <c r="P118" s="14">
        <f t="shared" si="87"/>
        <v>74.342487867211162</v>
      </c>
      <c r="Q118" s="22">
        <f t="shared" si="107"/>
        <v>678.35911636872606</v>
      </c>
      <c r="R118" s="62">
        <f t="shared" si="55"/>
        <v>971.69244970205932</v>
      </c>
      <c r="S118" s="62">
        <f ca="1">AVERAGE(OFFSET($R$3,0,0,'Données projet'!$E$9+1,1))-AVERAGE(OFFSET($H$3,0,0,'Données projet'!$E$9+1,1))</f>
        <v>348.62416478262719</v>
      </c>
      <c r="T118" s="62">
        <f t="shared" si="88"/>
        <v>371.70674704563288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27.426325099566494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1.4319749217812853E-7</v>
      </c>
      <c r="AC118" s="24">
        <f t="shared" si="57"/>
        <v>27.426325242763987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526.99999999999989</v>
      </c>
      <c r="O119" s="14">
        <f>N119*VLOOKUP('Données projet'!$B$9,Paramètres!$A$1:$I$89,3,0)*VLOOKUP('Données projet'!$B$9,Paramètres!$A$1:$I$89,5,0)</f>
        <v>315.14599999999996</v>
      </c>
      <c r="P119" s="14">
        <f t="shared" si="87"/>
        <v>74.342487867211162</v>
      </c>
      <c r="Q119" s="22">
        <f t="shared" si="107"/>
        <v>678.35911636872606</v>
      </c>
      <c r="R119" s="62">
        <f t="shared" si="55"/>
        <v>971.69244970205932</v>
      </c>
      <c r="S119" s="62">
        <f ca="1">AVERAGE(OFFSET($R$3,0,0,'Données projet'!$E$9+1,1))-AVERAGE(OFFSET($H$3,0,0,'Données projet'!$E$9+1,1))</f>
        <v>348.62416478262719</v>
      </c>
      <c r="T119" s="62">
        <f t="shared" si="88"/>
        <v>371.70674704563288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26.888511592770513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1.0125591776806229E-7</v>
      </c>
      <c r="AC119" s="24">
        <f t="shared" si="57"/>
        <v>26.88851169402643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526.99999999999989</v>
      </c>
      <c r="O120" s="14">
        <f>N120*VLOOKUP('Données projet'!$B$9,Paramètres!$A$1:$I$89,3,0)*VLOOKUP('Données projet'!$B$9,Paramètres!$A$1:$I$89,5,0)</f>
        <v>315.14599999999996</v>
      </c>
      <c r="P120" s="14">
        <f t="shared" si="87"/>
        <v>74.342487867211162</v>
      </c>
      <c r="Q120" s="22">
        <f t="shared" si="107"/>
        <v>678.35911636872606</v>
      </c>
      <c r="R120" s="62">
        <f t="shared" si="55"/>
        <v>971.69244970205932</v>
      </c>
      <c r="S120" s="62">
        <f ca="1">AVERAGE(OFFSET($R$3,0,0,'Données projet'!$E$9+1,1))-AVERAGE(OFFSET($H$3,0,0,'Données projet'!$E$9+1,1))</f>
        <v>348.62416478262719</v>
      </c>
      <c r="T120" s="62">
        <f t="shared" si="88"/>
        <v>371.70674704563288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26.361244280808954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7.1598746089064267E-8</v>
      </c>
      <c r="AC120" s="24">
        <f t="shared" si="57"/>
        <v>26.361244352407699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526.99999999999989</v>
      </c>
      <c r="O121" s="14">
        <f>N121*VLOOKUP('Données projet'!$B$9,Paramètres!$A$1:$I$89,3,0)*VLOOKUP('Données projet'!$B$9,Paramètres!$A$1:$I$89,5,0)</f>
        <v>315.14599999999996</v>
      </c>
      <c r="P121" s="14">
        <f t="shared" si="87"/>
        <v>74.342487867211162</v>
      </c>
      <c r="Q121" s="22">
        <f t="shared" si="107"/>
        <v>678.35911636872606</v>
      </c>
      <c r="R121" s="62">
        <f t="shared" si="55"/>
        <v>971.69244970205932</v>
      </c>
      <c r="S121" s="62">
        <f ca="1">AVERAGE(OFFSET($R$3,0,0,'Données projet'!$E$9+1,1))-AVERAGE(OFFSET($H$3,0,0,'Données projet'!$E$9+1,1))</f>
        <v>348.62416478262719</v>
      </c>
      <c r="T121" s="62">
        <f t="shared" si="88"/>
        <v>371.70674704563288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25.844316359233655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5.0627958884031143E-8</v>
      </c>
      <c r="AC121" s="24">
        <f t="shared" si="57"/>
        <v>25.844316409861616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526.99999999999989</v>
      </c>
      <c r="O122" s="14">
        <f>N122*VLOOKUP('Données projet'!$B$9,Paramètres!$A$1:$I$89,3,0)*VLOOKUP('Données projet'!$B$9,Paramètres!$A$1:$I$89,5,0)</f>
        <v>315.14599999999996</v>
      </c>
      <c r="P122" s="14">
        <f t="shared" si="87"/>
        <v>74.342487867211162</v>
      </c>
      <c r="Q122" s="22">
        <f t="shared" si="107"/>
        <v>678.35911636872606</v>
      </c>
      <c r="R122" s="62">
        <f t="shared" si="55"/>
        <v>971.69244970205932</v>
      </c>
      <c r="S122" s="62">
        <f ca="1">AVERAGE(OFFSET($R$3,0,0,'Données projet'!$E$9+1,1))-AVERAGE(OFFSET($H$3,0,0,'Données projet'!$E$9+1,1))</f>
        <v>348.62416478262719</v>
      </c>
      <c r="T122" s="62">
        <f t="shared" si="88"/>
        <v>371.70674704563288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25.33752507890555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3.5799373044532133E-8</v>
      </c>
      <c r="AC122" s="24">
        <f t="shared" si="57"/>
        <v>25.337525114704924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526.99999999999989</v>
      </c>
      <c r="O123" s="14">
        <f>N123*VLOOKUP('Données projet'!$B$9,Paramètres!$A$1:$I$89,3,0)*VLOOKUP('Données projet'!$B$9,Paramètres!$A$1:$I$89,5,0)</f>
        <v>315.14599999999996</v>
      </c>
      <c r="P123" s="14">
        <f t="shared" si="87"/>
        <v>74.342487867211162</v>
      </c>
      <c r="Q123" s="22">
        <f t="shared" si="107"/>
        <v>678.35911636872606</v>
      </c>
      <c r="R123" s="62">
        <f t="shared" si="55"/>
        <v>971.69244970205932</v>
      </c>
      <c r="S123" s="62">
        <f ca="1">AVERAGE(OFFSET($R$3,0,0,'Données projet'!$E$9+1,1))-AVERAGE(OFFSET($H$3,0,0,'Données projet'!$E$9+1,1))</f>
        <v>348.62416478262719</v>
      </c>
      <c r="T123" s="62">
        <f t="shared" si="88"/>
        <v>371.70674704563288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24.84067166647252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2.5313979442015571E-8</v>
      </c>
      <c r="AC123" s="24">
        <f t="shared" si="57"/>
        <v>24.8406716917865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526.99999999999989</v>
      </c>
      <c r="O124" s="14">
        <f>N124*VLOOKUP('Données projet'!$B$9,Paramètres!$A$1:$I$89,3,0)*VLOOKUP('Données projet'!$B$9,Paramètres!$A$1:$I$89,5,0)</f>
        <v>315.14599999999996</v>
      </c>
      <c r="P124" s="14">
        <f t="shared" si="87"/>
        <v>74.342487867211162</v>
      </c>
      <c r="Q124" s="22">
        <f t="shared" si="107"/>
        <v>678.35911636872606</v>
      </c>
      <c r="R124" s="62">
        <f t="shared" si="55"/>
        <v>971.69244970205932</v>
      </c>
      <c r="S124" s="62">
        <f ca="1">AVERAGE(OFFSET($R$3,0,0,'Données projet'!$E$9+1,1))-AVERAGE(OFFSET($H$3,0,0,'Données projet'!$E$9+1,1))</f>
        <v>348.62416478262719</v>
      </c>
      <c r="T124" s="62">
        <f t="shared" si="88"/>
        <v>371.70674704563288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24.353561246406642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1.7899686522266067E-8</v>
      </c>
      <c r="AC124" s="24">
        <f t="shared" si="57"/>
        <v>24.353561264306329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526.99999999999989</v>
      </c>
      <c r="O125" s="14">
        <f>N125*VLOOKUP('Données projet'!$B$9,Paramètres!$A$1:$I$89,3,0)*VLOOKUP('Données projet'!$B$9,Paramètres!$A$1:$I$89,5,0)</f>
        <v>315.14599999999996</v>
      </c>
      <c r="P125" s="14">
        <f t="shared" si="87"/>
        <v>74.342487867211162</v>
      </c>
      <c r="Q125" s="22">
        <f t="shared" si="107"/>
        <v>678.35911636872606</v>
      </c>
      <c r="R125" s="62">
        <f t="shared" si="55"/>
        <v>971.69244970205932</v>
      </c>
      <c r="S125" s="62">
        <f ca="1">AVERAGE(OFFSET($R$3,0,0,'Données projet'!$E$9+1,1))-AVERAGE(OFFSET($H$3,0,0,'Données projet'!$E$9+1,1))</f>
        <v>348.62416478262719</v>
      </c>
      <c r="T125" s="62">
        <f t="shared" si="88"/>
        <v>371.70674704563288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23.876002764570238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1.2656989721007786E-8</v>
      </c>
      <c r="AC125" s="24">
        <f t="shared" si="57"/>
        <v>23.876002777227228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526.99999999999989</v>
      </c>
      <c r="O126" s="14">
        <f>N126*VLOOKUP('Données projet'!$B$9,Paramètres!$A$1:$I$89,3,0)*VLOOKUP('Données projet'!$B$9,Paramètres!$A$1:$I$89,5,0)</f>
        <v>315.14599999999996</v>
      </c>
      <c r="P126" s="14">
        <f t="shared" si="87"/>
        <v>74.342487867211162</v>
      </c>
      <c r="Q126" s="22">
        <f t="shared" si="107"/>
        <v>678.35911636872606</v>
      </c>
      <c r="R126" s="62">
        <f t="shared" si="55"/>
        <v>971.69244970205932</v>
      </c>
      <c r="S126" s="62">
        <f ca="1">AVERAGE(OFFSET($R$3,0,0,'Données projet'!$E$9+1,1))-AVERAGE(OFFSET($H$3,0,0,'Données projet'!$E$9+1,1))</f>
        <v>348.62416478262719</v>
      </c>
      <c r="T126" s="62">
        <f t="shared" si="88"/>
        <v>371.70674704563288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23.407808913280732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8.9498432611330334E-9</v>
      </c>
      <c r="AC126" s="24">
        <f t="shared" si="57"/>
        <v>23.407808922230576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526.99999999999989</v>
      </c>
      <c r="O127" s="14">
        <f>N127*VLOOKUP('Données projet'!$B$9,Paramètres!$A$1:$I$89,3,0)*VLOOKUP('Données projet'!$B$9,Paramètres!$A$1:$I$89,5,0)</f>
        <v>315.14599999999996</v>
      </c>
      <c r="P127" s="14">
        <f t="shared" si="87"/>
        <v>74.342487867211162</v>
      </c>
      <c r="Q127" s="22">
        <f t="shared" si="107"/>
        <v>678.35911636872606</v>
      </c>
      <c r="R127" s="62">
        <f t="shared" si="55"/>
        <v>971.69244970205932</v>
      </c>
      <c r="S127" s="62">
        <f ca="1">AVERAGE(OFFSET($R$3,0,0,'Données projet'!$E$9+1,1))-AVERAGE(OFFSET($H$3,0,0,'Données projet'!$E$9+1,1))</f>
        <v>348.62416478262719</v>
      </c>
      <c r="T127" s="62">
        <f t="shared" si="88"/>
        <v>371.70674704563288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22.948796057844962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6.3284948605038929E-9</v>
      </c>
      <c r="AC127" s="24">
        <f t="shared" si="57"/>
        <v>22.948796064173457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526.99999999999989</v>
      </c>
      <c r="O128" s="14">
        <f>N128*VLOOKUP('Données projet'!$B$9,Paramètres!$A$1:$I$89,3,0)*VLOOKUP('Données projet'!$B$9,Paramètres!$A$1:$I$89,5,0)</f>
        <v>315.14599999999996</v>
      </c>
      <c r="P128" s="14">
        <f t="shared" si="87"/>
        <v>74.342487867211162</v>
      </c>
      <c r="Q128" s="22">
        <f t="shared" si="107"/>
        <v>678.35911636872606</v>
      </c>
      <c r="R128" s="62">
        <f t="shared" si="55"/>
        <v>971.69244970205932</v>
      </c>
      <c r="S128" s="62">
        <f ca="1">AVERAGE(OFFSET($R$3,0,0,'Données projet'!$E$9+1,1))-AVERAGE(OFFSET($H$3,0,0,'Données projet'!$E$9+1,1))</f>
        <v>348.62416478262719</v>
      </c>
      <c r="T128" s="62">
        <f t="shared" si="88"/>
        <v>371.70674704563288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22.49878416453409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4.4749216305665167E-9</v>
      </c>
      <c r="AC128" s="24">
        <f t="shared" si="57"/>
        <v>22.49878416900901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526.99999999999989</v>
      </c>
      <c r="O129" s="14">
        <f>N129*VLOOKUP('Données projet'!$B$9,Paramètres!$A$1:$I$89,3,0)*VLOOKUP('Données projet'!$B$9,Paramètres!$A$1:$I$89,5,0)</f>
        <v>315.14599999999996</v>
      </c>
      <c r="P129" s="14">
        <f t="shared" si="87"/>
        <v>74.342487867211162</v>
      </c>
      <c r="Q129" s="22">
        <f t="shared" si="107"/>
        <v>678.35911636872606</v>
      </c>
      <c r="R129" s="62">
        <f t="shared" si="55"/>
        <v>971.69244970205932</v>
      </c>
      <c r="S129" s="62">
        <f ca="1">AVERAGE(OFFSET($R$3,0,0,'Données projet'!$E$9+1,1))-AVERAGE(OFFSET($H$3,0,0,'Données projet'!$E$9+1,1))</f>
        <v>348.62416478262719</v>
      </c>
      <c r="T129" s="62">
        <f t="shared" si="88"/>
        <v>371.70674704563288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22.057596729970893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3.1642474302519464E-9</v>
      </c>
      <c r="AC129" s="24">
        <f t="shared" si="57"/>
        <v>22.057596733135139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526.99999999999989</v>
      </c>
      <c r="O130" s="14">
        <f>N130*VLOOKUP('Données projet'!$B$9,Paramètres!$A$1:$I$89,3,0)*VLOOKUP('Données projet'!$B$9,Paramètres!$A$1:$I$89,5,0)</f>
        <v>315.14599999999996</v>
      </c>
      <c r="P130" s="14">
        <f t="shared" si="87"/>
        <v>74.342487867211162</v>
      </c>
      <c r="Q130" s="22">
        <f t="shared" si="107"/>
        <v>678.35911636872606</v>
      </c>
      <c r="R130" s="62">
        <f t="shared" si="55"/>
        <v>971.69244970205932</v>
      </c>
      <c r="S130" s="62">
        <f ca="1">AVERAGE(OFFSET($R$3,0,0,'Données projet'!$E$9+1,1))-AVERAGE(OFFSET($H$3,0,0,'Données projet'!$E$9+1,1))</f>
        <v>348.62416478262719</v>
      </c>
      <c r="T130" s="62">
        <f t="shared" si="88"/>
        <v>371.70674704563288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21.625060711901718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2.2374608152832583E-9</v>
      </c>
      <c r="AC130" s="24">
        <f t="shared" si="57"/>
        <v>21.625060714139178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526.99999999999989</v>
      </c>
      <c r="O131" s="14">
        <f>N131*VLOOKUP('Données projet'!$B$9,Paramètres!$A$1:$I$89,3,0)*VLOOKUP('Données projet'!$B$9,Paramètres!$A$1:$I$89,5,0)</f>
        <v>315.14599999999996</v>
      </c>
      <c r="P131" s="14">
        <f t="shared" si="87"/>
        <v>74.342487867211162</v>
      </c>
      <c r="Q131" s="22">
        <f t="shared" ref="Q131:Q153" si="108">(O131+P131)*0.475*44/12</f>
        <v>678.35911636872606</v>
      </c>
      <c r="R131" s="62">
        <f t="shared" ref="R131:R194" si="109">Q131+(I131+J131)*44/12</f>
        <v>971.69244970205932</v>
      </c>
      <c r="S131" s="62">
        <f ca="1">AVERAGE(OFFSET($R$3,0,0,'Données projet'!$E$9+1,1))-AVERAGE(OFFSET($H$3,0,0,'Données projet'!$E$9+1,1))</f>
        <v>348.62416478262719</v>
      </c>
      <c r="T131" s="62">
        <f t="shared" si="88"/>
        <v>371.70674704563288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21.201006461325957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1.5821237151259732E-9</v>
      </c>
      <c r="AC131" s="24">
        <f t="shared" si="57"/>
        <v>21.201006462908079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526.99999999999989</v>
      </c>
      <c r="O132" s="14">
        <f>N132*VLOOKUP('Données projet'!$B$9,Paramètres!$A$1:$I$89,3,0)*VLOOKUP('Données projet'!$B$9,Paramètres!$A$1:$I$89,5,0)</f>
        <v>315.14599999999996</v>
      </c>
      <c r="P132" s="14">
        <f t="shared" si="87"/>
        <v>74.342487867211162</v>
      </c>
      <c r="Q132" s="22">
        <f t="shared" si="108"/>
        <v>678.35911636872606</v>
      </c>
      <c r="R132" s="62">
        <f t="shared" si="109"/>
        <v>971.69244970205932</v>
      </c>
      <c r="S132" s="62">
        <f ca="1">AVERAGE(OFFSET($R$3,0,0,'Données projet'!$E$9+1,1))-AVERAGE(OFFSET($H$3,0,0,'Données projet'!$E$9+1,1))</f>
        <v>348.62416478262719</v>
      </c>
      <c r="T132" s="62">
        <f t="shared" si="88"/>
        <v>371.70674704563288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20.785267655956432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1.1187304076416292E-9</v>
      </c>
      <c r="AC132" s="24">
        <f t="shared" ref="AC132:AC153" si="111">SUM(Z132:AB132)</f>
        <v>20.785267657075163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526.99999999999989</v>
      </c>
      <c r="O133" s="14">
        <f>N133*VLOOKUP('Données projet'!$B$9,Paramètres!$A$1:$I$89,3,0)*VLOOKUP('Données projet'!$B$9,Paramètres!$A$1:$I$89,5,0)</f>
        <v>315.14599999999996</v>
      </c>
      <c r="P133" s="14">
        <f t="shared" ref="P133:P196" si="141">EXP(-1.0587+0.8836*LN(O133)+0.284)</f>
        <v>74.342487867211162</v>
      </c>
      <c r="Q133" s="22">
        <f t="shared" si="108"/>
        <v>678.35911636872606</v>
      </c>
      <c r="R133" s="62">
        <f t="shared" si="109"/>
        <v>971.69244970205932</v>
      </c>
      <c r="S133" s="62">
        <f ca="1">AVERAGE(OFFSET($R$3,0,0,'Données projet'!$E$9+1,1))-AVERAGE(OFFSET($H$3,0,0,'Données projet'!$E$9+1,1))</f>
        <v>348.62416478262719</v>
      </c>
      <c r="T133" s="62">
        <f t="shared" ref="T133:T196" si="142">$T$3</f>
        <v>371.70674704563288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20.377681234984571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7.9106185756298661E-10</v>
      </c>
      <c r="AC133" s="24">
        <f t="shared" si="111"/>
        <v>20.377681235775633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526.99999999999989</v>
      </c>
      <c r="O134" s="14">
        <f>N134*VLOOKUP('Données projet'!$B$9,Paramètres!$A$1:$I$89,3,0)*VLOOKUP('Données projet'!$B$9,Paramètres!$A$1:$I$89,5,0)</f>
        <v>315.14599999999996</v>
      </c>
      <c r="P134" s="14">
        <f t="shared" si="141"/>
        <v>74.342487867211162</v>
      </c>
      <c r="Q134" s="22">
        <f t="shared" si="108"/>
        <v>678.35911636872606</v>
      </c>
      <c r="R134" s="62">
        <f t="shared" si="109"/>
        <v>971.69244970205932</v>
      </c>
      <c r="S134" s="62">
        <f ca="1">AVERAGE(OFFSET($R$3,0,0,'Données projet'!$E$9+1,1))-AVERAGE(OFFSET($H$3,0,0,'Données projet'!$E$9+1,1))</f>
        <v>348.62416478262719</v>
      </c>
      <c r="T134" s="62">
        <f t="shared" si="142"/>
        <v>371.70674704563288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19.978087335124801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5.5936520382081458E-10</v>
      </c>
      <c r="AC134" s="24">
        <f t="shared" si="111"/>
        <v>19.978087335684165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526.99999999999989</v>
      </c>
      <c r="O135" s="14">
        <f>N135*VLOOKUP('Données projet'!$B$9,Paramètres!$A$1:$I$89,3,0)*VLOOKUP('Données projet'!$B$9,Paramètres!$A$1:$I$89,5,0)</f>
        <v>315.14599999999996</v>
      </c>
      <c r="P135" s="14">
        <f t="shared" si="141"/>
        <v>74.342487867211162</v>
      </c>
      <c r="Q135" s="22">
        <f t="shared" si="108"/>
        <v>678.35911636872606</v>
      </c>
      <c r="R135" s="62">
        <f t="shared" si="109"/>
        <v>971.69244970205932</v>
      </c>
      <c r="S135" s="62">
        <f ca="1">AVERAGE(OFFSET($R$3,0,0,'Données projet'!$E$9+1,1))-AVERAGE(OFFSET($H$3,0,0,'Données projet'!$E$9+1,1))</f>
        <v>348.62416478262719</v>
      </c>
      <c r="T135" s="62">
        <f t="shared" si="142"/>
        <v>371.70674704563288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19.586329227913065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3.955309287814933E-10</v>
      </c>
      <c r="AC135" s="24">
        <f t="shared" si="111"/>
        <v>19.586329228308596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526.99999999999989</v>
      </c>
      <c r="O136" s="14">
        <f>N136*VLOOKUP('Données projet'!$B$9,Paramètres!$A$1:$I$89,3,0)*VLOOKUP('Données projet'!$B$9,Paramètres!$A$1:$I$89,5,0)</f>
        <v>315.14599999999996</v>
      </c>
      <c r="P136" s="14">
        <f t="shared" si="141"/>
        <v>74.342487867211162</v>
      </c>
      <c r="Q136" s="22">
        <f t="shared" si="108"/>
        <v>678.35911636872606</v>
      </c>
      <c r="R136" s="62">
        <f t="shared" si="109"/>
        <v>971.69244970205932</v>
      </c>
      <c r="S136" s="62">
        <f ca="1">AVERAGE(OFFSET($R$3,0,0,'Données projet'!$E$9+1,1))-AVERAGE(OFFSET($H$3,0,0,'Données projet'!$E$9+1,1))</f>
        <v>348.62416478262719</v>
      </c>
      <c r="T136" s="62">
        <f t="shared" si="142"/>
        <v>371.70674704563288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19.202253258234901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2.7968260191040729E-10</v>
      </c>
      <c r="AC136" s="24">
        <f t="shared" si="111"/>
        <v>19.202253258514585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526.99999999999989</v>
      </c>
      <c r="O137" s="14">
        <f>N137*VLOOKUP('Données projet'!$B$9,Paramètres!$A$1:$I$89,3,0)*VLOOKUP('Données projet'!$B$9,Paramètres!$A$1:$I$89,5,0)</f>
        <v>315.14599999999996</v>
      </c>
      <c r="P137" s="14">
        <f t="shared" si="141"/>
        <v>74.342487867211162</v>
      </c>
      <c r="Q137" s="22">
        <f t="shared" si="108"/>
        <v>678.35911636872606</v>
      </c>
      <c r="R137" s="62">
        <f t="shared" si="109"/>
        <v>971.69244970205932</v>
      </c>
      <c r="S137" s="62">
        <f ca="1">AVERAGE(OFFSET($R$3,0,0,'Données projet'!$E$9+1,1))-AVERAGE(OFFSET($H$3,0,0,'Données projet'!$E$9+1,1))</f>
        <v>348.62416478262719</v>
      </c>
      <c r="T137" s="62">
        <f t="shared" si="142"/>
        <v>371.70674704563288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18.825708784058918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1.9776546439074665E-10</v>
      </c>
      <c r="AC137" s="24">
        <f t="shared" si="111"/>
        <v>18.825708784256683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526.99999999999989</v>
      </c>
      <c r="O138" s="14">
        <f>N138*VLOOKUP('Données projet'!$B$9,Paramètres!$A$1:$I$89,3,0)*VLOOKUP('Données projet'!$B$9,Paramètres!$A$1:$I$89,5,0)</f>
        <v>315.14599999999996</v>
      </c>
      <c r="P138" s="14">
        <f t="shared" si="141"/>
        <v>74.342487867211162</v>
      </c>
      <c r="Q138" s="22">
        <f t="shared" si="108"/>
        <v>678.35911636872606</v>
      </c>
      <c r="R138" s="62">
        <f t="shared" si="109"/>
        <v>971.69244970205932</v>
      </c>
      <c r="S138" s="62">
        <f ca="1">AVERAGE(OFFSET($R$3,0,0,'Données projet'!$E$9+1,1))-AVERAGE(OFFSET($H$3,0,0,'Données projet'!$E$9+1,1))</f>
        <v>348.62416478262719</v>
      </c>
      <c r="T138" s="62">
        <f t="shared" si="142"/>
        <v>371.70674704563288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18.456548117352074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1.3984130095520365E-10</v>
      </c>
      <c r="AC138" s="24">
        <f t="shared" si="111"/>
        <v>18.456548117491916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526.99999999999989</v>
      </c>
      <c r="O139" s="14">
        <f>N139*VLOOKUP('Données projet'!$B$9,Paramètres!$A$1:$I$89,3,0)*VLOOKUP('Données projet'!$B$9,Paramètres!$A$1:$I$89,5,0)</f>
        <v>315.14599999999996</v>
      </c>
      <c r="P139" s="14">
        <f t="shared" si="141"/>
        <v>74.342487867211162</v>
      </c>
      <c r="Q139" s="22">
        <f t="shared" si="108"/>
        <v>678.35911636872606</v>
      </c>
      <c r="R139" s="62">
        <f t="shared" si="109"/>
        <v>971.69244970205932</v>
      </c>
      <c r="S139" s="62">
        <f ca="1">AVERAGE(OFFSET($R$3,0,0,'Données projet'!$E$9+1,1))-AVERAGE(OFFSET($H$3,0,0,'Données projet'!$E$9+1,1))</f>
        <v>348.62416478262719</v>
      </c>
      <c r="T139" s="62">
        <f t="shared" si="142"/>
        <v>371.70674704563288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18.094626466153578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9.8882732195373326E-11</v>
      </c>
      <c r="AC139" s="24">
        <f t="shared" si="111"/>
        <v>18.094626466252461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526.99999999999989</v>
      </c>
      <c r="O140" s="14">
        <f>N140*VLOOKUP('Données projet'!$B$9,Paramètres!$A$1:$I$89,3,0)*VLOOKUP('Données projet'!$B$9,Paramètres!$A$1:$I$89,5,0)</f>
        <v>315.14599999999996</v>
      </c>
      <c r="P140" s="14">
        <f t="shared" si="141"/>
        <v>74.342487867211162</v>
      </c>
      <c r="Q140" s="22">
        <f t="shared" si="108"/>
        <v>678.35911636872606</v>
      </c>
      <c r="R140" s="62">
        <f t="shared" si="109"/>
        <v>971.69244970205932</v>
      </c>
      <c r="S140" s="62">
        <f ca="1">AVERAGE(OFFSET($R$3,0,0,'Données projet'!$E$9+1,1))-AVERAGE(OFFSET($H$3,0,0,'Données projet'!$E$9+1,1))</f>
        <v>348.62416478262719</v>
      </c>
      <c r="T140" s="62">
        <f t="shared" si="142"/>
        <v>371.70674704563288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17.739801877784675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6.9920650477601823E-11</v>
      </c>
      <c r="AC140" s="24">
        <f t="shared" si="111"/>
        <v>17.739801877854596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526.99999999999989</v>
      </c>
      <c r="O141" s="14">
        <f>N141*VLOOKUP('Données projet'!$B$9,Paramètres!$A$1:$I$89,3,0)*VLOOKUP('Données projet'!$B$9,Paramètres!$A$1:$I$89,5,0)</f>
        <v>315.14599999999996</v>
      </c>
      <c r="P141" s="14">
        <f t="shared" si="141"/>
        <v>74.342487867211162</v>
      </c>
      <c r="Q141" s="22">
        <f t="shared" si="108"/>
        <v>678.35911636872606</v>
      </c>
      <c r="R141" s="62">
        <f t="shared" si="109"/>
        <v>971.69244970205932</v>
      </c>
      <c r="S141" s="62">
        <f ca="1">AVERAGE(OFFSET($R$3,0,0,'Données projet'!$E$9+1,1))-AVERAGE(OFFSET($H$3,0,0,'Données projet'!$E$9+1,1))</f>
        <v>348.62416478262719</v>
      </c>
      <c r="T141" s="62">
        <f t="shared" si="142"/>
        <v>371.70674704563288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17.391935183172055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4.9441366097686663E-11</v>
      </c>
      <c r="AC141" s="24">
        <f t="shared" si="111"/>
        <v>17.391935183221499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526.99999999999989</v>
      </c>
      <c r="O142" s="14">
        <f>N142*VLOOKUP('Données projet'!$B$9,Paramètres!$A$1:$I$89,3,0)*VLOOKUP('Données projet'!$B$9,Paramètres!$A$1:$I$89,5,0)</f>
        <v>315.14599999999996</v>
      </c>
      <c r="P142" s="14">
        <f t="shared" si="141"/>
        <v>74.342487867211162</v>
      </c>
      <c r="Q142" s="22">
        <f t="shared" si="108"/>
        <v>678.35911636872606</v>
      </c>
      <c r="R142" s="62">
        <f t="shared" si="109"/>
        <v>971.69244970205932</v>
      </c>
      <c r="S142" s="62">
        <f ca="1">AVERAGE(OFFSET($R$3,0,0,'Données projet'!$E$9+1,1))-AVERAGE(OFFSET($H$3,0,0,'Données projet'!$E$9+1,1))</f>
        <v>348.62416478262719</v>
      </c>
      <c r="T142" s="62">
        <f t="shared" si="142"/>
        <v>371.70674704563288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17.050889942263058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3.4960325238800912E-11</v>
      </c>
      <c r="AC142" s="24">
        <f t="shared" si="111"/>
        <v>17.050889942298017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526.99999999999989</v>
      </c>
      <c r="O143" s="14">
        <f>N143*VLOOKUP('Données projet'!$B$9,Paramètres!$A$1:$I$89,3,0)*VLOOKUP('Données projet'!$B$9,Paramètres!$A$1:$I$89,5,0)</f>
        <v>315.14599999999996</v>
      </c>
      <c r="P143" s="14">
        <f t="shared" si="141"/>
        <v>74.342487867211162</v>
      </c>
      <c r="Q143" s="22">
        <f t="shared" si="108"/>
        <v>678.35911636872606</v>
      </c>
      <c r="R143" s="62">
        <f t="shared" si="109"/>
        <v>971.69244970205932</v>
      </c>
      <c r="S143" s="62">
        <f ca="1">AVERAGE(OFFSET($R$3,0,0,'Données projet'!$E$9+1,1))-AVERAGE(OFFSET($H$3,0,0,'Données projet'!$E$9+1,1))</f>
        <v>348.62416478262719</v>
      </c>
      <c r="T143" s="62">
        <f t="shared" si="142"/>
        <v>371.70674704563288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16.71653239051123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2.4720683048843331E-11</v>
      </c>
      <c r="AC143" s="24">
        <f t="shared" si="111"/>
        <v>16.716532390535949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526.99999999999989</v>
      </c>
      <c r="O144" s="14">
        <f>N144*VLOOKUP('Données projet'!$B$9,Paramètres!$A$1:$I$89,3,0)*VLOOKUP('Données projet'!$B$9,Paramètres!$A$1:$I$89,5,0)</f>
        <v>315.14599999999996</v>
      </c>
      <c r="P144" s="14">
        <f t="shared" si="141"/>
        <v>74.342487867211162</v>
      </c>
      <c r="Q144" s="22">
        <f t="shared" si="108"/>
        <v>678.35911636872606</v>
      </c>
      <c r="R144" s="62">
        <f t="shared" si="109"/>
        <v>971.69244970205932</v>
      </c>
      <c r="S144" s="62">
        <f ca="1">AVERAGE(OFFSET($R$3,0,0,'Données projet'!$E$9+1,1))-AVERAGE(OFFSET($H$3,0,0,'Données projet'!$E$9+1,1))</f>
        <v>348.62416478262719</v>
      </c>
      <c r="T144" s="62">
        <f t="shared" si="142"/>
        <v>371.70674704563288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16.388731386411283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1.7480162619400456E-11</v>
      </c>
      <c r="AC144" s="24">
        <f t="shared" si="111"/>
        <v>16.388731386428763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526.99999999999989</v>
      </c>
      <c r="O145" s="14">
        <f>N145*VLOOKUP('Données projet'!$B$9,Paramètres!$A$1:$I$89,3,0)*VLOOKUP('Données projet'!$B$9,Paramètres!$A$1:$I$89,5,0)</f>
        <v>315.14599999999996</v>
      </c>
      <c r="P145" s="14">
        <f t="shared" si="141"/>
        <v>74.342487867211162</v>
      </c>
      <c r="Q145" s="22">
        <f t="shared" si="108"/>
        <v>678.35911636872606</v>
      </c>
      <c r="R145" s="62">
        <f t="shared" si="109"/>
        <v>971.69244970205932</v>
      </c>
      <c r="S145" s="62">
        <f ca="1">AVERAGE(OFFSET($R$3,0,0,'Données projet'!$E$9+1,1))-AVERAGE(OFFSET($H$3,0,0,'Données projet'!$E$9+1,1))</f>
        <v>348.62416478262719</v>
      </c>
      <c r="T145" s="62">
        <f t="shared" si="142"/>
        <v>371.70674704563288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16.067358360062865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1.2360341524421666E-11</v>
      </c>
      <c r="AC145" s="24">
        <f t="shared" si="111"/>
        <v>16.067358360075225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526.99999999999989</v>
      </c>
      <c r="O146" s="14">
        <f>N146*VLOOKUP('Données projet'!$B$9,Paramètres!$A$1:$I$89,3,0)*VLOOKUP('Données projet'!$B$9,Paramètres!$A$1:$I$89,5,0)</f>
        <v>315.14599999999996</v>
      </c>
      <c r="P146" s="14">
        <f t="shared" si="141"/>
        <v>74.342487867211162</v>
      </c>
      <c r="Q146" s="22">
        <f t="shared" si="108"/>
        <v>678.35911636872606</v>
      </c>
      <c r="R146" s="62">
        <f t="shared" si="109"/>
        <v>971.69244970205932</v>
      </c>
      <c r="S146" s="62">
        <f ca="1">AVERAGE(OFFSET($R$3,0,0,'Données projet'!$E$9+1,1))-AVERAGE(OFFSET($H$3,0,0,'Données projet'!$E$9+1,1))</f>
        <v>348.62416478262719</v>
      </c>
      <c r="T146" s="62">
        <f t="shared" si="142"/>
        <v>371.70674704563288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15.75228726274295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8.7400813097002279E-12</v>
      </c>
      <c r="AC146" s="24">
        <f t="shared" si="111"/>
        <v>15.75228726275169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526.99999999999989</v>
      </c>
      <c r="O147" s="14">
        <f>N147*VLOOKUP('Données projet'!$B$9,Paramètres!$A$1:$I$89,3,0)*VLOOKUP('Données projet'!$B$9,Paramètres!$A$1:$I$89,5,0)</f>
        <v>315.14599999999996</v>
      </c>
      <c r="P147" s="14">
        <f t="shared" si="141"/>
        <v>74.342487867211162</v>
      </c>
      <c r="Q147" s="22">
        <f t="shared" si="108"/>
        <v>678.35911636872606</v>
      </c>
      <c r="R147" s="62">
        <f t="shared" si="109"/>
        <v>971.69244970205932</v>
      </c>
      <c r="S147" s="62">
        <f ca="1">AVERAGE(OFFSET($R$3,0,0,'Données projet'!$E$9+1,1))-AVERAGE(OFFSET($H$3,0,0,'Données projet'!$E$9+1,1))</f>
        <v>348.62416478262719</v>
      </c>
      <c r="T147" s="62">
        <f t="shared" si="142"/>
        <v>371.70674704563288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15.443394517467086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6.1801707622108329E-12</v>
      </c>
      <c r="AC147" s="24">
        <f t="shared" si="111"/>
        <v>15.443394517473266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526.99999999999989</v>
      </c>
      <c r="O148" s="14">
        <f>N148*VLOOKUP('Données projet'!$B$9,Paramètres!$A$1:$I$89,3,0)*VLOOKUP('Données projet'!$B$9,Paramètres!$A$1:$I$89,5,0)</f>
        <v>315.14599999999996</v>
      </c>
      <c r="P148" s="14">
        <f t="shared" si="141"/>
        <v>74.342487867211162</v>
      </c>
      <c r="Q148" s="22">
        <f t="shared" si="108"/>
        <v>678.35911636872606</v>
      </c>
      <c r="R148" s="62">
        <f t="shared" si="109"/>
        <v>971.69244970205932</v>
      </c>
      <c r="S148" s="62">
        <f ca="1">AVERAGE(OFFSET($R$3,0,0,'Données projet'!$E$9+1,1))-AVERAGE(OFFSET($H$3,0,0,'Données projet'!$E$9+1,1))</f>
        <v>348.62416478262719</v>
      </c>
      <c r="T148" s="62">
        <f t="shared" si="142"/>
        <v>371.70674704563288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15.140558970520109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4.3700406548501139E-12</v>
      </c>
      <c r="AC148" s="24">
        <f t="shared" si="111"/>
        <v>15.140558970524479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526.99999999999989</v>
      </c>
      <c r="O149" s="14">
        <f>N149*VLOOKUP('Données projet'!$B$9,Paramètres!$A$1:$I$89,3,0)*VLOOKUP('Données projet'!$B$9,Paramètres!$A$1:$I$89,5,0)</f>
        <v>315.14599999999996</v>
      </c>
      <c r="P149" s="14">
        <f t="shared" si="141"/>
        <v>74.342487867211162</v>
      </c>
      <c r="Q149" s="22">
        <f t="shared" si="108"/>
        <v>678.35911636872606</v>
      </c>
      <c r="R149" s="62">
        <f t="shared" si="109"/>
        <v>971.69244970205932</v>
      </c>
      <c r="S149" s="62">
        <f ca="1">AVERAGE(OFFSET($R$3,0,0,'Données projet'!$E$9+1,1))-AVERAGE(OFFSET($H$3,0,0,'Données projet'!$E$9+1,1))</f>
        <v>348.62416478262719</v>
      </c>
      <c r="T149" s="62">
        <f t="shared" si="142"/>
        <v>371.70674704563288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14.843661843937317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3.0900853811054164E-12</v>
      </c>
      <c r="AC149" s="24">
        <f t="shared" si="111"/>
        <v>14.843661843940408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526.99999999999989</v>
      </c>
      <c r="O150" s="14">
        <f>N150*VLOOKUP('Données projet'!$B$9,Paramètres!$A$1:$I$89,3,0)*VLOOKUP('Données projet'!$B$9,Paramètres!$A$1:$I$89,5,0)</f>
        <v>315.14599999999996</v>
      </c>
      <c r="P150" s="14">
        <f t="shared" si="141"/>
        <v>74.342487867211162</v>
      </c>
      <c r="Q150" s="22">
        <f t="shared" si="108"/>
        <v>678.35911636872606</v>
      </c>
      <c r="R150" s="62">
        <f t="shared" si="109"/>
        <v>971.69244970205932</v>
      </c>
      <c r="S150" s="62">
        <f ca="1">AVERAGE(OFFSET($R$3,0,0,'Données projet'!$E$9+1,1))-AVERAGE(OFFSET($H$3,0,0,'Données projet'!$E$9+1,1))</f>
        <v>348.62416478262719</v>
      </c>
      <c r="T150" s="62">
        <f t="shared" si="142"/>
        <v>371.70674704563288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14.552586688917449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2.185020327425057E-12</v>
      </c>
      <c r="AC150" s="24">
        <f t="shared" si="111"/>
        <v>14.552586688919634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526.99999999999989</v>
      </c>
      <c r="O151" s="14">
        <f>N151*VLOOKUP('Données projet'!$B$9,Paramètres!$A$1:$I$89,3,0)*VLOOKUP('Données projet'!$B$9,Paramètres!$A$1:$I$89,5,0)</f>
        <v>315.14599999999996</v>
      </c>
      <c r="P151" s="14">
        <f t="shared" si="141"/>
        <v>74.342487867211162</v>
      </c>
      <c r="Q151" s="22">
        <f t="shared" si="108"/>
        <v>678.35911636872606</v>
      </c>
      <c r="R151" s="62">
        <f t="shared" si="109"/>
        <v>971.69244970205932</v>
      </c>
      <c r="S151" s="62">
        <f ca="1">AVERAGE(OFFSET($R$3,0,0,'Données projet'!$E$9+1,1))-AVERAGE(OFFSET($H$3,0,0,'Données projet'!$E$9+1,1))</f>
        <v>348.62416478262719</v>
      </c>
      <c r="T151" s="62">
        <f t="shared" si="142"/>
        <v>371.70674704563288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14.267219340149206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1.5450426905527082E-12</v>
      </c>
      <c r="AC151" s="24">
        <f t="shared" si="111"/>
        <v>14.267219340150751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526.99999999999989</v>
      </c>
      <c r="O152" s="14">
        <f>N152*VLOOKUP('Données projet'!$B$9,Paramètres!$A$1:$I$89,3,0)*VLOOKUP('Données projet'!$B$9,Paramètres!$A$1:$I$89,5,0)</f>
        <v>315.14599999999996</v>
      </c>
      <c r="P152" s="14">
        <f t="shared" si="141"/>
        <v>74.342487867211162</v>
      </c>
      <c r="Q152" s="22">
        <f t="shared" si="108"/>
        <v>678.35911636872606</v>
      </c>
      <c r="R152" s="62">
        <f t="shared" si="109"/>
        <v>971.69244970205932</v>
      </c>
      <c r="S152" s="62">
        <f ca="1">AVERAGE(OFFSET($R$3,0,0,'Données projet'!$E$9+1,1))-AVERAGE(OFFSET($H$3,0,0,'Données projet'!$E$9+1,1))</f>
        <v>348.62416478262719</v>
      </c>
      <c r="T152" s="62">
        <f t="shared" si="142"/>
        <v>371.70674704563288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13.987447871033412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1.0925101637125285E-12</v>
      </c>
      <c r="AC152" s="24">
        <f t="shared" si="111"/>
        <v>13.987447871034504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526.99999999999989</v>
      </c>
      <c r="O153" s="14">
        <f>N153*VLOOKUP('Données projet'!$B$9,Paramètres!$A$1:$I$89,3,0)*VLOOKUP('Données projet'!$B$9,Paramètres!$A$1:$I$89,5,0)</f>
        <v>315.14599999999996</v>
      </c>
      <c r="P153" s="14">
        <f t="shared" si="141"/>
        <v>74.342487867211162</v>
      </c>
      <c r="Q153" s="22">
        <f t="shared" si="108"/>
        <v>678.35911636872606</v>
      </c>
      <c r="R153" s="62">
        <f t="shared" si="109"/>
        <v>971.69244970205932</v>
      </c>
      <c r="S153" s="62">
        <f ca="1">AVERAGE(OFFSET($R$3,0,0,'Données projet'!$E$9+1,1))-AVERAGE(OFFSET($H$3,0,0,'Données projet'!$E$9+1,1))</f>
        <v>348.62416478262719</v>
      </c>
      <c r="T153" s="62">
        <f t="shared" si="142"/>
        <v>371.70674704563288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13.713162549783233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7.7252134527635411E-13</v>
      </c>
      <c r="AC153" s="24">
        <f t="shared" si="111"/>
        <v>13.713162549784006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526.99999999999989</v>
      </c>
      <c r="O154" s="14">
        <f>N154*VLOOKUP('Données projet'!$B$9,Paramètres!$A$1:$I$89,3,0)*VLOOKUP('Données projet'!$B$9,Paramètres!$A$1:$I$89,5,0)</f>
        <v>315.14599999999996</v>
      </c>
      <c r="P154" s="14">
        <f t="shared" si="141"/>
        <v>74.342487867211162</v>
      </c>
      <c r="Q154" s="22">
        <f t="shared" ref="Q154:Q203" si="162">(O154+P154)*0.475*44/12</f>
        <v>678.35911636872606</v>
      </c>
      <c r="R154" s="62">
        <f t="shared" si="109"/>
        <v>971.69244970205932</v>
      </c>
      <c r="S154" s="62">
        <f ca="1">AVERAGE(OFFSET($R$3,0,0,'Données projet'!$E$9+1,1))-AVERAGE(OFFSET($H$3,0,0,'Données projet'!$E$9+1,1))</f>
        <v>348.62416478262719</v>
      </c>
      <c r="T154" s="62">
        <f t="shared" si="142"/>
        <v>371.70674704563288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13.444255796385242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5.4625508185626424E-13</v>
      </c>
      <c r="AC154" s="24">
        <f t="shared" ref="AC154:AC203" si="163">SUM(Z154:AB154)</f>
        <v>13.444255796385789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526.99999999999989</v>
      </c>
      <c r="O155" s="14">
        <f>N155*VLOOKUP('Données projet'!$B$9,Paramètres!$A$1:$I$89,3,0)*VLOOKUP('Données projet'!$B$9,Paramètres!$A$1:$I$89,5,0)</f>
        <v>315.14599999999996</v>
      </c>
      <c r="P155" s="14">
        <f t="shared" si="141"/>
        <v>74.342487867211162</v>
      </c>
      <c r="Q155" s="22">
        <f t="shared" si="162"/>
        <v>678.35911636872606</v>
      </c>
      <c r="R155" s="62">
        <f t="shared" si="109"/>
        <v>971.69244970205932</v>
      </c>
      <c r="S155" s="62">
        <f ca="1">AVERAGE(OFFSET($R$3,0,0,'Données projet'!$E$9+1,1))-AVERAGE(OFFSET($H$3,0,0,'Données projet'!$E$9+1,1))</f>
        <v>348.62416478262719</v>
      </c>
      <c r="T155" s="62">
        <f t="shared" si="142"/>
        <v>371.70674704563288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13.180622140404463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3.8626067263817705E-13</v>
      </c>
      <c r="AC155" s="24">
        <f t="shared" si="163"/>
        <v>13.180622140404848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526.99999999999989</v>
      </c>
      <c r="O156" s="14">
        <f>N156*VLOOKUP('Données projet'!$B$9,Paramètres!$A$1:$I$89,3,0)*VLOOKUP('Données projet'!$B$9,Paramètres!$A$1:$I$89,5,0)</f>
        <v>315.14599999999996</v>
      </c>
      <c r="P156" s="14">
        <f t="shared" si="141"/>
        <v>74.342487867211162</v>
      </c>
      <c r="Q156" s="22">
        <f t="shared" si="162"/>
        <v>678.35911636872606</v>
      </c>
      <c r="R156" s="62">
        <f t="shared" si="109"/>
        <v>971.69244970205932</v>
      </c>
      <c r="S156" s="62">
        <f ca="1">AVERAGE(OFFSET($R$3,0,0,'Données projet'!$E$9+1,1))-AVERAGE(OFFSET($H$3,0,0,'Données projet'!$E$9+1,1))</f>
        <v>348.62416478262719</v>
      </c>
      <c r="T156" s="62">
        <f t="shared" si="142"/>
        <v>371.70674704563288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12.922158179616813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2.7312754092813212E-13</v>
      </c>
      <c r="AC156" s="24">
        <f t="shared" si="163"/>
        <v>12.922158179617087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526.99999999999989</v>
      </c>
      <c r="O157" s="14">
        <f>N157*VLOOKUP('Données projet'!$B$9,Paramètres!$A$1:$I$89,3,0)*VLOOKUP('Données projet'!$B$9,Paramètres!$A$1:$I$89,5,0)</f>
        <v>315.14599999999996</v>
      </c>
      <c r="P157" s="14">
        <f t="shared" si="141"/>
        <v>74.342487867211162</v>
      </c>
      <c r="Q157" s="22">
        <f t="shared" si="162"/>
        <v>678.35911636872606</v>
      </c>
      <c r="R157" s="62">
        <f t="shared" si="109"/>
        <v>971.69244970205932</v>
      </c>
      <c r="S157" s="62">
        <f ca="1">AVERAGE(OFFSET($R$3,0,0,'Données projet'!$E$9+1,1))-AVERAGE(OFFSET($H$3,0,0,'Données projet'!$E$9+1,1))</f>
        <v>348.62416478262719</v>
      </c>
      <c r="T157" s="62">
        <f t="shared" si="142"/>
        <v>371.70674704563288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12.668762539452761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1.9313033631908853E-13</v>
      </c>
      <c r="AC157" s="24">
        <f t="shared" si="163"/>
        <v>12.668762539452954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526.99999999999989</v>
      </c>
      <c r="O158" s="14">
        <f>N158*VLOOKUP('Données projet'!$B$9,Paramètres!$A$1:$I$89,3,0)*VLOOKUP('Données projet'!$B$9,Paramètres!$A$1:$I$89,5,0)</f>
        <v>315.14599999999996</v>
      </c>
      <c r="P158" s="14">
        <f t="shared" si="141"/>
        <v>74.342487867211162</v>
      </c>
      <c r="Q158" s="22">
        <f t="shared" si="162"/>
        <v>678.35911636872606</v>
      </c>
      <c r="R158" s="62">
        <f t="shared" si="109"/>
        <v>971.69244970205932</v>
      </c>
      <c r="S158" s="62">
        <f ca="1">AVERAGE(OFFSET($R$3,0,0,'Données projet'!$E$9+1,1))-AVERAGE(OFFSET($H$3,0,0,'Données projet'!$E$9+1,1))</f>
        <v>348.62416478262719</v>
      </c>
      <c r="T158" s="62">
        <f t="shared" si="142"/>
        <v>371.70674704563288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12.420335833236246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1.3656377046406606E-13</v>
      </c>
      <c r="AC158" s="24">
        <f t="shared" si="163"/>
        <v>12.420335833236383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526.99999999999989</v>
      </c>
      <c r="O159" s="14">
        <f>N159*VLOOKUP('Données projet'!$B$9,Paramètres!$A$1:$I$89,3,0)*VLOOKUP('Données projet'!$B$9,Paramètres!$A$1:$I$89,5,0)</f>
        <v>315.14599999999996</v>
      </c>
      <c r="P159" s="14">
        <f t="shared" si="141"/>
        <v>74.342487867211162</v>
      </c>
      <c r="Q159" s="22">
        <f t="shared" si="162"/>
        <v>678.35911636872606</v>
      </c>
      <c r="R159" s="62">
        <f t="shared" si="109"/>
        <v>971.69244970205932</v>
      </c>
      <c r="S159" s="62">
        <f ca="1">AVERAGE(OFFSET($R$3,0,0,'Données projet'!$E$9+1,1))-AVERAGE(OFFSET($H$3,0,0,'Données projet'!$E$9+1,1))</f>
        <v>348.62416478262719</v>
      </c>
      <c r="T159" s="62">
        <f t="shared" si="142"/>
        <v>371.70674704563288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12.176780623203307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9.6565168159544264E-14</v>
      </c>
      <c r="AC159" s="24">
        <f t="shared" si="163"/>
        <v>12.176780623203403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526.99999999999989</v>
      </c>
      <c r="O160" s="14">
        <f>N160*VLOOKUP('Données projet'!$B$9,Paramètres!$A$1:$I$89,3,0)*VLOOKUP('Données projet'!$B$9,Paramètres!$A$1:$I$89,5,0)</f>
        <v>315.14599999999996</v>
      </c>
      <c r="P160" s="14">
        <f t="shared" si="141"/>
        <v>74.342487867211162</v>
      </c>
      <c r="Q160" s="22">
        <f t="shared" si="162"/>
        <v>678.35911636872606</v>
      </c>
      <c r="R160" s="62">
        <f t="shared" si="109"/>
        <v>971.69244970205932</v>
      </c>
      <c r="S160" s="62">
        <f ca="1">AVERAGE(OFFSET($R$3,0,0,'Données projet'!$E$9+1,1))-AVERAGE(OFFSET($H$3,0,0,'Données projet'!$E$9+1,1))</f>
        <v>348.62416478262719</v>
      </c>
      <c r="T160" s="62">
        <f t="shared" si="142"/>
        <v>371.70674704563288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11.938001382285105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6.828188523203303E-14</v>
      </c>
      <c r="AC160" s="24">
        <f t="shared" si="163"/>
        <v>11.938001382285172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526.99999999999989</v>
      </c>
      <c r="O161" s="14">
        <f>N161*VLOOKUP('Données projet'!$B$9,Paramètres!$A$1:$I$89,3,0)*VLOOKUP('Données projet'!$B$9,Paramètres!$A$1:$I$89,5,0)</f>
        <v>315.14599999999996</v>
      </c>
      <c r="P161" s="14">
        <f t="shared" si="141"/>
        <v>74.342487867211162</v>
      </c>
      <c r="Q161" s="22">
        <f t="shared" si="162"/>
        <v>678.35911636872606</v>
      </c>
      <c r="R161" s="62">
        <f t="shared" si="109"/>
        <v>971.69244970205932</v>
      </c>
      <c r="S161" s="62">
        <f ca="1">AVERAGE(OFFSET($R$3,0,0,'Données projet'!$E$9+1,1))-AVERAGE(OFFSET($H$3,0,0,'Données projet'!$E$9+1,1))</f>
        <v>348.62416478262719</v>
      </c>
      <c r="T161" s="62">
        <f t="shared" si="142"/>
        <v>371.70674704563288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11.703904456640352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4.8282584079772132E-14</v>
      </c>
      <c r="AC161" s="24">
        <f t="shared" si="163"/>
        <v>11.7039044566404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526.99999999999989</v>
      </c>
      <c r="O162" s="14">
        <f>N162*VLOOKUP('Données projet'!$B$9,Paramètres!$A$1:$I$89,3,0)*VLOOKUP('Données projet'!$B$9,Paramètres!$A$1:$I$89,5,0)</f>
        <v>315.14599999999996</v>
      </c>
      <c r="P162" s="14">
        <f t="shared" si="141"/>
        <v>74.342487867211162</v>
      </c>
      <c r="Q162" s="22">
        <f t="shared" si="162"/>
        <v>678.35911636872606</v>
      </c>
      <c r="R162" s="62">
        <f t="shared" si="109"/>
        <v>971.69244970205932</v>
      </c>
      <c r="S162" s="62">
        <f ca="1">AVERAGE(OFFSET($R$3,0,0,'Données projet'!$E$9+1,1))-AVERAGE(OFFSET($H$3,0,0,'Données projet'!$E$9+1,1))</f>
        <v>348.62416478262719</v>
      </c>
      <c r="T162" s="62">
        <f t="shared" si="142"/>
        <v>371.70674704563288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11.474398028922467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3.4140942616016515E-14</v>
      </c>
      <c r="AC162" s="24">
        <f t="shared" si="163"/>
        <v>11.474398028922501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526.99999999999989</v>
      </c>
      <c r="O163" s="14">
        <f>N163*VLOOKUP('Données projet'!$B$9,Paramètres!$A$1:$I$89,3,0)*VLOOKUP('Données projet'!$B$9,Paramètres!$A$1:$I$89,5,0)</f>
        <v>315.14599999999996</v>
      </c>
      <c r="P163" s="14">
        <f t="shared" si="141"/>
        <v>74.342487867211162</v>
      </c>
      <c r="Q163" s="22">
        <f t="shared" si="162"/>
        <v>678.35911636872606</v>
      </c>
      <c r="R163" s="62">
        <f t="shared" si="109"/>
        <v>971.69244970205932</v>
      </c>
      <c r="S163" s="62">
        <f ca="1">AVERAGE(OFFSET($R$3,0,0,'Données projet'!$E$9+1,1))-AVERAGE(OFFSET($H$3,0,0,'Données projet'!$E$9+1,1))</f>
        <v>348.62416478262719</v>
      </c>
      <c r="T163" s="62">
        <f t="shared" si="142"/>
        <v>371.70674704563288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11.249392082267031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2.4141292039886066E-14</v>
      </c>
      <c r="AC163" s="24">
        <f t="shared" si="163"/>
        <v>11.249392082267056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526.99999999999989</v>
      </c>
      <c r="O164" s="14">
        <f>N164*VLOOKUP('Données projet'!$B$9,Paramètres!$A$1:$I$89,3,0)*VLOOKUP('Données projet'!$B$9,Paramètres!$A$1:$I$89,5,0)</f>
        <v>315.14599999999996</v>
      </c>
      <c r="P164" s="14">
        <f t="shared" si="141"/>
        <v>74.342487867211162</v>
      </c>
      <c r="Q164" s="22">
        <f t="shared" si="162"/>
        <v>678.35911636872606</v>
      </c>
      <c r="R164" s="62">
        <f t="shared" si="109"/>
        <v>971.69244970205932</v>
      </c>
      <c r="S164" s="62">
        <f ca="1">AVERAGE(OFFSET($R$3,0,0,'Données projet'!$E$9+1,1))-AVERAGE(OFFSET($H$3,0,0,'Données projet'!$E$9+1,1))</f>
        <v>348.62416478262719</v>
      </c>
      <c r="T164" s="62">
        <f t="shared" si="142"/>
        <v>371.70674704563288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11.028798364985432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1.7070471308008258E-14</v>
      </c>
      <c r="AC164" s="24">
        <f t="shared" si="163"/>
        <v>11.02879836498545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526.99999999999989</v>
      </c>
      <c r="O165" s="14">
        <f>N165*VLOOKUP('Données projet'!$B$9,Paramètres!$A$1:$I$89,3,0)*VLOOKUP('Données projet'!$B$9,Paramètres!$A$1:$I$89,5,0)</f>
        <v>315.14599999999996</v>
      </c>
      <c r="P165" s="14">
        <f t="shared" si="141"/>
        <v>74.342487867211162</v>
      </c>
      <c r="Q165" s="22">
        <f t="shared" si="162"/>
        <v>678.35911636872606</v>
      </c>
      <c r="R165" s="62">
        <f t="shared" si="109"/>
        <v>971.69244970205932</v>
      </c>
      <c r="S165" s="62">
        <f ca="1">AVERAGE(OFFSET($R$3,0,0,'Données projet'!$E$9+1,1))-AVERAGE(OFFSET($H$3,0,0,'Données projet'!$E$9+1,1))</f>
        <v>348.62416478262719</v>
      </c>
      <c r="T165" s="62">
        <f t="shared" si="142"/>
        <v>371.70674704563288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10.812530355950845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1.2070646019943033E-14</v>
      </c>
      <c r="AC165" s="24">
        <f t="shared" si="163"/>
        <v>10.812530355950857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526.99999999999989</v>
      </c>
      <c r="O166" s="14">
        <f>N166*VLOOKUP('Données projet'!$B$9,Paramètres!$A$1:$I$89,3,0)*VLOOKUP('Données projet'!$B$9,Paramètres!$A$1:$I$89,5,0)</f>
        <v>315.14599999999996</v>
      </c>
      <c r="P166" s="14">
        <f t="shared" si="141"/>
        <v>74.342487867211162</v>
      </c>
      <c r="Q166" s="22">
        <f t="shared" si="162"/>
        <v>678.35911636872606</v>
      </c>
      <c r="R166" s="62">
        <f t="shared" si="109"/>
        <v>971.69244970205932</v>
      </c>
      <c r="S166" s="62">
        <f ca="1">AVERAGE(OFFSET($R$3,0,0,'Données projet'!$E$9+1,1))-AVERAGE(OFFSET($H$3,0,0,'Données projet'!$E$9+1,1))</f>
        <v>348.62416478262719</v>
      </c>
      <c r="T166" s="62">
        <f t="shared" si="142"/>
        <v>371.70674704563288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10.600503230662964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8.5352356540041288E-15</v>
      </c>
      <c r="AC166" s="24">
        <f t="shared" si="163"/>
        <v>10.600503230662973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526.99999999999989</v>
      </c>
      <c r="O167" s="14">
        <f>N167*VLOOKUP('Données projet'!$B$9,Paramètres!$A$1:$I$89,3,0)*VLOOKUP('Données projet'!$B$9,Paramètres!$A$1:$I$89,5,0)</f>
        <v>315.14599999999996</v>
      </c>
      <c r="P167" s="14">
        <f t="shared" si="141"/>
        <v>74.342487867211162</v>
      </c>
      <c r="Q167" s="22">
        <f t="shared" si="162"/>
        <v>678.35911636872606</v>
      </c>
      <c r="R167" s="62">
        <f t="shared" si="109"/>
        <v>971.69244970205932</v>
      </c>
      <c r="S167" s="62">
        <f ca="1">AVERAGE(OFFSET($R$3,0,0,'Données projet'!$E$9+1,1))-AVERAGE(OFFSET($H$3,0,0,'Données projet'!$E$9+1,1))</f>
        <v>348.62416478262719</v>
      </c>
      <c r="T167" s="62">
        <f t="shared" si="142"/>
        <v>371.70674704563288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10.392633827978202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6.0353230099715165E-15</v>
      </c>
      <c r="AC167" s="24">
        <f t="shared" si="163"/>
        <v>10.392633827978207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526.99999999999989</v>
      </c>
      <c r="O168" s="14">
        <f>N168*VLOOKUP('Données projet'!$B$9,Paramètres!$A$1:$I$89,3,0)*VLOOKUP('Données projet'!$B$9,Paramètres!$A$1:$I$89,5,0)</f>
        <v>315.14599999999996</v>
      </c>
      <c r="P168" s="14">
        <f t="shared" si="141"/>
        <v>74.342487867211162</v>
      </c>
      <c r="Q168" s="22">
        <f t="shared" si="162"/>
        <v>678.35911636872606</v>
      </c>
      <c r="R168" s="62">
        <f t="shared" si="109"/>
        <v>971.69244970205932</v>
      </c>
      <c r="S168" s="62">
        <f ca="1">AVERAGE(OFFSET($R$3,0,0,'Données projet'!$E$9+1,1))-AVERAGE(OFFSET($H$3,0,0,'Données projet'!$E$9+1,1))</f>
        <v>348.62416478262719</v>
      </c>
      <c r="T168" s="62">
        <f t="shared" si="142"/>
        <v>371.70674704563288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10.188840617492271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4.2676178270020644E-15</v>
      </c>
      <c r="AC168" s="24">
        <f t="shared" si="163"/>
        <v>10.188840617492275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526.99999999999989</v>
      </c>
      <c r="O169" s="14">
        <f>N169*VLOOKUP('Données projet'!$B$9,Paramètres!$A$1:$I$89,3,0)*VLOOKUP('Données projet'!$B$9,Paramètres!$A$1:$I$89,5,0)</f>
        <v>315.14599999999996</v>
      </c>
      <c r="P169" s="14">
        <f t="shared" si="141"/>
        <v>74.342487867211162</v>
      </c>
      <c r="Q169" s="22">
        <f t="shared" si="162"/>
        <v>678.35911636872606</v>
      </c>
      <c r="R169" s="62">
        <f t="shared" si="109"/>
        <v>971.69244970205932</v>
      </c>
      <c r="S169" s="62">
        <f ca="1">AVERAGE(OFFSET($R$3,0,0,'Données projet'!$E$9+1,1))-AVERAGE(OFFSET($H$3,0,0,'Données projet'!$E$9+1,1))</f>
        <v>348.62416478262719</v>
      </c>
      <c r="T169" s="62">
        <f t="shared" si="142"/>
        <v>371.70674704563288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9.9890436675623864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3.0176615049857582E-15</v>
      </c>
      <c r="AC169" s="24">
        <f t="shared" si="163"/>
        <v>9.9890436675623899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526.99999999999989</v>
      </c>
      <c r="O170" s="14">
        <f>N170*VLOOKUP('Données projet'!$B$9,Paramètres!$A$1:$I$89,3,0)*VLOOKUP('Données projet'!$B$9,Paramètres!$A$1:$I$89,5,0)</f>
        <v>315.14599999999996</v>
      </c>
      <c r="P170" s="14">
        <f t="shared" si="141"/>
        <v>74.342487867211162</v>
      </c>
      <c r="Q170" s="22">
        <f t="shared" si="162"/>
        <v>678.35911636872606</v>
      </c>
      <c r="R170" s="62">
        <f t="shared" si="109"/>
        <v>971.69244970205932</v>
      </c>
      <c r="S170" s="62">
        <f ca="1">AVERAGE(OFFSET($R$3,0,0,'Données projet'!$E$9+1,1))-AVERAGE(OFFSET($H$3,0,0,'Données projet'!$E$9+1,1))</f>
        <v>348.62416478262719</v>
      </c>
      <c r="T170" s="62">
        <f t="shared" si="142"/>
        <v>371.70674704563288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9.7931646139565203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2.1338089135010322E-15</v>
      </c>
      <c r="AC170" s="24">
        <f t="shared" si="163"/>
        <v>9.793164613956522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526.99999999999989</v>
      </c>
      <c r="O171" s="14">
        <f>N171*VLOOKUP('Données projet'!$B$9,Paramètres!$A$1:$I$89,3,0)*VLOOKUP('Données projet'!$B$9,Paramètres!$A$1:$I$89,5,0)</f>
        <v>315.14599999999996</v>
      </c>
      <c r="P171" s="14">
        <f t="shared" si="141"/>
        <v>74.342487867211162</v>
      </c>
      <c r="Q171" s="22">
        <f t="shared" si="162"/>
        <v>678.35911636872606</v>
      </c>
      <c r="R171" s="62">
        <f t="shared" si="109"/>
        <v>971.69244970205932</v>
      </c>
      <c r="S171" s="62">
        <f ca="1">AVERAGE(OFFSET($R$3,0,0,'Données projet'!$E$9+1,1))-AVERAGE(OFFSET($H$3,0,0,'Données projet'!$E$9+1,1))</f>
        <v>348.62416478262719</v>
      </c>
      <c r="T171" s="62">
        <f t="shared" si="142"/>
        <v>371.70674704563288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9.6011266291174397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1.5088307524928791E-15</v>
      </c>
      <c r="AC171" s="24">
        <f t="shared" si="163"/>
        <v>9.6011266291174415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526.99999999999989</v>
      </c>
      <c r="O172" s="14">
        <f>N172*VLOOKUP('Données projet'!$B$9,Paramètres!$A$1:$I$89,3,0)*VLOOKUP('Données projet'!$B$9,Paramètres!$A$1:$I$89,5,0)</f>
        <v>315.14599999999996</v>
      </c>
      <c r="P172" s="14">
        <f t="shared" si="141"/>
        <v>74.342487867211162</v>
      </c>
      <c r="Q172" s="22">
        <f t="shared" si="162"/>
        <v>678.35911636872606</v>
      </c>
      <c r="R172" s="62">
        <f t="shared" si="109"/>
        <v>971.69244970205932</v>
      </c>
      <c r="S172" s="62">
        <f ca="1">AVERAGE(OFFSET($R$3,0,0,'Données projet'!$E$9+1,1))-AVERAGE(OFFSET($H$3,0,0,'Données projet'!$E$9+1,1))</f>
        <v>348.62416478262719</v>
      </c>
      <c r="T172" s="62">
        <f t="shared" si="142"/>
        <v>371.70674704563288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9.4128543920294483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1.0669044567505161E-15</v>
      </c>
      <c r="AC172" s="24">
        <f t="shared" si="163"/>
        <v>9.4128543920294501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526.99999999999989</v>
      </c>
      <c r="O173" s="14">
        <f>N173*VLOOKUP('Données projet'!$B$9,Paramètres!$A$1:$I$89,3,0)*VLOOKUP('Données projet'!$B$9,Paramètres!$A$1:$I$89,5,0)</f>
        <v>315.14599999999996</v>
      </c>
      <c r="P173" s="14">
        <f t="shared" si="141"/>
        <v>74.342487867211162</v>
      </c>
      <c r="Q173" s="22">
        <f t="shared" si="162"/>
        <v>678.35911636872606</v>
      </c>
      <c r="R173" s="62">
        <f t="shared" si="109"/>
        <v>971.69244970205932</v>
      </c>
      <c r="S173" s="62">
        <f ca="1">AVERAGE(OFFSET($R$3,0,0,'Données projet'!$E$9+1,1))-AVERAGE(OFFSET($H$3,0,0,'Données projet'!$E$9+1,1))</f>
        <v>348.62416478262719</v>
      </c>
      <c r="T173" s="62">
        <f t="shared" si="142"/>
        <v>371.70674704563288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9.2282740586760266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7.5441537624643956E-16</v>
      </c>
      <c r="AC173" s="24">
        <f t="shared" si="163"/>
        <v>9.2282740586760266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526.99999999999989</v>
      </c>
      <c r="O174" s="14">
        <f>N174*VLOOKUP('Données projet'!$B$9,Paramètres!$A$1:$I$89,3,0)*VLOOKUP('Données projet'!$B$9,Paramètres!$A$1:$I$89,5,0)</f>
        <v>315.14599999999996</v>
      </c>
      <c r="P174" s="14">
        <f t="shared" si="141"/>
        <v>74.342487867211162</v>
      </c>
      <c r="Q174" s="22">
        <f t="shared" si="162"/>
        <v>678.35911636872606</v>
      </c>
      <c r="R174" s="62">
        <f t="shared" si="109"/>
        <v>971.69244970205932</v>
      </c>
      <c r="S174" s="62">
        <f ca="1">AVERAGE(OFFSET($R$3,0,0,'Données projet'!$E$9+1,1))-AVERAGE(OFFSET($H$3,0,0,'Données projet'!$E$9+1,1))</f>
        <v>348.62416478262719</v>
      </c>
      <c r="T174" s="62">
        <f t="shared" si="142"/>
        <v>371.70674704563288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9.0473132330767783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5.3345222837525805E-16</v>
      </c>
      <c r="AC174" s="24">
        <f t="shared" si="163"/>
        <v>9.0473132330767783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526.99999999999989</v>
      </c>
      <c r="O175" s="14">
        <f>N175*VLOOKUP('Données projet'!$B$9,Paramètres!$A$1:$I$89,3,0)*VLOOKUP('Données projet'!$B$9,Paramètres!$A$1:$I$89,5,0)</f>
        <v>315.14599999999996</v>
      </c>
      <c r="P175" s="14">
        <f t="shared" si="141"/>
        <v>74.342487867211162</v>
      </c>
      <c r="Q175" s="22">
        <f t="shared" si="162"/>
        <v>678.35911636872606</v>
      </c>
      <c r="R175" s="62">
        <f t="shared" si="109"/>
        <v>971.69244970205932</v>
      </c>
      <c r="S175" s="62">
        <f ca="1">AVERAGE(OFFSET($R$3,0,0,'Données projet'!$E$9+1,1))-AVERAGE(OFFSET($H$3,0,0,'Données projet'!$E$9+1,1))</f>
        <v>348.62416478262719</v>
      </c>
      <c r="T175" s="62">
        <f t="shared" si="142"/>
        <v>371.70674704563288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8.8699009388923269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3.7720768812321978E-16</v>
      </c>
      <c r="AC175" s="24">
        <f t="shared" si="163"/>
        <v>8.8699009388923269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526.99999999999989</v>
      </c>
      <c r="O176" s="14">
        <f>N176*VLOOKUP('Données projet'!$B$9,Paramètres!$A$1:$I$89,3,0)*VLOOKUP('Données projet'!$B$9,Paramètres!$A$1:$I$89,5,0)</f>
        <v>315.14599999999996</v>
      </c>
      <c r="P176" s="14">
        <f t="shared" si="141"/>
        <v>74.342487867211162</v>
      </c>
      <c r="Q176" s="22">
        <f t="shared" si="162"/>
        <v>678.35911636872606</v>
      </c>
      <c r="R176" s="62">
        <f t="shared" si="109"/>
        <v>971.69244970205932</v>
      </c>
      <c r="S176" s="62">
        <f ca="1">AVERAGE(OFFSET($R$3,0,0,'Données projet'!$E$9+1,1))-AVERAGE(OFFSET($H$3,0,0,'Données projet'!$E$9+1,1))</f>
        <v>348.62416478262719</v>
      </c>
      <c r="T176" s="62">
        <f t="shared" si="142"/>
        <v>371.70674704563288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8.6959675915860171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2.6672611418762902E-16</v>
      </c>
      <c r="AC176" s="24">
        <f t="shared" si="163"/>
        <v>8.6959675915860171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526.99999999999989</v>
      </c>
      <c r="O177" s="14">
        <f>N177*VLOOKUP('Données projet'!$B$9,Paramètres!$A$1:$I$89,3,0)*VLOOKUP('Données projet'!$B$9,Paramètres!$A$1:$I$89,5,0)</f>
        <v>315.14599999999996</v>
      </c>
      <c r="P177" s="14">
        <f t="shared" si="141"/>
        <v>74.342487867211162</v>
      </c>
      <c r="Q177" s="22">
        <f t="shared" si="162"/>
        <v>678.35911636872606</v>
      </c>
      <c r="R177" s="62">
        <f t="shared" si="109"/>
        <v>971.69244970205932</v>
      </c>
      <c r="S177" s="62">
        <f ca="1">AVERAGE(OFFSET($R$3,0,0,'Données projet'!$E$9+1,1))-AVERAGE(OFFSET($H$3,0,0,'Données projet'!$E$9+1,1))</f>
        <v>348.62416478262719</v>
      </c>
      <c r="T177" s="62">
        <f t="shared" si="142"/>
        <v>371.70674704563288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8.5254449711315186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1.8860384406160989E-16</v>
      </c>
      <c r="AC177" s="24">
        <f t="shared" si="163"/>
        <v>8.5254449711315186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526.99999999999989</v>
      </c>
      <c r="O178" s="14">
        <f>N178*VLOOKUP('Données projet'!$B$9,Paramètres!$A$1:$I$89,3,0)*VLOOKUP('Données projet'!$B$9,Paramètres!$A$1:$I$89,5,0)</f>
        <v>315.14599999999996</v>
      </c>
      <c r="P178" s="14">
        <f t="shared" si="141"/>
        <v>74.342487867211162</v>
      </c>
      <c r="Q178" s="22">
        <f t="shared" si="162"/>
        <v>678.35911636872606</v>
      </c>
      <c r="R178" s="62">
        <f t="shared" si="109"/>
        <v>971.69244970205932</v>
      </c>
      <c r="S178" s="62">
        <f ca="1">AVERAGE(OFFSET($R$3,0,0,'Données projet'!$E$9+1,1))-AVERAGE(OFFSET($H$3,0,0,'Données projet'!$E$9+1,1))</f>
        <v>348.62416478262719</v>
      </c>
      <c r="T178" s="62">
        <f t="shared" si="142"/>
        <v>371.70674704563288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8.3582661952556041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1.3336305709381451E-16</v>
      </c>
      <c r="AC178" s="24">
        <f t="shared" si="163"/>
        <v>8.3582661952556041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526.99999999999989</v>
      </c>
      <c r="O179" s="14">
        <f>N179*VLOOKUP('Données projet'!$B$9,Paramètres!$A$1:$I$89,3,0)*VLOOKUP('Données projet'!$B$9,Paramètres!$A$1:$I$89,5,0)</f>
        <v>315.14599999999996</v>
      </c>
      <c r="P179" s="14">
        <f t="shared" si="141"/>
        <v>74.342487867211162</v>
      </c>
      <c r="Q179" s="22">
        <f t="shared" si="162"/>
        <v>678.35911636872606</v>
      </c>
      <c r="R179" s="62">
        <f t="shared" si="109"/>
        <v>971.69244970205932</v>
      </c>
      <c r="S179" s="62">
        <f ca="1">AVERAGE(OFFSET($R$3,0,0,'Données projet'!$E$9+1,1))-AVERAGE(OFFSET($H$3,0,0,'Données projet'!$E$9+1,1))</f>
        <v>348.62416478262719</v>
      </c>
      <c r="T179" s="62">
        <f t="shared" si="142"/>
        <v>371.70674704563288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8.194365693205631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9.4301922030804945E-17</v>
      </c>
      <c r="AC179" s="24">
        <f t="shared" si="163"/>
        <v>8.194365693205631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526.99999999999989</v>
      </c>
      <c r="O180" s="14">
        <f>N180*VLOOKUP('Données projet'!$B$9,Paramètres!$A$1:$I$89,3,0)*VLOOKUP('Données projet'!$B$9,Paramètres!$A$1:$I$89,5,0)</f>
        <v>315.14599999999996</v>
      </c>
      <c r="P180" s="14">
        <f t="shared" si="141"/>
        <v>74.342487867211162</v>
      </c>
      <c r="Q180" s="22">
        <f t="shared" si="162"/>
        <v>678.35911636872606</v>
      </c>
      <c r="R180" s="62">
        <f t="shared" si="109"/>
        <v>971.69244970205932</v>
      </c>
      <c r="S180" s="62">
        <f ca="1">AVERAGE(OFFSET($R$3,0,0,'Données projet'!$E$9+1,1))-AVERAGE(OFFSET($H$3,0,0,'Données projet'!$E$9+1,1))</f>
        <v>348.62416478262719</v>
      </c>
      <c r="T180" s="62">
        <f t="shared" si="142"/>
        <v>371.70674704563288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8.0336791800314238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6.6681528546907256E-17</v>
      </c>
      <c r="AC180" s="24">
        <f t="shared" si="163"/>
        <v>8.0336791800314238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526.99999999999989</v>
      </c>
      <c r="O181" s="14">
        <f>N181*VLOOKUP('Données projet'!$B$9,Paramètres!$A$1:$I$89,3,0)*VLOOKUP('Données projet'!$B$9,Paramètres!$A$1:$I$89,5,0)</f>
        <v>315.14599999999996</v>
      </c>
      <c r="P181" s="14">
        <f t="shared" si="141"/>
        <v>74.342487867211162</v>
      </c>
      <c r="Q181" s="22">
        <f t="shared" si="162"/>
        <v>678.35911636872606</v>
      </c>
      <c r="R181" s="62">
        <f t="shared" si="109"/>
        <v>971.69244970205932</v>
      </c>
      <c r="S181" s="62">
        <f ca="1">AVERAGE(OFFSET($R$3,0,0,'Données projet'!$E$9+1,1))-AVERAGE(OFFSET($H$3,0,0,'Données projet'!$E$9+1,1))</f>
        <v>348.62416478262719</v>
      </c>
      <c r="T181" s="62">
        <f t="shared" si="142"/>
        <v>371.70674704563288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7.876143631371467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4.7150961015402472E-17</v>
      </c>
      <c r="AC181" s="24">
        <f t="shared" si="163"/>
        <v>7.876143631371467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526.99999999999989</v>
      </c>
      <c r="O182" s="14">
        <f>N182*VLOOKUP('Données projet'!$B$9,Paramètres!$A$1:$I$89,3,0)*VLOOKUP('Données projet'!$B$9,Paramètres!$A$1:$I$89,5,0)</f>
        <v>315.14599999999996</v>
      </c>
      <c r="P182" s="14">
        <f t="shared" si="141"/>
        <v>74.342487867211162</v>
      </c>
      <c r="Q182" s="22">
        <f t="shared" si="162"/>
        <v>678.35911636872606</v>
      </c>
      <c r="R182" s="62">
        <f t="shared" si="109"/>
        <v>971.69244970205932</v>
      </c>
      <c r="S182" s="62">
        <f ca="1">AVERAGE(OFFSET($R$3,0,0,'Données projet'!$E$9+1,1))-AVERAGE(OFFSET($H$3,0,0,'Données projet'!$E$9+1,1))</f>
        <v>348.62416478262719</v>
      </c>
      <c r="T182" s="62">
        <f t="shared" si="142"/>
        <v>371.70674704563288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7.7216972587335349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3.3340764273453628E-17</v>
      </c>
      <c r="AC182" s="24">
        <f t="shared" si="163"/>
        <v>7.7216972587335349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526.99999999999989</v>
      </c>
      <c r="O183" s="14">
        <f>N183*VLOOKUP('Données projet'!$B$9,Paramètres!$A$1:$I$89,3,0)*VLOOKUP('Données projet'!$B$9,Paramètres!$A$1:$I$89,5,0)</f>
        <v>315.14599999999996</v>
      </c>
      <c r="P183" s="14">
        <f t="shared" si="141"/>
        <v>74.342487867211162</v>
      </c>
      <c r="Q183" s="22">
        <f t="shared" si="162"/>
        <v>678.35911636872606</v>
      </c>
      <c r="R183" s="62">
        <f t="shared" si="109"/>
        <v>971.69244970205932</v>
      </c>
      <c r="S183" s="62">
        <f ca="1">AVERAGE(OFFSET($R$3,0,0,'Données projet'!$E$9+1,1))-AVERAGE(OFFSET($H$3,0,0,'Données projet'!$E$9+1,1))</f>
        <v>348.62416478262719</v>
      </c>
      <c r="T183" s="62">
        <f t="shared" si="142"/>
        <v>371.70674704563288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7.5702794852600466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2.3575480507701236E-17</v>
      </c>
      <c r="AC183" s="24">
        <f t="shared" si="163"/>
        <v>7.5702794852600466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526.99999999999989</v>
      </c>
      <c r="O184" s="14">
        <f>N184*VLOOKUP('Données projet'!$B$9,Paramètres!$A$1:$I$89,3,0)*VLOOKUP('Données projet'!$B$9,Paramètres!$A$1:$I$89,5,0)</f>
        <v>315.14599999999996</v>
      </c>
      <c r="P184" s="14">
        <f t="shared" si="141"/>
        <v>74.342487867211162</v>
      </c>
      <c r="Q184" s="22">
        <f t="shared" si="162"/>
        <v>678.35911636872606</v>
      </c>
      <c r="R184" s="62">
        <f t="shared" si="109"/>
        <v>971.69244970205932</v>
      </c>
      <c r="S184" s="62">
        <f ca="1">AVERAGE(OFFSET($R$3,0,0,'Données projet'!$E$9+1,1))-AVERAGE(OFFSET($H$3,0,0,'Données projet'!$E$9+1,1))</f>
        <v>348.62416478262719</v>
      </c>
      <c r="T184" s="62">
        <f t="shared" si="142"/>
        <v>371.70674704563288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7.4218309219686516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1.6670382136726814E-17</v>
      </c>
      <c r="AC184" s="24">
        <f t="shared" si="163"/>
        <v>7.4218309219686516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526.99999999999989</v>
      </c>
      <c r="O185" s="14">
        <f>N185*VLOOKUP('Données projet'!$B$9,Paramètres!$A$1:$I$89,3,0)*VLOOKUP('Données projet'!$B$9,Paramètres!$A$1:$I$89,5,0)</f>
        <v>315.14599999999996</v>
      </c>
      <c r="P185" s="14">
        <f t="shared" si="141"/>
        <v>74.342487867211162</v>
      </c>
      <c r="Q185" s="22">
        <f t="shared" si="162"/>
        <v>678.35911636872606</v>
      </c>
      <c r="R185" s="62">
        <f t="shared" si="109"/>
        <v>971.69244970205932</v>
      </c>
      <c r="S185" s="62">
        <f ca="1">AVERAGE(OFFSET($R$3,0,0,'Données projet'!$E$9+1,1))-AVERAGE(OFFSET($H$3,0,0,'Données projet'!$E$9+1,1))</f>
        <v>348.62416478262719</v>
      </c>
      <c r="T185" s="62">
        <f t="shared" si="142"/>
        <v>371.70674704563288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7.2762933444587174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1.1787740253850618E-17</v>
      </c>
      <c r="AC185" s="24">
        <f t="shared" si="163"/>
        <v>7.2762933444587174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526.99999999999989</v>
      </c>
      <c r="O186" s="14">
        <f>N186*VLOOKUP('Données projet'!$B$9,Paramètres!$A$1:$I$89,3,0)*VLOOKUP('Données projet'!$B$9,Paramètres!$A$1:$I$89,5,0)</f>
        <v>315.14599999999996</v>
      </c>
      <c r="P186" s="14">
        <f t="shared" si="141"/>
        <v>74.342487867211162</v>
      </c>
      <c r="Q186" s="22">
        <f t="shared" si="162"/>
        <v>678.35911636872606</v>
      </c>
      <c r="R186" s="62">
        <f t="shared" si="109"/>
        <v>971.69244970205932</v>
      </c>
      <c r="S186" s="62">
        <f ca="1">AVERAGE(OFFSET($R$3,0,0,'Données projet'!$E$9+1,1))-AVERAGE(OFFSET($H$3,0,0,'Données projet'!$E$9+1,1))</f>
        <v>348.62416478262719</v>
      </c>
      <c r="T186" s="62">
        <f t="shared" si="142"/>
        <v>371.70674704563288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7.1336096700745957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8.335191068363407E-18</v>
      </c>
      <c r="AC186" s="24">
        <f t="shared" si="163"/>
        <v>7.1336096700745957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526.99999999999989</v>
      </c>
      <c r="O187" s="14">
        <f>N187*VLOOKUP('Données projet'!$B$9,Paramètres!$A$1:$I$89,3,0)*VLOOKUP('Données projet'!$B$9,Paramètres!$A$1:$I$89,5,0)</f>
        <v>315.14599999999996</v>
      </c>
      <c r="P187" s="14">
        <f t="shared" si="141"/>
        <v>74.342487867211162</v>
      </c>
      <c r="Q187" s="22">
        <f t="shared" si="162"/>
        <v>678.35911636872606</v>
      </c>
      <c r="R187" s="62">
        <f t="shared" si="109"/>
        <v>971.69244970205932</v>
      </c>
      <c r="S187" s="62">
        <f ca="1">AVERAGE(OFFSET($R$3,0,0,'Données projet'!$E$9+1,1))-AVERAGE(OFFSET($H$3,0,0,'Données projet'!$E$9+1,1))</f>
        <v>348.62416478262719</v>
      </c>
      <c r="T187" s="62">
        <f t="shared" si="142"/>
        <v>371.70674704563288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6.9937239355166989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5.8938701269253091E-18</v>
      </c>
      <c r="AC187" s="24">
        <f t="shared" si="163"/>
        <v>6.9937239355166989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526.99999999999989</v>
      </c>
      <c r="O188" s="14">
        <f>N188*VLOOKUP('Données projet'!$B$9,Paramètres!$A$1:$I$89,3,0)*VLOOKUP('Données projet'!$B$9,Paramètres!$A$1:$I$89,5,0)</f>
        <v>315.14599999999996</v>
      </c>
      <c r="P188" s="14">
        <f t="shared" si="141"/>
        <v>74.342487867211162</v>
      </c>
      <c r="Q188" s="22">
        <f t="shared" si="162"/>
        <v>678.35911636872606</v>
      </c>
      <c r="R188" s="62">
        <f t="shared" si="109"/>
        <v>971.69244970205932</v>
      </c>
      <c r="S188" s="62">
        <f ca="1">AVERAGE(OFFSET($R$3,0,0,'Données projet'!$E$9+1,1))-AVERAGE(OFFSET($H$3,0,0,'Données projet'!$E$9+1,1))</f>
        <v>348.62416478262719</v>
      </c>
      <c r="T188" s="62">
        <f t="shared" si="142"/>
        <v>371.70674704563288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6.8565812748916093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4.1675955341817035E-18</v>
      </c>
      <c r="AC188" s="24">
        <f t="shared" si="163"/>
        <v>6.8565812748916093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526.99999999999989</v>
      </c>
      <c r="O189" s="14">
        <f>N189*VLOOKUP('Données projet'!$B$9,Paramètres!$A$1:$I$89,3,0)*VLOOKUP('Données projet'!$B$9,Paramètres!$A$1:$I$89,5,0)</f>
        <v>315.14599999999996</v>
      </c>
      <c r="P189" s="14">
        <f t="shared" si="141"/>
        <v>74.342487867211162</v>
      </c>
      <c r="Q189" s="22">
        <f t="shared" si="162"/>
        <v>678.35911636872606</v>
      </c>
      <c r="R189" s="62">
        <f t="shared" si="109"/>
        <v>971.69244970205932</v>
      </c>
      <c r="S189" s="62">
        <f ca="1">AVERAGE(OFFSET($R$3,0,0,'Données projet'!$E$9+1,1))-AVERAGE(OFFSET($H$3,0,0,'Données projet'!$E$9+1,1))</f>
        <v>348.62416478262719</v>
      </c>
      <c r="T189" s="62">
        <f t="shared" si="142"/>
        <v>371.70674704563288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6.722127898192614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2.9469350634626545E-18</v>
      </c>
      <c r="AC189" s="24">
        <f t="shared" si="163"/>
        <v>6.722127898192614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526.99999999999989</v>
      </c>
      <c r="O190" s="14">
        <f>N190*VLOOKUP('Données projet'!$B$9,Paramètres!$A$1:$I$89,3,0)*VLOOKUP('Données projet'!$B$9,Paramètres!$A$1:$I$89,5,0)</f>
        <v>315.14599999999996</v>
      </c>
      <c r="P190" s="14">
        <f t="shared" si="141"/>
        <v>74.342487867211162</v>
      </c>
      <c r="Q190" s="22">
        <f t="shared" si="162"/>
        <v>678.35911636872606</v>
      </c>
      <c r="R190" s="62">
        <f t="shared" si="109"/>
        <v>971.69244970205932</v>
      </c>
      <c r="S190" s="62">
        <f ca="1">AVERAGE(OFFSET($R$3,0,0,'Données projet'!$E$9+1,1))-AVERAGE(OFFSET($H$3,0,0,'Données projet'!$E$9+1,1))</f>
        <v>348.62416478262719</v>
      </c>
      <c r="T190" s="62">
        <f t="shared" si="142"/>
        <v>371.70674704563288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6.5903110702022243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2.0837977670908518E-18</v>
      </c>
      <c r="AC190" s="24">
        <f t="shared" si="163"/>
        <v>6.5903110702022243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526.99999999999989</v>
      </c>
      <c r="O191" s="14">
        <f>N191*VLOOKUP('Données projet'!$B$9,Paramètres!$A$1:$I$89,3,0)*VLOOKUP('Données projet'!$B$9,Paramètres!$A$1:$I$89,5,0)</f>
        <v>315.14599999999996</v>
      </c>
      <c r="P191" s="14">
        <f t="shared" si="141"/>
        <v>74.342487867211162</v>
      </c>
      <c r="Q191" s="22">
        <f t="shared" si="162"/>
        <v>678.35911636872606</v>
      </c>
      <c r="R191" s="62">
        <f t="shared" si="109"/>
        <v>971.69244970205932</v>
      </c>
      <c r="S191" s="62">
        <f ca="1">AVERAGE(OFFSET($R$3,0,0,'Données projet'!$E$9+1,1))-AVERAGE(OFFSET($H$3,0,0,'Données projet'!$E$9+1,1))</f>
        <v>348.62416478262719</v>
      </c>
      <c r="T191" s="62">
        <f t="shared" si="142"/>
        <v>371.70674704563288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6.4610790898083996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1.4734675317313273E-18</v>
      </c>
      <c r="AC191" s="24">
        <f t="shared" si="163"/>
        <v>6.4610790898083996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526.99999999999989</v>
      </c>
      <c r="O192" s="14">
        <f>N192*VLOOKUP('Données projet'!$B$9,Paramètres!$A$1:$I$89,3,0)*VLOOKUP('Données projet'!$B$9,Paramètres!$A$1:$I$89,5,0)</f>
        <v>315.14599999999996</v>
      </c>
      <c r="P192" s="14">
        <f t="shared" si="141"/>
        <v>74.342487867211162</v>
      </c>
      <c r="Q192" s="22">
        <f t="shared" si="162"/>
        <v>678.35911636872606</v>
      </c>
      <c r="R192" s="62">
        <f t="shared" si="109"/>
        <v>971.69244970205932</v>
      </c>
      <c r="S192" s="62">
        <f ca="1">AVERAGE(OFFSET($R$3,0,0,'Données projet'!$E$9+1,1))-AVERAGE(OFFSET($H$3,0,0,'Données projet'!$E$9+1,1))</f>
        <v>348.62416478262719</v>
      </c>
      <c r="T192" s="62">
        <f t="shared" si="142"/>
        <v>371.70674704563288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6.3343812697263733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1.0418988835454259E-18</v>
      </c>
      <c r="AC192" s="24">
        <f t="shared" si="163"/>
        <v>6.3343812697263733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526.99999999999989</v>
      </c>
      <c r="O193" s="14">
        <f>N193*VLOOKUP('Données projet'!$B$9,Paramètres!$A$1:$I$89,3,0)*VLOOKUP('Données projet'!$B$9,Paramètres!$A$1:$I$89,5,0)</f>
        <v>315.14599999999996</v>
      </c>
      <c r="P193" s="14">
        <f t="shared" si="141"/>
        <v>74.342487867211162</v>
      </c>
      <c r="Q193" s="22">
        <f t="shared" si="162"/>
        <v>678.35911636872606</v>
      </c>
      <c r="R193" s="62">
        <f t="shared" si="109"/>
        <v>971.69244970205932</v>
      </c>
      <c r="S193" s="62">
        <f ca="1">AVERAGE(OFFSET($R$3,0,0,'Données projet'!$E$9+1,1))-AVERAGE(OFFSET($H$3,0,0,'Données projet'!$E$9+1,1))</f>
        <v>348.62416478262719</v>
      </c>
      <c r="T193" s="62">
        <f t="shared" si="142"/>
        <v>371.70674704563288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6.2101679166181158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7.3673376586566363E-19</v>
      </c>
      <c r="AC193" s="24">
        <f t="shared" si="163"/>
        <v>6.2101679166181158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526.99999999999989</v>
      </c>
      <c r="O194" s="14">
        <f>N194*VLOOKUP('Données projet'!$B$9,Paramètres!$A$1:$I$89,3,0)*VLOOKUP('Données projet'!$B$9,Paramètres!$A$1:$I$89,5,0)</f>
        <v>315.14599999999996</v>
      </c>
      <c r="P194" s="14">
        <f t="shared" si="141"/>
        <v>74.342487867211162</v>
      </c>
      <c r="Q194" s="22">
        <f t="shared" si="162"/>
        <v>678.35911636872606</v>
      </c>
      <c r="R194" s="62">
        <f t="shared" si="109"/>
        <v>971.69244970205932</v>
      </c>
      <c r="S194" s="62">
        <f ca="1">AVERAGE(OFFSET($R$3,0,0,'Données projet'!$E$9+1,1))-AVERAGE(OFFSET($H$3,0,0,'Données projet'!$E$9+1,1))</f>
        <v>348.62416478262719</v>
      </c>
      <c r="T194" s="62">
        <f t="shared" si="142"/>
        <v>371.70674704563288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6.0883903116016471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5.2094944177271294E-19</v>
      </c>
      <c r="AC194" s="24">
        <f t="shared" si="163"/>
        <v>6.0883903116016471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526.99999999999989</v>
      </c>
      <c r="O195" s="14">
        <f>N195*VLOOKUP('Données projet'!$B$9,Paramètres!$A$1:$I$89,3,0)*VLOOKUP('Données projet'!$B$9,Paramètres!$A$1:$I$89,5,0)</f>
        <v>315.14599999999996</v>
      </c>
      <c r="P195" s="14">
        <f t="shared" si="141"/>
        <v>74.342487867211162</v>
      </c>
      <c r="Q195" s="22">
        <f t="shared" si="162"/>
        <v>678.35911636872606</v>
      </c>
      <c r="R195" s="62">
        <f t="shared" ref="R195:R203" si="191">Q195+(I195+J195)*44/12</f>
        <v>971.69244970205932</v>
      </c>
      <c r="S195" s="62">
        <f ca="1">AVERAGE(OFFSET($R$3,0,0,'Données projet'!$E$9+1,1))-AVERAGE(OFFSET($H$3,0,0,'Données projet'!$E$9+1,1))</f>
        <v>348.62416478262719</v>
      </c>
      <c r="T195" s="62">
        <f t="shared" si="142"/>
        <v>371.70674704563288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5.9690006911425462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3.6836688293283182E-19</v>
      </c>
      <c r="AC195" s="24">
        <f t="shared" si="163"/>
        <v>5.9690006911425462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526.99999999999989</v>
      </c>
      <c r="O196" s="14">
        <f>N196*VLOOKUP('Données projet'!$B$9,Paramètres!$A$1:$I$89,3,0)*VLOOKUP('Données projet'!$B$9,Paramètres!$A$1:$I$89,5,0)</f>
        <v>315.14599999999996</v>
      </c>
      <c r="P196" s="14">
        <f t="shared" si="141"/>
        <v>74.342487867211162</v>
      </c>
      <c r="Q196" s="22">
        <f t="shared" si="162"/>
        <v>678.35911636872606</v>
      </c>
      <c r="R196" s="62">
        <f t="shared" si="191"/>
        <v>971.69244970205932</v>
      </c>
      <c r="S196" s="62">
        <f ca="1">AVERAGE(OFFSET($R$3,0,0,'Données projet'!$E$9+1,1))-AVERAGE(OFFSET($H$3,0,0,'Données projet'!$E$9+1,1))</f>
        <v>348.62416478262719</v>
      </c>
      <c r="T196" s="62">
        <f t="shared" si="142"/>
        <v>371.70674704563288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5.8519522283201697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2.6047472088635647E-19</v>
      </c>
      <c r="AC196" s="24">
        <f t="shared" si="163"/>
        <v>5.8519522283201697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526.99999999999989</v>
      </c>
      <c r="O197" s="14">
        <f>N197*VLOOKUP('Données projet'!$B$9,Paramètres!$A$1:$I$89,3,0)*VLOOKUP('Données projet'!$B$9,Paramètres!$A$1:$I$89,5,0)</f>
        <v>315.14599999999996</v>
      </c>
      <c r="P197" s="14">
        <f t="shared" ref="P197:P203" si="203">EXP(-1.0587+0.8836*LN(O197)+0.284)</f>
        <v>74.342487867211162</v>
      </c>
      <c r="Q197" s="22">
        <f t="shared" si="162"/>
        <v>678.35911636872606</v>
      </c>
      <c r="R197" s="62">
        <f t="shared" si="191"/>
        <v>971.69244970205932</v>
      </c>
      <c r="S197" s="62">
        <f ca="1">AVERAGE(OFFSET($R$3,0,0,'Données projet'!$E$9+1,1))-AVERAGE(OFFSET($H$3,0,0,'Données projet'!$E$9+1,1))</f>
        <v>348.62416478262719</v>
      </c>
      <c r="T197" s="62">
        <f t="shared" ref="T197:T203" si="204">$T$3</f>
        <v>371.70674704563288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5.7371990144612273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1.8418344146641591E-19</v>
      </c>
      <c r="AC197" s="24">
        <f t="shared" si="163"/>
        <v>5.7371990144612273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526.99999999999989</v>
      </c>
      <c r="O198" s="14">
        <f>N198*VLOOKUP('Données projet'!$B$9,Paramètres!$A$1:$I$89,3,0)*VLOOKUP('Données projet'!$B$9,Paramètres!$A$1:$I$89,5,0)</f>
        <v>315.14599999999996</v>
      </c>
      <c r="P198" s="14">
        <f t="shared" si="203"/>
        <v>74.342487867211162</v>
      </c>
      <c r="Q198" s="22">
        <f t="shared" si="162"/>
        <v>678.35911636872606</v>
      </c>
      <c r="R198" s="62">
        <f t="shared" si="191"/>
        <v>971.69244970205932</v>
      </c>
      <c r="S198" s="62">
        <f ca="1">AVERAGE(OFFSET($R$3,0,0,'Données projet'!$E$9+1,1))-AVERAGE(OFFSET($H$3,0,0,'Données projet'!$E$9+1,1))</f>
        <v>348.62416478262719</v>
      </c>
      <c r="T198" s="62">
        <f t="shared" si="204"/>
        <v>371.70674704563288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5.6246960411335101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1.3023736044317823E-19</v>
      </c>
      <c r="AC198" s="24">
        <f t="shared" si="163"/>
        <v>5.6246960411335101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526.99999999999989</v>
      </c>
      <c r="O199" s="14">
        <f>N199*VLOOKUP('Données projet'!$B$9,Paramètres!$A$1:$I$89,3,0)*VLOOKUP('Données projet'!$B$9,Paramètres!$A$1:$I$89,5,0)</f>
        <v>315.14599999999996</v>
      </c>
      <c r="P199" s="14">
        <f t="shared" si="203"/>
        <v>74.342487867211162</v>
      </c>
      <c r="Q199" s="22">
        <f t="shared" si="162"/>
        <v>678.35911636872606</v>
      </c>
      <c r="R199" s="62">
        <f t="shared" si="191"/>
        <v>971.69244970205932</v>
      </c>
      <c r="S199" s="62">
        <f ca="1">AVERAGE(OFFSET($R$3,0,0,'Données projet'!$E$9+1,1))-AVERAGE(OFFSET($H$3,0,0,'Données projet'!$E$9+1,1))</f>
        <v>348.62416478262719</v>
      </c>
      <c r="T199" s="62">
        <f t="shared" si="204"/>
        <v>371.70674704563288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5.5143991824927108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9.2091720733207954E-20</v>
      </c>
      <c r="AC199" s="24">
        <f t="shared" si="163"/>
        <v>5.5143991824927108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526.99999999999989</v>
      </c>
      <c r="O200" s="14">
        <f>N200*VLOOKUP('Données projet'!$B$9,Paramètres!$A$1:$I$89,3,0)*VLOOKUP('Données projet'!$B$9,Paramètres!$A$1:$I$89,5,0)</f>
        <v>315.14599999999996</v>
      </c>
      <c r="P200" s="14">
        <f t="shared" si="203"/>
        <v>74.342487867211162</v>
      </c>
      <c r="Q200" s="22">
        <f t="shared" si="162"/>
        <v>678.35911636872606</v>
      </c>
      <c r="R200" s="62">
        <f t="shared" si="191"/>
        <v>971.69244970205932</v>
      </c>
      <c r="S200" s="62">
        <f ca="1">AVERAGE(OFFSET($R$3,0,0,'Données projet'!$E$9+1,1))-AVERAGE(OFFSET($H$3,0,0,'Données projet'!$E$9+1,1))</f>
        <v>348.62416478262719</v>
      </c>
      <c r="T200" s="62">
        <f t="shared" si="204"/>
        <v>371.70674704563288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5.4062651779754169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6.5118680221589117E-20</v>
      </c>
      <c r="AC200" s="24">
        <f t="shared" si="163"/>
        <v>5.4062651779754169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526.99999999999989</v>
      </c>
      <c r="O201" s="14">
        <f>N201*VLOOKUP('Données projet'!$B$9,Paramètres!$A$1:$I$89,3,0)*VLOOKUP('Données projet'!$B$9,Paramètres!$A$1:$I$89,5,0)</f>
        <v>315.14599999999996</v>
      </c>
      <c r="P201" s="14">
        <f t="shared" si="203"/>
        <v>74.342487867211162</v>
      </c>
      <c r="Q201" s="22">
        <f t="shared" si="162"/>
        <v>678.35911636872606</v>
      </c>
      <c r="R201" s="62">
        <f t="shared" si="191"/>
        <v>971.69244970205932</v>
      </c>
      <c r="S201" s="62">
        <f ca="1">AVERAGE(OFFSET($R$3,0,0,'Données projet'!$E$9+1,1))-AVERAGE(OFFSET($H$3,0,0,'Données projet'!$E$9+1,1))</f>
        <v>348.62416478262719</v>
      </c>
      <c r="T201" s="62">
        <f t="shared" si="204"/>
        <v>371.70674704563288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5.3002516153314767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4.6045860366603977E-20</v>
      </c>
      <c r="AC201" s="24">
        <f t="shared" si="163"/>
        <v>5.3002516153314767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526.99999999999989</v>
      </c>
      <c r="O202" s="14">
        <f>N202*VLOOKUP('Données projet'!$B$9,Paramètres!$A$1:$I$89,3,0)*VLOOKUP('Données projet'!$B$9,Paramètres!$A$1:$I$89,5,0)</f>
        <v>315.14599999999996</v>
      </c>
      <c r="P202" s="14">
        <f t="shared" si="203"/>
        <v>74.342487867211162</v>
      </c>
      <c r="Q202" s="22">
        <f t="shared" si="162"/>
        <v>678.35911636872606</v>
      </c>
      <c r="R202" s="62">
        <f t="shared" si="191"/>
        <v>971.69244970205932</v>
      </c>
      <c r="S202" s="62">
        <f ca="1">AVERAGE(OFFSET($R$3,0,0,'Données projet'!$E$9+1,1))-AVERAGE(OFFSET($H$3,0,0,'Données projet'!$E$9+1,1))</f>
        <v>348.62416478262719</v>
      </c>
      <c r="T202" s="62">
        <f t="shared" si="204"/>
        <v>371.70674704563288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5.1963169139890963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3.2559340110794559E-20</v>
      </c>
      <c r="AC202" s="24">
        <f t="shared" si="163"/>
        <v>5.1963169139890963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526.99999999999989</v>
      </c>
      <c r="O203" s="14">
        <f>N203*VLOOKUP('Données projet'!$B$9,Paramètres!$A$1:$I$89,3,0)*VLOOKUP('Données projet'!$B$9,Paramètres!$A$1:$I$89,5,0)</f>
        <v>315.14599999999996</v>
      </c>
      <c r="P203" s="14">
        <f t="shared" si="203"/>
        <v>74.342487867211162</v>
      </c>
      <c r="Q203" s="22">
        <f t="shared" si="162"/>
        <v>678.35911636872606</v>
      </c>
      <c r="R203" s="62">
        <f t="shared" si="191"/>
        <v>971.69244970205932</v>
      </c>
      <c r="S203" s="62">
        <f ca="1">AVERAGE(OFFSET($R$3,0,0,'Données projet'!$E$9+1,1))-AVERAGE(OFFSET($H$3,0,0,'Données projet'!$E$9+1,1))</f>
        <v>348.62416478262719</v>
      </c>
      <c r="T203" s="62">
        <f t="shared" si="204"/>
        <v>371.70674704563288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5.0944203087461313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2.3022930183301989E-20</v>
      </c>
      <c r="AC203" s="24">
        <f t="shared" si="163"/>
        <v>5.0944203087461313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1.3239616704988877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N31" sqref="N31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laricio</v>
      </c>
      <c r="B6" s="155">
        <f>'Données projet'!D9</f>
        <v>2.21</v>
      </c>
      <c r="C6" s="156">
        <f ca="1">IF(OR('Données projet'!B9="",'Données projet'!C9="",'Données projet'!C9=0%),0,Calculateur!S3)</f>
        <v>348.62416478262719</v>
      </c>
      <c r="D6" s="156">
        <f>IF(OR('Données projet'!B9="",'Données projet'!C9="",'Données projet'!C9=0%),0,Calculateur!T3)</f>
        <v>371.70674704563288</v>
      </c>
      <c r="E6" s="156">
        <f ca="1">MIN(C6,D6)</f>
        <v>348.62416478262719</v>
      </c>
      <c r="F6" s="156">
        <f ca="1">E6*B6</f>
        <v>770.45940416960605</v>
      </c>
      <c r="G6" s="156">
        <f ca="1">F6*(100%-'Données projet'!$C$24)*(100%-'Données projet'!$C$25)*(100%-'Données projet'!$C$26)*(100%-'Données projet'!$C$27)</f>
        <v>693.4134637526455</v>
      </c>
      <c r="H6" s="157">
        <f>IF(OR('Données projet'!B9="",'Données projet'!C9="",'Données projet'!C9=0%),0,AVERAGE(Calculateur!$AC$3:$AC$33)*B6)</f>
        <v>12.769952144932867</v>
      </c>
      <c r="I6" s="158">
        <f>H6*(100%-'Données projet'!$C$24)*(100%-'Données projet'!$C$25)*(100%-'Données projet'!$C$26)*(100%-'Données projet'!$C$27)</f>
        <v>11.492956930439581</v>
      </c>
      <c r="J6" s="159">
        <f>IF(OR('Données projet'!B9="",'Données projet'!C9="",'Données projet'!C9=0%),0,SUM(Calculateur!$V$3:$V$33)*VLOOKUP('Données projet'!$B$9,Paramètres!$A$1:$I$89,9,0)*B6)</f>
        <v>114.036</v>
      </c>
      <c r="K6" s="160">
        <f>J6*(100%-'Données projet'!$C$24)*(100%-'Données projet'!$C$25)*(100%-'Données projet'!$C$26)*(100%-'Données projet'!$C$27)</f>
        <v>102.6324</v>
      </c>
      <c r="L6" s="161">
        <f ca="1">G6+I6+K6</f>
        <v>807.53882068308508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770.45940416960605</v>
      </c>
      <c r="G16" s="175">
        <f t="shared" ca="1" si="3"/>
        <v>693.4134637526455</v>
      </c>
      <c r="H16" s="176">
        <f t="shared" si="3"/>
        <v>12.769952144932867</v>
      </c>
      <c r="I16" s="176">
        <f t="shared" si="3"/>
        <v>11.492956930439581</v>
      </c>
      <c r="J16" s="177">
        <f t="shared" si="3"/>
        <v>114.036</v>
      </c>
      <c r="K16" s="177">
        <f t="shared" si="3"/>
        <v>102.6324</v>
      </c>
      <c r="L16" s="178">
        <f t="shared" ca="1" si="3"/>
        <v>807.53882068308508</v>
      </c>
      <c r="M16" s="25">
        <f ca="1">(L16/B6)</f>
        <v>365.40218130456338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laricio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H10" zoomScale="90" zoomScaleNormal="90" workbookViewId="0">
      <selection activeCell="S36" sqref="S3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laricio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1957.4739812631574</v>
      </c>
      <c r="U10" s="190">
        <f>'Données projet'!D9</f>
        <v>2.21</v>
      </c>
      <c r="V10" s="189">
        <f>U10*T10</f>
        <v>4326.0174985915774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laricio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1</v>
      </c>
      <c r="I20" s="204">
        <v>3821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v>825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v>888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17</v>
      </c>
      <c r="B23" s="193">
        <f>'Données projet'!D36</f>
        <v>15</v>
      </c>
      <c r="C23" s="206">
        <v>5</v>
      </c>
      <c r="D23" s="194">
        <f>B23*C23</f>
        <v>75</v>
      </c>
      <c r="E23" s="206"/>
      <c r="F23" s="261"/>
      <c r="H23" s="203">
        <v>4</v>
      </c>
      <c r="I23" s="204">
        <v>982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-10416.367782893522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20</v>
      </c>
      <c r="B24" s="193">
        <f>'Données projet'!D37</f>
        <v>15</v>
      </c>
      <c r="C24" s="206">
        <v>8</v>
      </c>
      <c r="D24" s="194">
        <f t="shared" ref="D24:D42" si="2">B24*C24</f>
        <v>120</v>
      </c>
      <c r="E24" s="206"/>
      <c r="F24" s="264"/>
      <c r="H24" s="203">
        <v>5</v>
      </c>
      <c r="I24" s="204">
        <v>819</v>
      </c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36</v>
      </c>
      <c r="C25" s="206">
        <v>12</v>
      </c>
      <c r="D25" s="194">
        <f t="shared" si="2"/>
        <v>432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-10416.367782893522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54</v>
      </c>
      <c r="C26" s="206">
        <v>25</v>
      </c>
      <c r="D26" s="194">
        <f t="shared" si="2"/>
        <v>1350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35</v>
      </c>
      <c r="B27" s="193">
        <f>'Données projet'!D40</f>
        <v>52</v>
      </c>
      <c r="C27" s="206">
        <v>28</v>
      </c>
      <c r="D27" s="194">
        <f t="shared" si="2"/>
        <v>1456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40</v>
      </c>
      <c r="B28" s="193">
        <f>'Données projet'!D41</f>
        <v>48</v>
      </c>
      <c r="C28" s="206">
        <v>30</v>
      </c>
      <c r="D28" s="194">
        <f t="shared" si="2"/>
        <v>1440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45</v>
      </c>
      <c r="B29" s="193">
        <f>'Données projet'!D42</f>
        <v>57</v>
      </c>
      <c r="C29" s="206">
        <v>35</v>
      </c>
      <c r="D29" s="194">
        <f t="shared" si="2"/>
        <v>1995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50</v>
      </c>
      <c r="B30" s="193">
        <f>'Données projet'!D43</f>
        <v>47</v>
      </c>
      <c r="C30" s="206">
        <v>37</v>
      </c>
      <c r="D30" s="194">
        <f t="shared" si="2"/>
        <v>1739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55</v>
      </c>
      <c r="B31" s="193">
        <f>'Données projet'!D44</f>
        <v>48</v>
      </c>
      <c r="C31" s="206">
        <v>40</v>
      </c>
      <c r="D31" s="194">
        <f t="shared" si="2"/>
        <v>1920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60</v>
      </c>
      <c r="B32" s="193">
        <f>'Données projet'!D45</f>
        <v>32</v>
      </c>
      <c r="C32" s="206">
        <v>43</v>
      </c>
      <c r="D32" s="194">
        <f t="shared" si="2"/>
        <v>1376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65</v>
      </c>
      <c r="B33" s="193">
        <f>'Données projet'!D46</f>
        <v>28</v>
      </c>
      <c r="C33" s="206">
        <v>45</v>
      </c>
      <c r="D33" s="194">
        <f t="shared" si="2"/>
        <v>1260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str">
        <f>IF(O98+1&lt;=MIN('Données projet'!$E$9:$E$18),O98+1,"STOP")</f>
        <v>STOP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2023-05-30T09:22:59Z</dcterms:modified>
</cp:coreProperties>
</file>