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Forestarn\LACAUNE (81) - RICHARD COLLET\doc fin\"/>
    </mc:Choice>
  </mc:AlternateContent>
  <xr:revisionPtr revIDLastSave="0" documentId="13_ncr:1_{D4A9392B-21FC-4343-A271-92A9F21DA0D0}" xr6:coauthVersionLast="36" xr6:coauthVersionMax="36" xr10:uidLastSave="{00000000-0000-0000-0000-000000000000}"/>
  <bookViews>
    <workbookView xWindow="0" yWindow="0" windowWidth="23040" windowHeight="939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Q4" i="2" l="1"/>
  <c r="GL4" i="2"/>
  <c r="EC4" i="2"/>
  <c r="FR4" i="2"/>
  <c r="BR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EA6" i="2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B7" i="2" l="1"/>
  <c r="EW7" i="2"/>
  <c r="HI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X18" i="2"/>
  <c r="EW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G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G24" i="2" l="1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G28" i="2" l="1"/>
  <c r="EC28" i="2"/>
  <c r="HI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A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I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H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V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HG75" i="2"/>
  <c r="FS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W78" i="2"/>
  <c r="HI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EW98" i="2"/>
  <c r="HI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HH105" i="2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FS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HG113" i="2"/>
  <c r="EX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H120" i="2" l="1"/>
  <c r="FR120" i="2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HI122" i="2"/>
  <c r="HH122" i="2"/>
  <c r="FS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X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HG128" i="2"/>
  <c r="EV128" i="2"/>
  <c r="EX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HI130" i="2"/>
  <c r="EX130" i="2"/>
  <c r="HH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W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R140" i="2" l="1"/>
  <c r="EC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X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HH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FS150" i="2"/>
  <c r="EC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H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DH156" i="2"/>
  <c r="EB156" i="2"/>
  <c r="FS156" i="2"/>
  <c r="EX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EB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HG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EA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EB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V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FR164" i="2" l="1"/>
  <c r="EA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A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S167" i="2" l="1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HI168" i="2"/>
  <c r="HH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B185" i="2" l="1"/>
  <c r="HH185" i="2"/>
  <c r="HI185" i="2"/>
  <c r="HG185" i="2"/>
  <c r="EA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C187" i="2" l="1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H190" i="2" l="1"/>
  <c r="EW190" i="2"/>
  <c r="EB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W192" i="2"/>
  <c r="EC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FQ195" i="2"/>
  <c r="EB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W199" i="2"/>
  <c r="FS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FS201" i="2" l="1"/>
  <c r="HH201" i="2"/>
  <c r="EB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FR202" i="2"/>
  <c r="HI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65" i="2" a="1"/>
  <c r="BC65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52" i="2" a="1"/>
  <c r="CS52" i="2" s="1"/>
  <c r="CS129" i="2" a="1"/>
  <c r="CS129" i="2" s="1"/>
  <c r="DN152" i="2" a="1"/>
  <c r="DN152" i="2" s="1"/>
  <c r="DN66" i="2" a="1"/>
  <c r="DN66" i="2" s="1"/>
  <c r="CS116" i="2" a="1"/>
  <c r="CS116" i="2" s="1"/>
  <c r="EI195" i="2" a="1"/>
  <c r="EI195" i="2" s="1"/>
  <c r="CS137" i="2" a="1"/>
  <c r="CS137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7" i="2" a="1"/>
  <c r="BC7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CS56" i="2" a="1"/>
  <c r="CS56" i="2" s="1"/>
  <c r="CS114" i="2" a="1"/>
  <c r="CS114" i="2" s="1"/>
  <c r="DN31" i="2" a="1"/>
  <c r="DN31" i="2" s="1"/>
  <c r="DN70" i="2" a="1"/>
  <c r="DN70" i="2" s="1"/>
  <c r="DN6" i="2" a="1"/>
  <c r="DN6" i="2" s="1"/>
  <c r="DO6" i="2" s="1"/>
  <c r="CS24" i="2" a="1"/>
  <c r="CS24" i="2" s="1"/>
  <c r="CS134" i="2" a="1"/>
  <c r="CS134" i="2" s="1"/>
  <c r="CS72" i="2" a="1"/>
  <c r="CS72" i="2" s="1"/>
  <c r="BX107" i="2" a="1"/>
  <c r="BX107" i="2" s="1"/>
  <c r="FD82" i="2" a="1"/>
  <c r="FD82" i="2" s="1"/>
  <c r="HJ202" i="2"/>
  <c r="EY202" i="2"/>
  <c r="AX200" i="2"/>
  <c r="BC32" i="2" l="1" a="1"/>
  <c r="BC32" i="2" s="1"/>
  <c r="BC130" i="2" a="1"/>
  <c r="BC130" i="2" s="1"/>
  <c r="BC181" i="2" a="1"/>
  <c r="BC181" i="2" s="1"/>
  <c r="BC34" i="2" a="1"/>
  <c r="BC34" i="2" s="1"/>
  <c r="BC18" i="2" a="1"/>
  <c r="BC18" i="2" s="1"/>
  <c r="BC151" i="2" a="1"/>
  <c r="BC151" i="2" s="1"/>
  <c r="AH92" i="2" a="1"/>
  <c r="AH92" i="2" s="1"/>
  <c r="AH163" i="2" a="1"/>
  <c r="AH163" i="2" s="1"/>
  <c r="AH62" i="2" a="1"/>
  <c r="AH62" i="2" s="1"/>
  <c r="AH166" i="2" a="1"/>
  <c r="AH166" i="2" s="1"/>
  <c r="AH19" i="2" a="1"/>
  <c r="AH19" i="2" s="1"/>
  <c r="AH90" i="2" a="1"/>
  <c r="AH90" i="2" s="1"/>
  <c r="AH199" i="2" a="1"/>
  <c r="AH199" i="2" s="1"/>
  <c r="AH151" i="2" a="1"/>
  <c r="AH151" i="2" s="1"/>
  <c r="BC31" i="2" a="1"/>
  <c r="BC31" i="2" s="1"/>
  <c r="BC84" i="2" a="1"/>
  <c r="BC84" i="2" s="1"/>
  <c r="BC164" i="2" a="1"/>
  <c r="BC164" i="2" s="1"/>
  <c r="BC38" i="2" a="1"/>
  <c r="BC38" i="2" s="1"/>
  <c r="BC114" i="2" a="1"/>
  <c r="BC114" i="2" s="1"/>
  <c r="BC83" i="2" a="1"/>
  <c r="BC83" i="2" s="1"/>
  <c r="BC47" i="2" a="1"/>
  <c r="BC47" i="2" s="1"/>
  <c r="BC185" i="2" a="1"/>
  <c r="BC185" i="2" s="1"/>
  <c r="BC143" i="2" a="1"/>
  <c r="BC143" i="2" s="1"/>
  <c r="BC126" i="2" a="1"/>
  <c r="BC126" i="2" s="1"/>
  <c r="BC82" i="2" a="1"/>
  <c r="BC82" i="2" s="1"/>
  <c r="BC68" i="2" a="1"/>
  <c r="BC68" i="2" s="1"/>
  <c r="BC58" i="2" a="1"/>
  <c r="BC58" i="2" s="1"/>
  <c r="BC192" i="2" a="1"/>
  <c r="BC192" i="2" s="1"/>
  <c r="BC55" i="2" a="1"/>
  <c r="BC55" i="2" s="1"/>
  <c r="BC117" i="2" a="1"/>
  <c r="BC117" i="2" s="1"/>
  <c r="BP203" i="2"/>
  <c r="DN167" i="2" a="1"/>
  <c r="DN167" i="2" s="1"/>
  <c r="DN188" i="2" a="1"/>
  <c r="DN188" i="2" s="1"/>
  <c r="DN29" i="2" a="1"/>
  <c r="DN29" i="2" s="1"/>
  <c r="DN86" i="2" a="1"/>
  <c r="DN86" i="2" s="1"/>
  <c r="DN41" i="2" a="1"/>
  <c r="DN41" i="2" s="1"/>
  <c r="DN16" i="2" a="1"/>
  <c r="DN16" i="2" s="1"/>
  <c r="DN114" i="2" a="1"/>
  <c r="DN114" i="2" s="1"/>
  <c r="DN177" i="2" a="1"/>
  <c r="DN177" i="2" s="1"/>
  <c r="DN43" i="2" a="1"/>
  <c r="DN43" i="2" s="1"/>
  <c r="DN46" i="2" a="1"/>
  <c r="DN46" i="2" s="1"/>
  <c r="DN49" i="2" a="1"/>
  <c r="DN49" i="2" s="1"/>
  <c r="DN103" i="2" a="1"/>
  <c r="DN103" i="2" s="1"/>
  <c r="DN115" i="2" a="1"/>
  <c r="DN115" i="2" s="1"/>
  <c r="DN186" i="2" a="1"/>
  <c r="DN186" i="2" s="1"/>
  <c r="DN176" i="2" a="1"/>
  <c r="DN176" i="2" s="1"/>
  <c r="DN153" i="2" a="1"/>
  <c r="DN153" i="2" s="1"/>
  <c r="DN137" i="2" a="1"/>
  <c r="DN137" i="2" s="1"/>
  <c r="DN164" i="2" a="1"/>
  <c r="DN164" i="2" s="1"/>
  <c r="DN190" i="2" a="1"/>
  <c r="DN190" i="2" s="1"/>
  <c r="DN135" i="2" a="1"/>
  <c r="DN135" i="2" s="1"/>
  <c r="DN170" i="2" a="1"/>
  <c r="DN170" i="2" s="1"/>
  <c r="DN30" i="2" a="1"/>
  <c r="DN30" i="2" s="1"/>
  <c r="DN187" i="2" a="1"/>
  <c r="DN187" i="2" s="1"/>
  <c r="DN133" i="2" a="1"/>
  <c r="DN133" i="2" s="1"/>
  <c r="DN38" i="2" a="1"/>
  <c r="DN38" i="2" s="1"/>
  <c r="DN123" i="2" a="1"/>
  <c r="DN123" i="2" s="1"/>
  <c r="DN129" i="2" a="1"/>
  <c r="DN129" i="2" s="1"/>
  <c r="DN65" i="2" a="1"/>
  <c r="DN65" i="2" s="1"/>
  <c r="DN50" i="2" a="1"/>
  <c r="DN50" i="2" s="1"/>
  <c r="DN124" i="2" a="1"/>
  <c r="DN124" i="2" s="1"/>
  <c r="FS203" i="2"/>
  <c r="DN63" i="2" a="1"/>
  <c r="DN63" i="2" s="1"/>
  <c r="DN113" i="2" a="1"/>
  <c r="DN113" i="2" s="1"/>
  <c r="DN132" i="2" a="1"/>
  <c r="DN132" i="2" s="1"/>
  <c r="DN162" i="2" a="1"/>
  <c r="DN162" i="2" s="1"/>
  <c r="DN45" i="2" a="1"/>
  <c r="DN45" i="2" s="1"/>
  <c r="DN55" i="2" a="1"/>
  <c r="DN55" i="2" s="1"/>
  <c r="DN80" i="2" a="1"/>
  <c r="DN80" i="2" s="1"/>
  <c r="DN150" i="2" a="1"/>
  <c r="DN150" i="2" s="1"/>
  <c r="DN25" i="2" a="1"/>
  <c r="DN25" i="2" s="1"/>
  <c r="DN155" i="2" a="1"/>
  <c r="DN155" i="2" s="1"/>
  <c r="DN56" i="2" a="1"/>
  <c r="DN56" i="2" s="1"/>
  <c r="DN110" i="2" a="1"/>
  <c r="DN110" i="2" s="1"/>
  <c r="DN192" i="2" a="1"/>
  <c r="DN192" i="2" s="1"/>
  <c r="DN184" i="2" a="1"/>
  <c r="DN184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N203" i="2" s="1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<sst xmlns="http://schemas.openxmlformats.org/spreadsheetml/2006/main" count="1172" uniqueCount="324">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</sst>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138.47942045752964</c:v>
                </c:pt>
                <c:pt idx="22">
                  <c:v>147.86008251943289</c:v>
                </c:pt>
                <c:pt idx="23">
                  <c:v>157.226536630081</c:v>
                </c:pt>
                <c:pt idx="24">
                  <c:v>166.57974956981323</c:v>
                </c:pt>
                <c:pt idx="25">
                  <c:v>175.92057051227536</c:v>
                </c:pt>
                <c:pt idx="26">
                  <c:v>185.24975095506514</c:v>
                </c:pt>
                <c:pt idx="27">
                  <c:v>194.5679604172725</c:v>
                </c:pt>
                <c:pt idx="28">
                  <c:v>203.87579896697574</c:v>
                </c:pt>
                <c:pt idx="29">
                  <c:v>213.17380733743661</c:v>
                </c:pt>
                <c:pt idx="30">
                  <c:v>222.46247518327687</c:v>
                </c:pt>
                <c:pt idx="31">
                  <c:v>171.86081644124252</c:v>
                </c:pt>
                <c:pt idx="32">
                  <c:v>182.00609551607806</c:v>
                </c:pt>
                <c:pt idx="33">
                  <c:v>192.13814620457819</c:v>
                </c:pt>
                <c:pt idx="34">
                  <c:v>202.25776507632224</c:v>
                </c:pt>
                <c:pt idx="35">
                  <c:v>212.36566238676039</c:v>
                </c:pt>
                <c:pt idx="36">
                  <c:v>222.46247518327687</c:v>
                </c:pt>
                <c:pt idx="37">
                  <c:v>232.54877790391356</c:v>
                </c:pt>
                <c:pt idx="38">
                  <c:v>242.625091038666</c:v>
                </c:pt>
                <c:pt idx="39">
                  <c:v>252.69188827494608</c:v>
                </c:pt>
                <c:pt idx="40">
                  <c:v>262.74960244358516</c:v>
                </c:pt>
                <c:pt idx="41">
                  <c:v>203.77468058377053</c:v>
                </c:pt>
                <c:pt idx="42">
                  <c:v>215.39584283593396</c:v>
                </c:pt>
                <c:pt idx="43">
                  <c:v>227.0025797348942</c:v>
                </c:pt>
                <c:pt idx="44">
                  <c:v>238.59573324490518</c:v>
                </c:pt>
                <c:pt idx="45">
                  <c:v>250.17605676255928</c:v>
                </c:pt>
                <c:pt idx="46">
                  <c:v>261.74422819048414</c:v>
                </c:pt>
                <c:pt idx="47">
                  <c:v>273.30086057644468</c:v>
                </c:pt>
                <c:pt idx="48">
                  <c:v>284.84651085713051</c:v>
                </c:pt>
                <c:pt idx="49">
                  <c:v>296.38168710899464</c:v>
                </c:pt>
                <c:pt idx="50">
                  <c:v>307.90685461043853</c:v>
                </c:pt>
                <c:pt idx="51">
                  <c:v>220.94863667100961</c:v>
                </c:pt>
                <c:pt idx="52">
                  <c:v>234.56482390663419</c:v>
                </c:pt>
                <c:pt idx="53">
                  <c:v>248.16297855306274</c:v>
                </c:pt>
                <c:pt idx="54">
                  <c:v>261.74422819048414</c:v>
                </c:pt>
                <c:pt idx="55">
                  <c:v>275.30957376859936</c:v>
                </c:pt>
                <c:pt idx="56">
                  <c:v>288.85990949975189</c:v>
                </c:pt>
                <c:pt idx="57">
                  <c:v>302.39603882080934</c:v>
                </c:pt>
                <c:pt idx="58">
                  <c:v>315.91868734548348</c:v>
                </c:pt>
                <c:pt idx="59">
                  <c:v>329.42851348169211</c:v>
                </c:pt>
                <c:pt idx="60">
                  <c:v>342.92611721533916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900528"/>
        <c:axId val="1927903248"/>
      </c:scatterChart>
      <c:valAx>
        <c:axId val="19279005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903248"/>
        <c:crosses val="autoZero"/>
        <c:crossBetween val="midCat"/>
      </c:valAx>
      <c:valAx>
        <c:axId val="1927903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9005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53504"/>
        <c:axId val="27528480"/>
      </c:scatterChart>
      <c:valAx>
        <c:axId val="27553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28480"/>
        <c:crosses val="autoZero"/>
        <c:crossBetween val="midCat"/>
      </c:valAx>
      <c:valAx>
        <c:axId val="27528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3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1.982352863799117</c:v>
                </c:pt>
                <c:pt idx="2">
                  <c:v>2.7041057308945007</c:v>
                </c:pt>
                <c:pt idx="3">
                  <c:v>3.6897598621626138</c:v>
                </c:pt>
                <c:pt idx="4">
                  <c:v>5.0361933713659557</c:v>
                </c:pt>
                <c:pt idx="5">
                  <c:v>6.8759805040375204</c:v>
                </c:pt>
                <c:pt idx="6">
                  <c:v>9.3905895478669326</c:v>
                </c:pt>
                <c:pt idx="7">
                  <c:v>12.828475768451668</c:v>
                </c:pt>
                <c:pt idx="8">
                  <c:v>17.529890118883106</c:v>
                </c:pt>
                <c:pt idx="9">
                  <c:v>23.960903477957146</c:v>
                </c:pt>
                <c:pt idx="10">
                  <c:v>32.760078992205301</c:v>
                </c:pt>
                <c:pt idx="11">
                  <c:v>44.802506807548788</c:v>
                </c:pt>
                <c:pt idx="12">
                  <c:v>61.287676834867518</c:v>
                </c:pt>
                <c:pt idx="13">
                  <c:v>83.860086052946073</c:v>
                </c:pt>
                <c:pt idx="14">
                  <c:v>114.7748046235494</c:v>
                </c:pt>
                <c:pt idx="15">
                  <c:v>157.12480016409424</c:v>
                </c:pt>
                <c:pt idx="16">
                  <c:v>184.29256128746965</c:v>
                </c:pt>
                <c:pt idx="17">
                  <c:v>211.36660740261004</c:v>
                </c:pt>
                <c:pt idx="18">
                  <c:v>238.36063977122194</c:v>
                </c:pt>
                <c:pt idx="19">
                  <c:v>265.2849948651608</c:v>
                </c:pt>
                <c:pt idx="20">
                  <c:v>292.14773647529722</c:v>
                </c:pt>
                <c:pt idx="21">
                  <c:v>324.21508944014391</c:v>
                </c:pt>
                <c:pt idx="22">
                  <c:v>356.21233858420231</c:v>
                </c:pt>
                <c:pt idx="23">
                  <c:v>388.14665972088761</c:v>
                </c:pt>
                <c:pt idx="24">
                  <c:v>420.02395175079954</c:v>
                </c:pt>
                <c:pt idx="25">
                  <c:v>451.84914558797823</c:v>
                </c:pt>
                <c:pt idx="26">
                  <c:v>458.49300619252995</c:v>
                </c:pt>
                <c:pt idx="27">
                  <c:v>490.02383273307811</c:v>
                </c:pt>
                <c:pt idx="28">
                  <c:v>521.51163942471965</c:v>
                </c:pt>
                <c:pt idx="29">
                  <c:v>552.95938498824523</c:v>
                </c:pt>
                <c:pt idx="30">
                  <c:v>584.369664578075</c:v>
                </c:pt>
                <c:pt idx="31">
                  <c:v>556.73999981392387</c:v>
                </c:pt>
                <c:pt idx="32">
                  <c:v>585.7858243463188</c:v>
                </c:pt>
                <c:pt idx="33">
                  <c:v>614.8016526190205</c:v>
                </c:pt>
                <c:pt idx="34">
                  <c:v>643.78909731180499</c:v>
                </c:pt>
                <c:pt idx="35">
                  <c:v>672.74961423997343</c:v>
                </c:pt>
                <c:pt idx="36">
                  <c:v>626.58850499642801</c:v>
                </c:pt>
                <c:pt idx="37">
                  <c:v>652.26807215377346</c:v>
                </c:pt>
                <c:pt idx="38">
                  <c:v>677.92680823930084</c:v>
                </c:pt>
                <c:pt idx="39">
                  <c:v>703.56561153811811</c:v>
                </c:pt>
                <c:pt idx="40">
                  <c:v>729.18530961737713</c:v>
                </c:pt>
                <c:pt idx="41">
                  <c:v>677.22087519835191</c:v>
                </c:pt>
                <c:pt idx="42">
                  <c:v>700.50879164342575</c:v>
                </c:pt>
                <c:pt idx="43">
                  <c:v>723.78086979282034</c:v>
                </c:pt>
                <c:pt idx="44">
                  <c:v>747.03768992547487</c:v>
                </c:pt>
                <c:pt idx="45">
                  <c:v>770.27979329125412</c:v>
                </c:pt>
                <c:pt idx="46">
                  <c:v>709.44334887873481</c:v>
                </c:pt>
                <c:pt idx="47">
                  <c:v>730.82997676459456</c:v>
                </c:pt>
                <c:pt idx="48">
                  <c:v>752.20385526189159</c:v>
                </c:pt>
                <c:pt idx="49">
                  <c:v>773.56539720897001</c:v>
                </c:pt>
                <c:pt idx="50">
                  <c:v>794.91499081298514</c:v>
                </c:pt>
                <c:pt idx="51">
                  <c:v>729.18530961737713</c:v>
                </c:pt>
                <c:pt idx="52">
                  <c:v>749.15120869876137</c:v>
                </c:pt>
                <c:pt idx="53">
                  <c:v>769.10629453334388</c:v>
                </c:pt>
                <c:pt idx="54">
                  <c:v>789.05088686316742</c:v>
                </c:pt>
                <c:pt idx="55">
                  <c:v>808.98528796749042</c:v>
                </c:pt>
                <c:pt idx="56">
                  <c:v>748.91637927235524</c:v>
                </c:pt>
                <c:pt idx="57">
                  <c:v>767.46333526620492</c:v>
                </c:pt>
                <c:pt idx="58">
                  <c:v>786.00120491902635</c:v>
                </c:pt>
                <c:pt idx="59">
                  <c:v>804.53023248127863</c:v>
                </c:pt>
                <c:pt idx="60">
                  <c:v>823.05065004816288</c:v>
                </c:pt>
                <c:pt idx="61">
                  <c:v>768.87159042722215</c:v>
                </c:pt>
                <c:pt idx="62">
                  <c:v>786.23580432399649</c:v>
                </c:pt>
                <c:pt idx="63">
                  <c:v>803.59226271431351</c:v>
                </c:pt>
                <c:pt idx="64">
                  <c:v>820.9411565268183</c:v>
                </c:pt>
                <c:pt idx="65">
                  <c:v>838.28266797111394</c:v>
                </c:pt>
                <c:pt idx="66">
                  <c:v>774.97342653537532</c:v>
                </c:pt>
                <c:pt idx="67">
                  <c:v>774.97342653537532</c:v>
                </c:pt>
                <c:pt idx="68">
                  <c:v>774.97342653537532</c:v>
                </c:pt>
                <c:pt idx="69">
                  <c:v>774.97342653537532</c:v>
                </c:pt>
                <c:pt idx="70">
                  <c:v>774.97342653537532</c:v>
                </c:pt>
                <c:pt idx="71">
                  <c:v>774.97342653537532</c:v>
                </c:pt>
                <c:pt idx="72">
                  <c:v>774.97342653537532</c:v>
                </c:pt>
                <c:pt idx="73">
                  <c:v>774.97342653537532</c:v>
                </c:pt>
                <c:pt idx="74">
                  <c:v>774.97342653537532</c:v>
                </c:pt>
                <c:pt idx="75">
                  <c:v>774.97342653537532</c:v>
                </c:pt>
                <c:pt idx="76">
                  <c:v>774.97342653537532</c:v>
                </c:pt>
                <c:pt idx="77">
                  <c:v>774.97342653537532</c:v>
                </c:pt>
                <c:pt idx="78">
                  <c:v>774.97342653537532</c:v>
                </c:pt>
                <c:pt idx="79">
                  <c:v>774.97342653537532</c:v>
                </c:pt>
                <c:pt idx="80">
                  <c:v>774.97342653537532</c:v>
                </c:pt>
                <c:pt idx="81">
                  <c:v>774.97342653537532</c:v>
                </c:pt>
                <c:pt idx="82">
                  <c:v>774.97342653537532</c:v>
                </c:pt>
                <c:pt idx="83">
                  <c:v>774.97342653537532</c:v>
                </c:pt>
                <c:pt idx="84">
                  <c:v>774.97342653537532</c:v>
                </c:pt>
                <c:pt idx="85">
                  <c:v>774.97342653537532</c:v>
                </c:pt>
                <c:pt idx="86">
                  <c:v>774.97342653537532</c:v>
                </c:pt>
                <c:pt idx="87">
                  <c:v>774.97342653537532</c:v>
                </c:pt>
                <c:pt idx="88">
                  <c:v>774.97342653537532</c:v>
                </c:pt>
                <c:pt idx="89">
                  <c:v>774.97342653537532</c:v>
                </c:pt>
                <c:pt idx="90">
                  <c:v>774.97342653537532</c:v>
                </c:pt>
                <c:pt idx="91">
                  <c:v>774.97342653537532</c:v>
                </c:pt>
                <c:pt idx="92">
                  <c:v>774.97342653537532</c:v>
                </c:pt>
                <c:pt idx="93">
                  <c:v>774.97342653537532</c:v>
                </c:pt>
                <c:pt idx="94">
                  <c:v>774.97342653537532</c:v>
                </c:pt>
                <c:pt idx="95">
                  <c:v>774.97342653537532</c:v>
                </c:pt>
                <c:pt idx="96">
                  <c:v>774.97342653537532</c:v>
                </c:pt>
                <c:pt idx="97">
                  <c:v>774.97342653537532</c:v>
                </c:pt>
                <c:pt idx="98">
                  <c:v>774.97342653537532</c:v>
                </c:pt>
                <c:pt idx="99">
                  <c:v>774.97342653537532</c:v>
                </c:pt>
                <c:pt idx="100">
                  <c:v>774.97342653537532</c:v>
                </c:pt>
                <c:pt idx="101">
                  <c:v>774.97342653537532</c:v>
                </c:pt>
                <c:pt idx="102">
                  <c:v>774.97342653537532</c:v>
                </c:pt>
                <c:pt idx="103">
                  <c:v>774.97342653537532</c:v>
                </c:pt>
                <c:pt idx="104">
                  <c:v>774.97342653537532</c:v>
                </c:pt>
                <c:pt idx="105">
                  <c:v>774.97342653537532</c:v>
                </c:pt>
                <c:pt idx="106">
                  <c:v>774.97342653537532</c:v>
                </c:pt>
                <c:pt idx="107">
                  <c:v>774.97342653537532</c:v>
                </c:pt>
                <c:pt idx="108">
                  <c:v>774.97342653537532</c:v>
                </c:pt>
                <c:pt idx="109">
                  <c:v>774.97342653537532</c:v>
                </c:pt>
                <c:pt idx="110">
                  <c:v>774.97342653537532</c:v>
                </c:pt>
                <c:pt idx="111">
                  <c:v>774.97342653537532</c:v>
                </c:pt>
                <c:pt idx="112">
                  <c:v>774.97342653537532</c:v>
                </c:pt>
                <c:pt idx="113">
                  <c:v>774.97342653537532</c:v>
                </c:pt>
                <c:pt idx="114">
                  <c:v>774.97342653537532</c:v>
                </c:pt>
                <c:pt idx="115">
                  <c:v>774.97342653537532</c:v>
                </c:pt>
                <c:pt idx="116">
                  <c:v>774.97342653537532</c:v>
                </c:pt>
                <c:pt idx="117">
                  <c:v>774.97342653537532</c:v>
                </c:pt>
                <c:pt idx="118">
                  <c:v>774.97342653537532</c:v>
                </c:pt>
                <c:pt idx="119">
                  <c:v>774.97342653537532</c:v>
                </c:pt>
                <c:pt idx="120">
                  <c:v>774.97342653537532</c:v>
                </c:pt>
                <c:pt idx="121">
                  <c:v>774.97342653537532</c:v>
                </c:pt>
                <c:pt idx="122">
                  <c:v>774.97342653537532</c:v>
                </c:pt>
                <c:pt idx="123">
                  <c:v>774.97342653537532</c:v>
                </c:pt>
                <c:pt idx="124">
                  <c:v>774.97342653537532</c:v>
                </c:pt>
                <c:pt idx="125">
                  <c:v>774.97342653537532</c:v>
                </c:pt>
                <c:pt idx="126">
                  <c:v>774.97342653537532</c:v>
                </c:pt>
                <c:pt idx="127">
                  <c:v>774.97342653537532</c:v>
                </c:pt>
                <c:pt idx="128">
                  <c:v>774.97342653537532</c:v>
                </c:pt>
                <c:pt idx="129">
                  <c:v>774.97342653537532</c:v>
                </c:pt>
                <c:pt idx="130">
                  <c:v>774.97342653537532</c:v>
                </c:pt>
                <c:pt idx="131">
                  <c:v>774.97342653537532</c:v>
                </c:pt>
                <c:pt idx="132">
                  <c:v>774.97342653537532</c:v>
                </c:pt>
                <c:pt idx="133">
                  <c:v>774.97342653537532</c:v>
                </c:pt>
                <c:pt idx="134">
                  <c:v>774.97342653537532</c:v>
                </c:pt>
                <c:pt idx="135">
                  <c:v>774.97342653537532</c:v>
                </c:pt>
                <c:pt idx="136">
                  <c:v>774.97342653537532</c:v>
                </c:pt>
                <c:pt idx="137">
                  <c:v>774.97342653537532</c:v>
                </c:pt>
                <c:pt idx="138">
                  <c:v>774.97342653537532</c:v>
                </c:pt>
                <c:pt idx="139">
                  <c:v>774.97342653537532</c:v>
                </c:pt>
                <c:pt idx="140">
                  <c:v>774.97342653537532</c:v>
                </c:pt>
                <c:pt idx="141">
                  <c:v>774.97342653537532</c:v>
                </c:pt>
                <c:pt idx="142">
                  <c:v>774.97342653537532</c:v>
                </c:pt>
                <c:pt idx="143">
                  <c:v>774.97342653537532</c:v>
                </c:pt>
                <c:pt idx="144">
                  <c:v>774.97342653537532</c:v>
                </c:pt>
                <c:pt idx="145">
                  <c:v>774.97342653537532</c:v>
                </c:pt>
                <c:pt idx="146">
                  <c:v>774.97342653537532</c:v>
                </c:pt>
                <c:pt idx="147">
                  <c:v>774.97342653537532</c:v>
                </c:pt>
                <c:pt idx="148">
                  <c:v>774.97342653537532</c:v>
                </c:pt>
                <c:pt idx="149">
                  <c:v>774.97342653537532</c:v>
                </c:pt>
                <c:pt idx="150">
                  <c:v>774.97342653537532</c:v>
                </c:pt>
                <c:pt idx="151">
                  <c:v>774.97342653537532</c:v>
                </c:pt>
                <c:pt idx="152">
                  <c:v>774.97342653537532</c:v>
                </c:pt>
                <c:pt idx="153">
                  <c:v>774.97342653537532</c:v>
                </c:pt>
                <c:pt idx="154">
                  <c:v>774.97342653537532</c:v>
                </c:pt>
                <c:pt idx="155">
                  <c:v>774.97342653537532</c:v>
                </c:pt>
                <c:pt idx="156">
                  <c:v>774.97342653537532</c:v>
                </c:pt>
                <c:pt idx="157">
                  <c:v>774.97342653537532</c:v>
                </c:pt>
                <c:pt idx="158">
                  <c:v>774.97342653537532</c:v>
                </c:pt>
                <c:pt idx="159">
                  <c:v>774.97342653537532</c:v>
                </c:pt>
                <c:pt idx="160">
                  <c:v>774.97342653537532</c:v>
                </c:pt>
                <c:pt idx="161">
                  <c:v>774.97342653537532</c:v>
                </c:pt>
                <c:pt idx="162">
                  <c:v>774.97342653537532</c:v>
                </c:pt>
                <c:pt idx="163">
                  <c:v>774.97342653537532</c:v>
                </c:pt>
                <c:pt idx="164">
                  <c:v>774.97342653537532</c:v>
                </c:pt>
                <c:pt idx="165">
                  <c:v>774.97342653537532</c:v>
                </c:pt>
                <c:pt idx="166">
                  <c:v>774.97342653537532</c:v>
                </c:pt>
                <c:pt idx="167">
                  <c:v>774.97342653537532</c:v>
                </c:pt>
                <c:pt idx="168">
                  <c:v>774.97342653537532</c:v>
                </c:pt>
                <c:pt idx="169">
                  <c:v>774.97342653537532</c:v>
                </c:pt>
                <c:pt idx="170">
                  <c:v>774.97342653537532</c:v>
                </c:pt>
                <c:pt idx="171">
                  <c:v>774.97342653537532</c:v>
                </c:pt>
                <c:pt idx="172">
                  <c:v>774.97342653537532</c:v>
                </c:pt>
                <c:pt idx="173">
                  <c:v>774.97342653537532</c:v>
                </c:pt>
                <c:pt idx="174">
                  <c:v>774.97342653537532</c:v>
                </c:pt>
                <c:pt idx="175">
                  <c:v>774.97342653537532</c:v>
                </c:pt>
                <c:pt idx="176">
                  <c:v>774.97342653537532</c:v>
                </c:pt>
                <c:pt idx="177">
                  <c:v>774.97342653537532</c:v>
                </c:pt>
                <c:pt idx="178">
                  <c:v>774.97342653537532</c:v>
                </c:pt>
                <c:pt idx="179">
                  <c:v>774.97342653537532</c:v>
                </c:pt>
                <c:pt idx="180">
                  <c:v>774.97342653537532</c:v>
                </c:pt>
                <c:pt idx="181">
                  <c:v>774.97342653537532</c:v>
                </c:pt>
                <c:pt idx="182">
                  <c:v>774.97342653537532</c:v>
                </c:pt>
                <c:pt idx="183">
                  <c:v>774.97342653537532</c:v>
                </c:pt>
                <c:pt idx="184">
                  <c:v>774.97342653537532</c:v>
                </c:pt>
                <c:pt idx="185">
                  <c:v>774.97342653537532</c:v>
                </c:pt>
                <c:pt idx="186">
                  <c:v>774.97342653537532</c:v>
                </c:pt>
                <c:pt idx="187">
                  <c:v>774.97342653537532</c:v>
                </c:pt>
                <c:pt idx="188">
                  <c:v>774.97342653537532</c:v>
                </c:pt>
                <c:pt idx="189">
                  <c:v>774.97342653537532</c:v>
                </c:pt>
                <c:pt idx="190">
                  <c:v>774.97342653537532</c:v>
                </c:pt>
                <c:pt idx="191">
                  <c:v>774.97342653537532</c:v>
                </c:pt>
                <c:pt idx="192">
                  <c:v>774.97342653537532</c:v>
                </c:pt>
                <c:pt idx="193">
                  <c:v>774.97342653537532</c:v>
                </c:pt>
                <c:pt idx="194">
                  <c:v>774.97342653537532</c:v>
                </c:pt>
                <c:pt idx="195">
                  <c:v>774.97342653537532</c:v>
                </c:pt>
                <c:pt idx="196">
                  <c:v>774.97342653537532</c:v>
                </c:pt>
                <c:pt idx="197">
                  <c:v>774.97342653537532</c:v>
                </c:pt>
                <c:pt idx="198">
                  <c:v>774.97342653537532</c:v>
                </c:pt>
                <c:pt idx="199">
                  <c:v>774.97342653537532</c:v>
                </c:pt>
                <c:pt idx="200">
                  <c:v>774.97342653537532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891280"/>
        <c:axId val="1927892912"/>
      </c:scatterChart>
      <c:valAx>
        <c:axId val="19278912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2912"/>
        <c:crosses val="autoZero"/>
        <c:crossBetween val="midCat"/>
      </c:valAx>
      <c:valAx>
        <c:axId val="1927892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1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1.8384859337570063</c:v>
                </c:pt>
                <c:pt idx="2">
                  <c:v>2.179328435244706</c:v>
                </c:pt>
                <c:pt idx="3">
                  <c:v>2.5835983685839596</c:v>
                </c:pt>
                <c:pt idx="4">
                  <c:v>3.0631408068451407</c:v>
                </c:pt>
                <c:pt idx="5">
                  <c:v>3.6320202351102231</c:v>
                </c:pt>
                <c:pt idx="6">
                  <c:v>4.3069376861440878</c:v>
                </c:pt>
                <c:pt idx="7">
                  <c:v>5.1077265000259793</c:v>
                </c:pt>
                <c:pt idx="8">
                  <c:v>6.0579415660975471</c:v>
                </c:pt>
                <c:pt idx="9">
                  <c:v>7.1855597202545356</c:v>
                </c:pt>
                <c:pt idx="10">
                  <c:v>8.5238123196371749</c:v>
                </c:pt>
                <c:pt idx="11">
                  <c:v>10.112175001806468</c:v>
                </c:pt>
                <c:pt idx="12">
                  <c:v>11.997544377547372</c:v>
                </c:pt>
                <c:pt idx="13">
                  <c:v>14.235637049599092</c:v>
                </c:pt>
                <c:pt idx="14">
                  <c:v>16.892653065433223</c:v>
                </c:pt>
                <c:pt idx="15">
                  <c:v>20.047253904954317</c:v>
                </c:pt>
                <c:pt idx="16">
                  <c:v>23.79291461692257</c:v>
                </c:pt>
                <c:pt idx="17">
                  <c:v>28.240721040642256</c:v>
                </c:pt>
                <c:pt idx="18">
                  <c:v>33.522696526948565</c:v>
                </c:pt>
                <c:pt idx="19">
                  <c:v>39.79575861552572</c:v>
                </c:pt>
                <c:pt idx="20">
                  <c:v>47.246425223300974</c:v>
                </c:pt>
                <c:pt idx="21">
                  <c:v>56.096412633700432</c:v>
                </c:pt>
                <c:pt idx="22">
                  <c:v>66.60929464284159</c:v>
                </c:pt>
                <c:pt idx="23">
                  <c:v>79.098424442762266</c:v>
                </c:pt>
                <c:pt idx="24">
                  <c:v>93.936359187985758</c:v>
                </c:pt>
                <c:pt idx="25">
                  <c:v>111.56607287269634</c:v>
                </c:pt>
                <c:pt idx="26">
                  <c:v>132.51429753832994</c:v>
                </c:pt>
                <c:pt idx="27">
                  <c:v>157.40739759934175</c:v>
                </c:pt>
                <c:pt idx="28">
                  <c:v>150.47080067026766</c:v>
                </c:pt>
                <c:pt idx="29">
                  <c:v>163.03802518757752</c:v>
                </c:pt>
                <c:pt idx="30">
                  <c:v>175.5823424815143</c:v>
                </c:pt>
                <c:pt idx="31">
                  <c:v>171.69161142115624</c:v>
                </c:pt>
                <c:pt idx="32">
                  <c:v>184.65292865116098</c:v>
                </c:pt>
                <c:pt idx="33">
                  <c:v>197.5929938437981</c:v>
                </c:pt>
                <c:pt idx="34">
                  <c:v>210.51339559418258</c:v>
                </c:pt>
                <c:pt idx="35">
                  <c:v>223.41551137926174</c:v>
                </c:pt>
                <c:pt idx="36">
                  <c:v>209.7386999787991</c:v>
                </c:pt>
                <c:pt idx="37">
                  <c:v>225.7360456637642</c:v>
                </c:pt>
                <c:pt idx="38">
                  <c:v>241.70742778160744</c:v>
                </c:pt>
                <c:pt idx="39">
                  <c:v>257.6548036297558</c:v>
                </c:pt>
                <c:pt idx="40">
                  <c:v>273.57986831240419</c:v>
                </c:pt>
                <c:pt idx="41">
                  <c:v>248.01198278213079</c:v>
                </c:pt>
                <c:pt idx="42">
                  <c:v>266.13372633265288</c:v>
                </c:pt>
                <c:pt idx="43">
                  <c:v>284.22766637577377</c:v>
                </c:pt>
                <c:pt idx="44">
                  <c:v>302.29582160730934</c:v>
                </c:pt>
                <c:pt idx="45">
                  <c:v>320.33994968118049</c:v>
                </c:pt>
                <c:pt idx="46">
                  <c:v>338.36159407720407</c:v>
                </c:pt>
                <c:pt idx="47">
                  <c:v>356.36212045462412</c:v>
                </c:pt>
                <c:pt idx="48">
                  <c:v>374.34274527279507</c:v>
                </c:pt>
                <c:pt idx="49">
                  <c:v>392.30455862375675</c:v>
                </c:pt>
                <c:pt idx="50">
                  <c:v>410.24854266397256</c:v>
                </c:pt>
                <c:pt idx="51">
                  <c:v>329.54521097109392</c:v>
                </c:pt>
                <c:pt idx="52">
                  <c:v>349.59836202746766</c:v>
                </c:pt>
                <c:pt idx="53">
                  <c:v>369.6262881295645</c:v>
                </c:pt>
                <c:pt idx="54">
                  <c:v>389.63054763275704</c:v>
                </c:pt>
                <c:pt idx="55">
                  <c:v>409.61252588018669</c:v>
                </c:pt>
                <c:pt idx="56">
                  <c:v>429.57346208757514</c:v>
                </c:pt>
                <c:pt idx="57">
                  <c:v>449.51447097001227</c:v>
                </c:pt>
                <c:pt idx="58">
                  <c:v>469.43656033129997</c:v>
                </c:pt>
                <c:pt idx="59">
                  <c:v>489.34064551231751</c:v>
                </c:pt>
                <c:pt idx="60">
                  <c:v>509.22756136675412</c:v>
                </c:pt>
                <c:pt idx="61">
                  <c:v>415.71741193017186</c:v>
                </c:pt>
                <c:pt idx="62">
                  <c:v>433.89355138573887</c:v>
                </c:pt>
                <c:pt idx="63">
                  <c:v>452.05334833358802</c:v>
                </c:pt>
                <c:pt idx="64">
                  <c:v>470.19755134133334</c:v>
                </c:pt>
                <c:pt idx="65">
                  <c:v>488.32684652200686</c:v>
                </c:pt>
                <c:pt idx="66">
                  <c:v>506.44186491750776</c:v>
                </c:pt>
                <c:pt idx="67">
                  <c:v>524.54318877098581</c:v>
                </c:pt>
                <c:pt idx="68">
                  <c:v>542.63135688868078</c:v>
                </c:pt>
                <c:pt idx="69">
                  <c:v>560.70686924994277</c:v>
                </c:pt>
                <c:pt idx="70">
                  <c:v>578.77019099216204</c:v>
                </c:pt>
                <c:pt idx="71">
                  <c:v>491.49482053067413</c:v>
                </c:pt>
                <c:pt idx="72">
                  <c:v>502.89596414017234</c:v>
                </c:pt>
                <c:pt idx="73">
                  <c:v>514.29164038230522</c:v>
                </c:pt>
                <c:pt idx="74">
                  <c:v>525.68198747118436</c:v>
                </c:pt>
                <c:pt idx="75">
                  <c:v>537.06713714333159</c:v>
                </c:pt>
                <c:pt idx="76">
                  <c:v>548.447215095052</c:v>
                </c:pt>
                <c:pt idx="77">
                  <c:v>559.82234138161891</c:v>
                </c:pt>
                <c:pt idx="78">
                  <c:v>571.19263078233746</c:v>
                </c:pt>
                <c:pt idx="79">
                  <c:v>582.55819313503196</c:v>
                </c:pt>
                <c:pt idx="80">
                  <c:v>593.91913364308118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896720"/>
        <c:axId val="1927897264"/>
      </c:scatterChart>
      <c:valAx>
        <c:axId val="19278967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7264"/>
        <c:crosses val="autoZero"/>
        <c:crossBetween val="midCat"/>
      </c:valAx>
      <c:valAx>
        <c:axId val="192789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67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34853200"/>
        <c:axId val="1934856464"/>
      </c:scatterChart>
      <c:valAx>
        <c:axId val="19348532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4856464"/>
        <c:crosses val="autoZero"/>
        <c:crossBetween val="midCat"/>
      </c:valAx>
      <c:valAx>
        <c:axId val="1934856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4853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5893504"/>
        <c:axId val="1926197264"/>
      </c:scatterChart>
      <c:valAx>
        <c:axId val="1645893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6197264"/>
        <c:crosses val="autoZero"/>
        <c:crossBetween val="midCat"/>
      </c:valAx>
      <c:valAx>
        <c:axId val="192619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45893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50240"/>
        <c:axId val="27547520"/>
      </c:scatterChart>
      <c:valAx>
        <c:axId val="275502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7520"/>
        <c:crosses val="autoZero"/>
        <c:crossBetween val="midCat"/>
      </c:valAx>
      <c:valAx>
        <c:axId val="2754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02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38272"/>
        <c:axId val="27529024"/>
      </c:scatterChart>
      <c:valAx>
        <c:axId val="2753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29024"/>
        <c:crosses val="autoZero"/>
        <c:crossBetween val="midCat"/>
      </c:valAx>
      <c:valAx>
        <c:axId val="27529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3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36096"/>
        <c:axId val="27554592"/>
      </c:scatterChart>
      <c:valAx>
        <c:axId val="275360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4592"/>
        <c:crosses val="autoZero"/>
        <c:crossBetween val="midCat"/>
      </c:valAx>
      <c:valAx>
        <c:axId val="27554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36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42080"/>
        <c:axId val="27548064"/>
      </c:scatterChart>
      <c:valAx>
        <c:axId val="275420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8064"/>
        <c:crosses val="autoZero"/>
        <c:crossBetween val="midCat"/>
      </c:valAx>
      <c:valAx>
        <c:axId val="2754806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20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3" zoomScale="80" zoomScaleNormal="80" workbookViewId="0">
      <selection activeCell="F76" sqref="F7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4.5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164</v>
      </c>
      <c r="C9" s="35">
        <v>0.32</v>
      </c>
      <c r="D9" s="36">
        <f t="shared" ref="D9:D18" si="0">C9*$C$5</f>
        <v>1.44</v>
      </c>
      <c r="E9" s="37">
        <v>60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18</v>
      </c>
      <c r="C10" s="35">
        <v>0.36</v>
      </c>
      <c r="D10" s="36">
        <f t="shared" si="0"/>
        <v>1.6199999999999999</v>
      </c>
      <c r="E10" s="37">
        <v>65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35</v>
      </c>
      <c r="C11" s="35">
        <v>0.32</v>
      </c>
      <c r="D11" s="36">
        <f t="shared" si="0"/>
        <v>1.44</v>
      </c>
      <c r="E11" s="37">
        <v>80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4.5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Cèdre de l'Atlas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158</v>
      </c>
      <c r="C36" s="63">
        <v>1</v>
      </c>
      <c r="D36" s="63">
        <v>35</v>
      </c>
      <c r="E36" s="54">
        <v>0.3</v>
      </c>
      <c r="F36" s="54">
        <v>0.35</v>
      </c>
      <c r="G36" s="54"/>
      <c r="H36" s="54"/>
      <c r="I36" s="52">
        <f>IFERROR(B36/A36,"")</f>
        <v>7.9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215</v>
      </c>
      <c r="C37" s="63">
        <v>2</v>
      </c>
      <c r="D37" s="63">
        <v>60</v>
      </c>
      <c r="E37" s="54">
        <v>0.7</v>
      </c>
      <c r="F37" s="54">
        <v>0.15</v>
      </c>
      <c r="G37" s="54"/>
      <c r="H37" s="54"/>
      <c r="I37" s="56">
        <f t="shared" ref="I37:I55" si="1">IF(A37&lt;&gt;0,(B37-(B36-D36))/(A37-A36),"")</f>
        <v>9.1999999999999993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40</v>
      </c>
      <c r="B38" s="63">
        <v>255</v>
      </c>
      <c r="C38" s="63">
        <v>3</v>
      </c>
      <c r="D38" s="63">
        <v>70</v>
      </c>
      <c r="E38" s="54"/>
      <c r="F38" s="54"/>
      <c r="G38" s="54"/>
      <c r="H38" s="54"/>
      <c r="I38" s="56">
        <f t="shared" si="1"/>
        <v>10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50</v>
      </c>
      <c r="B39" s="63">
        <v>300</v>
      </c>
      <c r="C39" s="63">
        <v>4</v>
      </c>
      <c r="D39" s="63">
        <v>100</v>
      </c>
      <c r="E39" s="54"/>
      <c r="F39" s="54"/>
      <c r="G39" s="54"/>
      <c r="H39" s="54"/>
      <c r="I39" s="52">
        <f t="shared" si="1"/>
        <v>11.5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60</v>
      </c>
      <c r="B40" s="63">
        <v>335</v>
      </c>
      <c r="C40" s="63">
        <v>5</v>
      </c>
      <c r="D40" s="63">
        <v>335</v>
      </c>
      <c r="E40" s="54"/>
      <c r="F40" s="54"/>
      <c r="G40" s="54"/>
      <c r="H40" s="54"/>
      <c r="I40" s="52">
        <f t="shared" si="1"/>
        <v>13.5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Douglas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15</v>
      </c>
      <c r="B62" s="63">
        <v>126</v>
      </c>
      <c r="C62" s="63">
        <v>1</v>
      </c>
      <c r="D62" s="63">
        <v>0</v>
      </c>
      <c r="E62" s="54"/>
      <c r="F62" s="54"/>
      <c r="G62" s="54"/>
      <c r="H62" s="54"/>
      <c r="I62" s="56">
        <f>IFERROR(B62/A62,"")</f>
        <v>8.4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20</v>
      </c>
      <c r="B63" s="63">
        <v>238</v>
      </c>
      <c r="C63" s="63">
        <v>2</v>
      </c>
      <c r="D63" s="63">
        <v>0</v>
      </c>
      <c r="E63" s="54"/>
      <c r="F63" s="54"/>
      <c r="G63" s="54"/>
      <c r="H63" s="54"/>
      <c r="I63" s="52">
        <f>IF(A63&lt;&gt;0,(B63-(B62-D62))/(A63-A62),"")</f>
        <v>22.4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25</v>
      </c>
      <c r="B64" s="63">
        <v>372</v>
      </c>
      <c r="C64" s="63">
        <v>3</v>
      </c>
      <c r="D64" s="63">
        <v>21</v>
      </c>
      <c r="E64" s="54">
        <v>0.15</v>
      </c>
      <c r="F64" s="54"/>
      <c r="G64" s="54">
        <v>0.85</v>
      </c>
      <c r="H64" s="54"/>
      <c r="I64" s="52">
        <f>IF(A64&lt;&gt;0,(B64-(B63-D63))/(A64-A63),"")</f>
        <v>26.8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3">
        <v>484</v>
      </c>
      <c r="C65" s="63">
        <v>4</v>
      </c>
      <c r="D65" s="63">
        <v>48</v>
      </c>
      <c r="E65" s="54">
        <v>0.25</v>
      </c>
      <c r="F65" s="54"/>
      <c r="G65" s="54">
        <v>0.75</v>
      </c>
      <c r="H65" s="54"/>
      <c r="I65" s="52">
        <f>IF(A65&lt;&gt;0,(B65-(B64-D64))/(A65-A64),"")</f>
        <v>26.6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35</v>
      </c>
      <c r="B66" s="63">
        <v>559</v>
      </c>
      <c r="C66" s="63">
        <v>5</v>
      </c>
      <c r="D66" s="63">
        <v>61</v>
      </c>
      <c r="E66" s="54"/>
      <c r="F66" s="54"/>
      <c r="G66" s="54"/>
      <c r="H66" s="54"/>
      <c r="I66" s="52">
        <f t="shared" ref="I66:I81" si="2">IF(A66&lt;&gt;0,(B66-(B65-D65))/(A66-A65),"")</f>
        <v>24.6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40</v>
      </c>
      <c r="B67" s="63">
        <v>607</v>
      </c>
      <c r="C67" s="63">
        <v>6</v>
      </c>
      <c r="D67" s="63">
        <v>64</v>
      </c>
      <c r="E67" s="54"/>
      <c r="F67" s="54"/>
      <c r="G67" s="54"/>
      <c r="H67" s="54"/>
      <c r="I67" s="52">
        <f t="shared" si="2"/>
        <v>21.8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45</v>
      </c>
      <c r="B68" s="63">
        <v>642</v>
      </c>
      <c r="C68" s="63">
        <v>7</v>
      </c>
      <c r="D68" s="63">
        <v>70</v>
      </c>
      <c r="E68" s="54"/>
      <c r="F68" s="54"/>
      <c r="G68" s="54"/>
      <c r="H68" s="54"/>
      <c r="I68" s="52">
        <f t="shared" si="2"/>
        <v>19.8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50</v>
      </c>
      <c r="B69" s="53">
        <v>663</v>
      </c>
      <c r="C69" s="53">
        <v>8</v>
      </c>
      <c r="D69" s="53">
        <v>73</v>
      </c>
      <c r="E69" s="54"/>
      <c r="F69" s="54"/>
      <c r="G69" s="54"/>
      <c r="H69" s="54"/>
      <c r="I69" s="52">
        <f t="shared" si="2"/>
        <v>18.2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55</v>
      </c>
      <c r="B70" s="53">
        <v>675</v>
      </c>
      <c r="C70" s="53">
        <v>9</v>
      </c>
      <c r="D70" s="53">
        <v>67</v>
      </c>
      <c r="E70" s="54"/>
      <c r="F70" s="54"/>
      <c r="G70" s="54"/>
      <c r="H70" s="54"/>
      <c r="I70" s="52">
        <f t="shared" si="2"/>
        <v>17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60</v>
      </c>
      <c r="B71" s="53">
        <v>687</v>
      </c>
      <c r="C71" s="53"/>
      <c r="D71" s="53">
        <v>61</v>
      </c>
      <c r="E71" s="54"/>
      <c r="F71" s="54"/>
      <c r="G71" s="54"/>
      <c r="H71" s="54"/>
      <c r="I71" s="52">
        <f t="shared" si="2"/>
        <v>15.8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65</v>
      </c>
      <c r="B72" s="53">
        <v>700</v>
      </c>
      <c r="C72" s="53"/>
      <c r="D72" s="53">
        <v>54</v>
      </c>
      <c r="E72" s="54"/>
      <c r="F72" s="54"/>
      <c r="G72" s="54"/>
      <c r="H72" s="54"/>
      <c r="I72" s="52">
        <f t="shared" si="2"/>
        <v>14.8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Pin laricio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27</v>
      </c>
      <c r="B88" s="63">
        <v>118</v>
      </c>
      <c r="C88" s="63">
        <v>1</v>
      </c>
      <c r="D88" s="63">
        <v>15</v>
      </c>
      <c r="E88" s="54"/>
      <c r="F88" s="54">
        <v>0.5</v>
      </c>
      <c r="G88" s="54">
        <v>0.5</v>
      </c>
      <c r="H88" s="93"/>
      <c r="I88" s="56">
        <f>IFERROR(B88/A88,"")</f>
        <v>4.3703703703703702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30</v>
      </c>
      <c r="B89" s="63">
        <v>132</v>
      </c>
      <c r="C89" s="63">
        <v>2</v>
      </c>
      <c r="D89" s="63">
        <v>13</v>
      </c>
      <c r="E89" s="54"/>
      <c r="F89" s="54">
        <v>0.5</v>
      </c>
      <c r="G89" s="54">
        <v>0.5</v>
      </c>
      <c r="H89" s="93"/>
      <c r="I89" s="56">
        <f t="shared" ref="I89:I107" si="3">IF(A89&lt;&gt;0,(B89-(B88-D88))/(A89-A88),"")</f>
        <v>9.6666666666666661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35</v>
      </c>
      <c r="B90" s="63">
        <v>169</v>
      </c>
      <c r="C90" s="63">
        <v>3</v>
      </c>
      <c r="D90" s="63">
        <v>23</v>
      </c>
      <c r="E90" s="93"/>
      <c r="F90" s="93"/>
      <c r="G90" s="93"/>
      <c r="H90" s="93"/>
      <c r="I90" s="56">
        <f t="shared" si="3"/>
        <v>10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40</v>
      </c>
      <c r="B91" s="63">
        <v>208</v>
      </c>
      <c r="C91" s="63">
        <v>4</v>
      </c>
      <c r="D91" s="63">
        <v>34</v>
      </c>
      <c r="E91" s="93"/>
      <c r="F91" s="93"/>
      <c r="G91" s="93"/>
      <c r="H91" s="93"/>
      <c r="I91" s="56">
        <f t="shared" si="3"/>
        <v>12.4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50</v>
      </c>
      <c r="B92" s="63">
        <v>315</v>
      </c>
      <c r="C92" s="63">
        <v>5</v>
      </c>
      <c r="D92" s="63">
        <v>79</v>
      </c>
      <c r="E92" s="93"/>
      <c r="F92" s="93"/>
      <c r="G92" s="93"/>
      <c r="H92" s="93"/>
      <c r="I92" s="56">
        <f t="shared" si="3"/>
        <v>14.1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60</v>
      </c>
      <c r="B93" s="63">
        <v>393</v>
      </c>
      <c r="C93" s="63">
        <v>6</v>
      </c>
      <c r="D93" s="63">
        <v>88</v>
      </c>
      <c r="E93" s="93"/>
      <c r="F93" s="93"/>
      <c r="G93" s="93"/>
      <c r="H93" s="93"/>
      <c r="I93" s="56">
        <f t="shared" si="3"/>
        <v>15.7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70</v>
      </c>
      <c r="B94" s="63">
        <v>448</v>
      </c>
      <c r="C94" s="63">
        <v>7</v>
      </c>
      <c r="D94" s="63">
        <v>78</v>
      </c>
      <c r="E94" s="93"/>
      <c r="F94" s="93"/>
      <c r="G94" s="93"/>
      <c r="H94" s="93"/>
      <c r="I94" s="56">
        <f t="shared" si="3"/>
        <v>14.3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80</v>
      </c>
      <c r="B95" s="63">
        <v>460</v>
      </c>
      <c r="C95" s="63">
        <v>8</v>
      </c>
      <c r="D95" s="63">
        <v>460</v>
      </c>
      <c r="E95" s="93"/>
      <c r="F95" s="93"/>
      <c r="G95" s="93"/>
      <c r="H95" s="93"/>
      <c r="I95" s="56">
        <f t="shared" si="3"/>
        <v>9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C25" sqref="C2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Cèdre de l'Atlas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Douglas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Pin laricio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193.05670375142864</v>
      </c>
      <c r="T3" s="62">
        <f>IF('Données projet'!E9&gt;30,$R$33-$H$33,LOOKUP('Données projet'!$E$9,$A$3:$A$203,R3:R203)-LOOKUP('Données projet'!$E$9,$A$3:$A$203,$H$3:$H$203))</f>
        <v>259.12914184994344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512.21337090113502</v>
      </c>
      <c r="AO3" s="62">
        <f>IF('Données projet'!E10&gt;30,$AM$33-$H$33,LOOKUP('Données projet'!$E$10,$A$3:$A$203,AM3:AM203)-LOOKUP('Données projet'!$E$10,$A$3:$A$203,$H$3:$H$203))</f>
        <v>621.03633124474163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295.83974441964551</v>
      </c>
      <c r="BJ3" s="62">
        <f>IF('Données projet'!E11&gt;30,$BH$33-$H$33,LOOKUP('Données projet'!$E$11,$A$3:$A$203,BH3:BH203)-LOOKUP('Données projet'!$E$11,$A$3:$A$203,$H$3:$H$203))</f>
        <v>212.24900914818096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7.9</v>
      </c>
      <c r="N4" s="14">
        <f>IF('Données projet'!$A$36&gt;35,N3+M4-V3,IF(A4&lt;'Données projet'!$A$36,$K$205^A4,IF(A4='Données projet'!$A$36,'Données projet'!$B$36,N3+M4-V3)))</f>
        <v>1.2880503926580862</v>
      </c>
      <c r="O4" s="14">
        <f>N4*VLOOKUP('Données projet'!$B$9,Paramètres!$A$1:$I$89,3,0)*VLOOKUP('Données projet'!$B$9,Paramètres!$A$1:$I$89,5,0)</f>
        <v>0.60280758376398436</v>
      </c>
      <c r="P4" s="14">
        <f>EXP(-1.0587+0.8836*LN(O4)+0.284)</f>
        <v>0.29465781953181042</v>
      </c>
      <c r="Q4" s="22">
        <f t="shared" ref="Q4:Q34" si="2">(O4+P4)*0.475*44/12</f>
        <v>1.5630855774068424</v>
      </c>
      <c r="R4" s="62">
        <f t="shared" si="0"/>
        <v>259.45197446629572</v>
      </c>
      <c r="S4" s="62">
        <f ca="1">AVERAGE(OFFSET($R$3,0,0,'Données projet'!$E$9+1,1))-AVERAGE(OFFSET($H$3,0,0,'Données projet'!$E$9+1,1))</f>
        <v>193.05670375142864</v>
      </c>
      <c r="T4" s="62">
        <f>$T$3</f>
        <v>259.12914184994344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8.4</v>
      </c>
      <c r="AI4" s="14">
        <f>IF('Données projet'!$A$62&gt;35,AI3+AH4-AQ3,IF(A4&lt;'Données projet'!$A$62,$AF$205^A4,IF(A4='Données projet'!$A$62,'Données projet'!$B$62,AI3+AH4-AQ3)))</f>
        <v>1.3804627841663464</v>
      </c>
      <c r="AJ4" s="14">
        <f>AI4*VLOOKUP('Données projet'!$B$10,Paramètres!$A$1:$I$89,3,0)*VLOOKUP('Données projet'!$B$10,Paramètres!$A$1:$I$89,5,0)</f>
        <v>0.77167869634898767</v>
      </c>
      <c r="AK4" s="14">
        <f>EXP(-1.0587+0.8836*LN(AJ4)+0.284)</f>
        <v>0.36651433549739537</v>
      </c>
      <c r="AL4" s="22">
        <f t="shared" ref="AL4:AL67" si="4">(AJ4+AK4)*0.475*44/12</f>
        <v>1.982352863799117</v>
      </c>
      <c r="AM4" s="62">
        <f t="shared" ref="AM4:AM67" si="5">AL4+(AD4+AE4)*44/12</f>
        <v>259.87124175268798</v>
      </c>
      <c r="AN4" s="62">
        <f ca="1">AVERAGE(OFFSET($AM$3,0,0,'Données projet'!$E$10+1,1))-AVERAGE(OFFSET($H$3,0,0,'Données projet'!$E$10+1,1))</f>
        <v>512.21337090113502</v>
      </c>
      <c r="AO4" s="62">
        <f>$AO$3</f>
        <v>621.03633124474163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4.3703703703703702</v>
      </c>
      <c r="BD4" s="13">
        <f>IF('Données projet'!$A$88&gt;35,BD3+BC4-BL3,IF(A4&lt;'Données projet'!$A$88,$BA$205^A4,IF(A4='Données projet'!$A$88,'Données projet'!$B$88,BD3+BC4-BL3)))</f>
        <v>1.1932635389591795</v>
      </c>
      <c r="BE4" s="14">
        <f>BD4*VLOOKUP('Données projet'!$B$11,Paramètres!$A$1:$I$89,3,0)*VLOOKUP('Données projet'!$B$11,Paramètres!$A$1:$I$89,5,0)</f>
        <v>0.71357159629758937</v>
      </c>
      <c r="BF4" s="14">
        <f>EXP(-1.0587+0.8836*LN(BE4)+0.284)</f>
        <v>0.34201841351504586</v>
      </c>
      <c r="BG4" s="22">
        <f t="shared" ref="BG4:BG67" si="7">(BE4+BF4)*0.475*44/12</f>
        <v>1.8384859337570063</v>
      </c>
      <c r="BH4" s="62">
        <f t="shared" ref="BH4:BH67" si="8">BG4+(AY4+AZ4)*44/12</f>
        <v>259.72737482264586</v>
      </c>
      <c r="BI4" s="62">
        <f ca="1">AVERAGE(OFFSET($BH$3,0,0,'Données projet'!$E$11+1,1))-AVERAGE(OFFSET($H$3,0,0,'Données projet'!$E$11+1,1))</f>
        <v>295.83974441964551</v>
      </c>
      <c r="BJ4" s="62">
        <f>$BJ$3</f>
        <v>212.24900914818096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7.9</v>
      </c>
      <c r="N5" s="14">
        <f>IF('Données projet'!$A$36&gt;35,N4+M5-V4,IF(A5&lt;'Données projet'!$A$36,$K$205^A5,IF(A5='Données projet'!$A$36,'Données projet'!$B$36,N4+M5-V4)))</f>
        <v>1.6590738140266501</v>
      </c>
      <c r="O5" s="14">
        <f>N5*VLOOKUP('Données projet'!$B$9,Paramètres!$A$1:$I$89,3,0)*VLOOKUP('Données projet'!$B$9,Paramètres!$A$1:$I$89,5,0)</f>
        <v>0.77644654496447219</v>
      </c>
      <c r="P5" s="14">
        <f t="shared" ref="P5:P68" si="33">EXP(-1.0587+0.8836*LN(O5)+0.284)</f>
        <v>0.36851455096495994</v>
      </c>
      <c r="Q5" s="22">
        <f t="shared" si="2"/>
        <v>1.9941405754104276</v>
      </c>
      <c r="R5" s="62">
        <f t="shared" si="0"/>
        <v>261.10525168652157</v>
      </c>
      <c r="S5" s="62">
        <f ca="1">AVERAGE(OFFSET($R$3,0,0,'Données projet'!$E$9+1,1))-AVERAGE(OFFSET($H$3,0,0,'Données projet'!$E$9+1,1))</f>
        <v>193.05670375142864</v>
      </c>
      <c r="T5" s="62">
        <f t="shared" ref="T5:T68" si="34">$T$3</f>
        <v>259.12914184994344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8.4</v>
      </c>
      <c r="AI5" s="14">
        <f>IF('Données projet'!$A$62&gt;35,AI4+AH5-AQ4,IF(A5&lt;'Données projet'!$A$62,$AF$205^A5,IF(A5='Données projet'!$A$62,'Données projet'!$B$62,AI4+AH5-AQ4)))</f>
        <v>1.9056774984683007</v>
      </c>
      <c r="AJ5" s="14">
        <f>AI5*VLOOKUP('Données projet'!$B$10,Paramètres!$A$1:$I$89,3,0)*VLOOKUP('Données projet'!$B$10,Paramètres!$A$1:$I$89,5,0)</f>
        <v>1.0652737216437802</v>
      </c>
      <c r="AK5" s="14">
        <f t="shared" ref="AK5:AK68" si="35">EXP(-1.0587+0.8836*LN(AJ5)+0.284)</f>
        <v>0.4873228702573687</v>
      </c>
      <c r="AL5" s="22">
        <f t="shared" si="4"/>
        <v>2.7041057308945007</v>
      </c>
      <c r="AM5" s="62">
        <f t="shared" si="5"/>
        <v>261.81521684200567</v>
      </c>
      <c r="AN5" s="62">
        <f ca="1">AVERAGE(OFFSET($AM$3,0,0,'Données projet'!$E$10+1,1))-AVERAGE(OFFSET($H$3,0,0,'Données projet'!$E$10+1,1))</f>
        <v>512.21337090113502</v>
      </c>
      <c r="AO5" s="62">
        <f t="shared" ref="AO5:AO68" si="36">$AO$3</f>
        <v>621.03633124474163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4.3703703703703702</v>
      </c>
      <c r="BD5" s="13">
        <f>IF('Données projet'!$A$88&gt;35,BD4+BC5-BL4,IF(A5&lt;'Données projet'!$A$88,$BA$205^A5,IF(A5='Données projet'!$A$88,'Données projet'!$B$88,BD4+BC5-BL4)))</f>
        <v>1.4238778734093853</v>
      </c>
      <c r="BE5" s="14">
        <f>BD5*VLOOKUP('Données projet'!$B$11,Paramètres!$A$1:$I$89,3,0)*VLOOKUP('Données projet'!$B$11,Paramètres!$A$1:$I$89,5,0)</f>
        <v>0.85147896829881242</v>
      </c>
      <c r="BF5" s="14">
        <f t="shared" ref="BF5:BF68" si="37">EXP(-1.0587+0.8836*LN(BE5)+0.284)</f>
        <v>0.39981008543020569</v>
      </c>
      <c r="BG5" s="22">
        <f t="shared" si="7"/>
        <v>2.179328435244706</v>
      </c>
      <c r="BH5" s="62">
        <f t="shared" si="8"/>
        <v>261.29043954635586</v>
      </c>
      <c r="BI5" s="62">
        <f ca="1">AVERAGE(OFFSET($BH$3,0,0,'Données projet'!$E$11+1,1))-AVERAGE(OFFSET($H$3,0,0,'Données projet'!$E$11+1,1))</f>
        <v>295.83974441964551</v>
      </c>
      <c r="BJ5" s="62">
        <f t="shared" ref="BJ5:BJ68" si="38">$BJ$3</f>
        <v>212.24900914818096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7.9</v>
      </c>
      <c r="N6" s="14">
        <f>IF('Données projet'!$A$36&gt;35,N5+M6-V5,IF(A6&lt;'Données projet'!$A$36,$K$205^A6,IF(A6='Données projet'!$A$36,'Données projet'!$B$36,N5+M6-V5)))</f>
        <v>2.1369706776057753</v>
      </c>
      <c r="O6" s="14">
        <f>N6*VLOOKUP('Données projet'!$B$9,Paramètres!$A$1:$I$89,3,0)*VLOOKUP('Données projet'!$B$9,Paramètres!$A$1:$I$89,5,0)</f>
        <v>1.0001022771195029</v>
      </c>
      <c r="P6" s="14">
        <f t="shared" si="33"/>
        <v>0.46088365986243646</v>
      </c>
      <c r="Q6" s="22">
        <f t="shared" si="2"/>
        <v>2.5445505069102112</v>
      </c>
      <c r="R6" s="62">
        <f t="shared" si="0"/>
        <v>262.8778838402435</v>
      </c>
      <c r="S6" s="62">
        <f ca="1">AVERAGE(OFFSET($R$3,0,0,'Données projet'!$E$9+1,1))-AVERAGE(OFFSET($H$3,0,0,'Données projet'!$E$9+1,1))</f>
        <v>193.05670375142864</v>
      </c>
      <c r="T6" s="62">
        <f t="shared" si="34"/>
        <v>259.12914184994344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8.4</v>
      </c>
      <c r="AI6" s="14">
        <f>IF('Données projet'!$A$62&gt;35,AI5+AH6-AQ5,IF(A6&lt;'Données projet'!$A$62,$AF$205^A6,IF(A6='Données projet'!$A$62,'Données projet'!$B$62,AI5+AH6-AQ5)))</f>
        <v>2.6307168652587087</v>
      </c>
      <c r="AJ6" s="14">
        <f>AI6*VLOOKUP('Données projet'!$B$10,Paramètres!$A$1:$I$89,3,0)*VLOOKUP('Données projet'!$B$10,Paramètres!$A$1:$I$89,5,0)</f>
        <v>1.4705707276796183</v>
      </c>
      <c r="AK6" s="14">
        <f t="shared" si="35"/>
        <v>0.64795168121757629</v>
      </c>
      <c r="AL6" s="22">
        <f t="shared" si="4"/>
        <v>3.6897598621626138</v>
      </c>
      <c r="AM6" s="62">
        <f t="shared" si="5"/>
        <v>264.0230931954959</v>
      </c>
      <c r="AN6" s="62">
        <f ca="1">AVERAGE(OFFSET($AM$3,0,0,'Données projet'!$E$10+1,1))-AVERAGE(OFFSET($H$3,0,0,'Données projet'!$E$10+1,1))</f>
        <v>512.21337090113502</v>
      </c>
      <c r="AO6" s="62">
        <f t="shared" si="36"/>
        <v>621.03633124474163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4.3703703703703702</v>
      </c>
      <c r="BD6" s="13">
        <f>IF('Données projet'!$A$88&gt;35,BD5+BC6-BL5,IF(A6&lt;'Données projet'!$A$88,$BA$205^A6,IF(A6='Données projet'!$A$88,'Données projet'!$B$88,BD5+BC6-BL5)))</f>
        <v>1.6990615502701536</v>
      </c>
      <c r="BE6" s="14">
        <f>BD6*VLOOKUP('Données projet'!$B$11,Paramètres!$A$1:$I$89,3,0)*VLOOKUP('Données projet'!$B$11,Paramètres!$A$1:$I$89,5,0)</f>
        <v>1.0160388070615518</v>
      </c>
      <c r="BF6" s="14">
        <f t="shared" si="37"/>
        <v>0.46736695480483653</v>
      </c>
      <c r="BG6" s="22">
        <f t="shared" si="7"/>
        <v>2.5835983685839596</v>
      </c>
      <c r="BH6" s="62">
        <f t="shared" si="8"/>
        <v>262.91693170191729</v>
      </c>
      <c r="BI6" s="62">
        <f ca="1">AVERAGE(OFFSET($BH$3,0,0,'Données projet'!$E$11+1,1))-AVERAGE(OFFSET($H$3,0,0,'Données projet'!$E$11+1,1))</f>
        <v>295.83974441964551</v>
      </c>
      <c r="BJ6" s="62">
        <f t="shared" si="38"/>
        <v>212.24900914818096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7.9</v>
      </c>
      <c r="N7" s="14">
        <f>IF('Données projet'!$A$36&gt;35,N6+M7-V6,IF(A7&lt;'Données projet'!$A$36,$K$205^A7,IF(A7='Données projet'!$A$36,'Données projet'!$B$36,N6+M7-V6)))</f>
        <v>2.7525259203889356</v>
      </c>
      <c r="O7" s="14">
        <f>N7*VLOOKUP('Données projet'!$B$9,Paramètres!$A$1:$I$89,3,0)*VLOOKUP('Données projet'!$B$9,Paramètres!$A$1:$I$89,5,0)</f>
        <v>1.2881821307420218</v>
      </c>
      <c r="P7" s="14">
        <f t="shared" si="33"/>
        <v>0.57640532069082717</v>
      </c>
      <c r="Q7" s="22">
        <f t="shared" si="2"/>
        <v>3.2474898112455457</v>
      </c>
      <c r="R7" s="62">
        <f t="shared" si="0"/>
        <v>264.80304536680109</v>
      </c>
      <c r="S7" s="62">
        <f ca="1">AVERAGE(OFFSET($R$3,0,0,'Données projet'!$E$9+1,1))-AVERAGE(OFFSET($H$3,0,0,'Données projet'!$E$9+1,1))</f>
        <v>193.05670375142864</v>
      </c>
      <c r="T7" s="62">
        <f t="shared" si="34"/>
        <v>259.12914184994344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8.4</v>
      </c>
      <c r="AI7" s="14">
        <f>IF('Données projet'!$A$62&gt;35,AI6+AH7-AQ6,IF(A7&lt;'Données projet'!$A$62,$AF$205^A7,IF(A7='Données projet'!$A$62,'Données projet'!$B$62,AI6+AH7-AQ6)))</f>
        <v>3.6316067281684004</v>
      </c>
      <c r="AJ7" s="14">
        <f>AI7*VLOOKUP('Données projet'!$B$10,Paramètres!$A$1:$I$89,3,0)*VLOOKUP('Données projet'!$B$10,Paramètres!$A$1:$I$89,5,0)</f>
        <v>2.030068161046136</v>
      </c>
      <c r="AK7" s="14">
        <f t="shared" si="35"/>
        <v>0.86152611916398214</v>
      </c>
      <c r="AL7" s="22">
        <f t="shared" si="4"/>
        <v>5.0361933713659557</v>
      </c>
      <c r="AM7" s="62">
        <f t="shared" si="5"/>
        <v>266.59174892692153</v>
      </c>
      <c r="AN7" s="62">
        <f ca="1">AVERAGE(OFFSET($AM$3,0,0,'Données projet'!$E$10+1,1))-AVERAGE(OFFSET($H$3,0,0,'Données projet'!$E$10+1,1))</f>
        <v>512.21337090113502</v>
      </c>
      <c r="AO7" s="62">
        <f t="shared" si="36"/>
        <v>621.03633124474163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4.3703703703703702</v>
      </c>
      <c r="BD7" s="13">
        <f>IF('Données projet'!$A$88&gt;35,BD6+BC7-BL6,IF(A7&lt;'Données projet'!$A$88,$BA$205^A7,IF(A7='Données projet'!$A$88,'Données projet'!$B$88,BD6+BC7-BL6)))</f>
        <v>2.0274281983848335</v>
      </c>
      <c r="BE7" s="14">
        <f>BD7*VLOOKUP('Données projet'!$B$11,Paramètres!$A$1:$I$89,3,0)*VLOOKUP('Données projet'!$B$11,Paramètres!$A$1:$I$89,5,0)</f>
        <v>1.2124020626341305</v>
      </c>
      <c r="BF7" s="14">
        <f t="shared" si="37"/>
        <v>0.54633907048269681</v>
      </c>
      <c r="BG7" s="22">
        <f t="shared" si="7"/>
        <v>3.0631408068451407</v>
      </c>
      <c r="BH7" s="62">
        <f t="shared" si="8"/>
        <v>264.61869636240067</v>
      </c>
      <c r="BI7" s="62">
        <f ca="1">AVERAGE(OFFSET($BH$3,0,0,'Données projet'!$E$11+1,1))-AVERAGE(OFFSET($H$3,0,0,'Données projet'!$E$11+1,1))</f>
        <v>295.83974441964551</v>
      </c>
      <c r="BJ7" s="62">
        <f t="shared" si="38"/>
        <v>212.24900914818096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7.9</v>
      </c>
      <c r="N8" s="14">
        <f>IF('Données projet'!$A$36&gt;35,N7+M8-V7,IF(A8&lt;'Données projet'!$A$36,$K$205^A8,IF(A8='Données projet'!$A$36,'Données projet'!$B$36,N7+M8-V7)))</f>
        <v>3.5453920925585285</v>
      </c>
      <c r="O8" s="14">
        <f>N8*VLOOKUP('Données projet'!$B$9,Paramètres!$A$1:$I$89,3,0)*VLOOKUP('Données projet'!$B$9,Paramètres!$A$1:$I$89,5,0)</f>
        <v>1.6592434993173915</v>
      </c>
      <c r="P8" s="14">
        <f t="shared" si="33"/>
        <v>0.72088277944126433</v>
      </c>
      <c r="Q8" s="22">
        <f t="shared" si="2"/>
        <v>4.1453866021713255</v>
      </c>
      <c r="R8" s="62">
        <f t="shared" si="0"/>
        <v>266.92316437994907</v>
      </c>
      <c r="S8" s="62">
        <f ca="1">AVERAGE(OFFSET($R$3,0,0,'Données projet'!$E$9+1,1))-AVERAGE(OFFSET($H$3,0,0,'Données projet'!$E$9+1,1))</f>
        <v>193.05670375142864</v>
      </c>
      <c r="T8" s="62">
        <f t="shared" si="34"/>
        <v>259.12914184994344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8.4</v>
      </c>
      <c r="AI8" s="14">
        <f>IF('Données projet'!$A$62&gt;35,AI7+AH8-AQ7,IF(A8&lt;'Données projet'!$A$62,$AF$205^A8,IF(A8='Données projet'!$A$62,'Données projet'!$B$62,AI7+AH8-AQ7)))</f>
        <v>5.0132979349645854</v>
      </c>
      <c r="AJ8" s="14">
        <f>AI8*VLOOKUP('Données projet'!$B$10,Paramètres!$A$1:$I$89,3,0)*VLOOKUP('Données projet'!$B$10,Paramètres!$A$1:$I$89,5,0)</f>
        <v>2.802433545645203</v>
      </c>
      <c r="AK8" s="14">
        <f t="shared" si="35"/>
        <v>1.1454978442327994</v>
      </c>
      <c r="AL8" s="22">
        <f t="shared" si="4"/>
        <v>6.8759805040375204</v>
      </c>
      <c r="AM8" s="62">
        <f t="shared" si="5"/>
        <v>269.65375828181527</v>
      </c>
      <c r="AN8" s="62">
        <f ca="1">AVERAGE(OFFSET($AM$3,0,0,'Données projet'!$E$10+1,1))-AVERAGE(OFFSET($H$3,0,0,'Données projet'!$E$10+1,1))</f>
        <v>512.21337090113502</v>
      </c>
      <c r="AO8" s="62">
        <f t="shared" si="36"/>
        <v>621.03633124474163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4.3703703703703702</v>
      </c>
      <c r="BD8" s="13">
        <f>IF('Données projet'!$A$88&gt;35,BD7+BC8-BL7,IF(A8&lt;'Données projet'!$A$88,$BA$205^A8,IF(A8='Données projet'!$A$88,'Données projet'!$B$88,BD7+BC8-BL7)))</f>
        <v>2.4192561469903198</v>
      </c>
      <c r="BE8" s="14">
        <f>BD8*VLOOKUP('Données projet'!$B$11,Paramètres!$A$1:$I$89,3,0)*VLOOKUP('Données projet'!$B$11,Paramètres!$A$1:$I$89,5,0)</f>
        <v>1.4467151759002115</v>
      </c>
      <c r="BF8" s="14">
        <f t="shared" si="37"/>
        <v>0.63865529401953391</v>
      </c>
      <c r="BG8" s="22">
        <f t="shared" si="7"/>
        <v>3.6320202351102231</v>
      </c>
      <c r="BH8" s="62">
        <f t="shared" si="8"/>
        <v>266.40979801288802</v>
      </c>
      <c r="BI8" s="62">
        <f ca="1">AVERAGE(OFFSET($BH$3,0,0,'Données projet'!$E$11+1,1))-AVERAGE(OFFSET($H$3,0,0,'Données projet'!$E$11+1,1))</f>
        <v>295.83974441964551</v>
      </c>
      <c r="BJ8" s="62">
        <f t="shared" si="38"/>
        <v>212.24900914818096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7.9</v>
      </c>
      <c r="N9" s="14">
        <f>IF('Données projet'!$A$36&gt;35,N8+M9-V8,IF(A9&lt;'Données projet'!$A$36,$K$205^A9,IF(A9='Données projet'!$A$36,'Données projet'!$B$36,N8+M9-V8)))</f>
        <v>4.566643676946887</v>
      </c>
      <c r="O9" s="14">
        <f>N9*VLOOKUP('Données projet'!$B$9,Paramètres!$A$1:$I$89,3,0)*VLOOKUP('Données projet'!$B$9,Paramètres!$A$1:$I$89,5,0)</f>
        <v>2.1371892408111433</v>
      </c>
      <c r="P9" s="14">
        <f t="shared" si="33"/>
        <v>0.9015738804633705</v>
      </c>
      <c r="Q9" s="22">
        <f t="shared" si="2"/>
        <v>5.292512436219778</v>
      </c>
      <c r="R9" s="62">
        <f t="shared" si="0"/>
        <v>269.29251243621979</v>
      </c>
      <c r="S9" s="62">
        <f ca="1">AVERAGE(OFFSET($R$3,0,0,'Données projet'!$E$9+1,1))-AVERAGE(OFFSET($H$3,0,0,'Données projet'!$E$9+1,1))</f>
        <v>193.05670375142864</v>
      </c>
      <c r="T9" s="62">
        <f t="shared" si="34"/>
        <v>259.12914184994344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8.4</v>
      </c>
      <c r="AI9" s="14">
        <f>IF('Données projet'!$A$62&gt;35,AI8+AH9-AQ8,IF(A9&lt;'Données projet'!$A$62,$AF$205^A9,IF(A9='Données projet'!$A$62,'Données projet'!$B$62,AI8+AH9-AQ8)))</f>
        <v>6.9206712251566076</v>
      </c>
      <c r="AJ9" s="14">
        <f>AI9*VLOOKUP('Données projet'!$B$10,Paramètres!$A$1:$I$89,3,0)*VLOOKUP('Données projet'!$B$10,Paramètres!$A$1:$I$89,5,0)</f>
        <v>3.8686552148625433</v>
      </c>
      <c r="AK9" s="14">
        <f t="shared" si="35"/>
        <v>1.5230708413289964</v>
      </c>
      <c r="AL9" s="22">
        <f t="shared" si="4"/>
        <v>9.3905895478669326</v>
      </c>
      <c r="AM9" s="62">
        <f t="shared" si="5"/>
        <v>273.39058954786691</v>
      </c>
      <c r="AN9" s="62">
        <f ca="1">AVERAGE(OFFSET($AM$3,0,0,'Données projet'!$E$10+1,1))-AVERAGE(OFFSET($H$3,0,0,'Données projet'!$E$10+1,1))</f>
        <v>512.21337090113502</v>
      </c>
      <c r="AO9" s="62">
        <f t="shared" si="36"/>
        <v>621.03633124474163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4.3703703703703702</v>
      </c>
      <c r="BD9" s="13">
        <f>IF('Données projet'!$A$88&gt;35,BD8+BC9-BL8,IF(A9&lt;'Données projet'!$A$88,$BA$205^A9,IF(A9='Données projet'!$A$88,'Données projet'!$B$88,BD8+BC9-BL8)))</f>
        <v>2.8868101516064182</v>
      </c>
      <c r="BE9" s="14">
        <f>BD9*VLOOKUP('Données projet'!$B$11,Paramètres!$A$1:$I$89,3,0)*VLOOKUP('Données projet'!$B$11,Paramètres!$A$1:$I$89,5,0)</f>
        <v>1.7263124706606381</v>
      </c>
      <c r="BF9" s="14">
        <f t="shared" si="37"/>
        <v>0.7465704113359678</v>
      </c>
      <c r="BG9" s="22">
        <f t="shared" si="7"/>
        <v>4.3069376861440878</v>
      </c>
      <c r="BH9" s="62">
        <f t="shared" si="8"/>
        <v>268.30693768614407</v>
      </c>
      <c r="BI9" s="62">
        <f ca="1">AVERAGE(OFFSET($BH$3,0,0,'Données projet'!$E$11+1,1))-AVERAGE(OFFSET($H$3,0,0,'Données projet'!$E$11+1,1))</f>
        <v>295.83974441964551</v>
      </c>
      <c r="BJ9" s="62">
        <f t="shared" si="38"/>
        <v>212.24900914818096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7.9</v>
      </c>
      <c r="N10" s="14">
        <f>IF('Données projet'!$A$36&gt;35,N9+M10-V9,IF(A10&lt;'Données projet'!$A$36,$K$205^A10,IF(A10='Données projet'!$A$36,'Données projet'!$B$36,N9+M10-V9)))</f>
        <v>5.8820671812210037</v>
      </c>
      <c r="O10" s="14">
        <f>N10*VLOOKUP('Données projet'!$B$9,Paramètres!$A$1:$I$89,3,0)*VLOOKUP('Données projet'!$B$9,Paramètres!$A$1:$I$89,5,0)</f>
        <v>2.7528074408114294</v>
      </c>
      <c r="P10" s="14">
        <f t="shared" si="33"/>
        <v>1.1275556652411438</v>
      </c>
      <c r="Q10" s="22">
        <f t="shared" si="2"/>
        <v>6.7582990763748976</v>
      </c>
      <c r="R10" s="62">
        <f t="shared" si="0"/>
        <v>271.98052129859713</v>
      </c>
      <c r="S10" s="62">
        <f ca="1">AVERAGE(OFFSET($R$3,0,0,'Données projet'!$E$9+1,1))-AVERAGE(OFFSET($H$3,0,0,'Données projet'!$E$9+1,1))</f>
        <v>193.05670375142864</v>
      </c>
      <c r="T10" s="62">
        <f t="shared" si="34"/>
        <v>259.12914184994344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8.4</v>
      </c>
      <c r="AI10" s="14">
        <f>IF('Données projet'!$A$62&gt;35,AI9+AH10-AQ9,IF(A10&lt;'Données projet'!$A$62,$AF$205^A10,IF(A10='Données projet'!$A$62,'Données projet'!$B$62,AI9+AH10-AQ9)))</f>
        <v>9.5537290677796101</v>
      </c>
      <c r="AJ10" s="14">
        <f>AI10*VLOOKUP('Données projet'!$B$10,Paramètres!$A$1:$I$89,3,0)*VLOOKUP('Données projet'!$B$10,Paramètres!$A$1:$I$89,5,0)</f>
        <v>5.3405345488888027</v>
      </c>
      <c r="AK10" s="14">
        <f t="shared" si="35"/>
        <v>2.0250974712748349</v>
      </c>
      <c r="AL10" s="22">
        <f t="shared" si="4"/>
        <v>12.828475768451668</v>
      </c>
      <c r="AM10" s="62">
        <f t="shared" si="5"/>
        <v>278.05069799067388</v>
      </c>
      <c r="AN10" s="62">
        <f ca="1">AVERAGE(OFFSET($AM$3,0,0,'Données projet'!$E$10+1,1))-AVERAGE(OFFSET($H$3,0,0,'Données projet'!$E$10+1,1))</f>
        <v>512.21337090113502</v>
      </c>
      <c r="AO10" s="62">
        <f t="shared" si="36"/>
        <v>621.03633124474163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4.3703703703703702</v>
      </c>
      <c r="BD10" s="13">
        <f>IF('Données projet'!$A$88&gt;35,BD9+BC10-BL9,IF(A10&lt;'Données projet'!$A$88,$BA$205^A10,IF(A10='Données projet'!$A$88,'Données projet'!$B$88,BD9+BC10-BL9)))</f>
        <v>3.4447252978091596</v>
      </c>
      <c r="BE10" s="14">
        <f>BD10*VLOOKUP('Données projet'!$B$11,Paramètres!$A$1:$I$89,3,0)*VLOOKUP('Données projet'!$B$11,Paramètres!$A$1:$I$89,5,0)</f>
        <v>2.0599457280898776</v>
      </c>
      <c r="BF10" s="14">
        <f t="shared" si="37"/>
        <v>0.87272020493939328</v>
      </c>
      <c r="BG10" s="22">
        <f t="shared" si="7"/>
        <v>5.1077265000259793</v>
      </c>
      <c r="BH10" s="62">
        <f t="shared" si="8"/>
        <v>270.32994872224822</v>
      </c>
      <c r="BI10" s="62">
        <f ca="1">AVERAGE(OFFSET($BH$3,0,0,'Données projet'!$E$11+1,1))-AVERAGE(OFFSET($H$3,0,0,'Données projet'!$E$11+1,1))</f>
        <v>295.83974441964551</v>
      </c>
      <c r="BJ10" s="62">
        <f t="shared" si="38"/>
        <v>212.24900914818096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7.9</v>
      </c>
      <c r="N11" s="14">
        <f>IF('Données projet'!$A$36&gt;35,N10+M11-V10,IF(A11&lt;'Données projet'!$A$36,$K$205^A11,IF(A11='Données projet'!$A$36,'Données projet'!$B$36,N10+M11-V10)))</f>
        <v>7.5763989424129567</v>
      </c>
      <c r="O11" s="14">
        <f>N11*VLOOKUP('Données projet'!$B$9,Paramètres!$A$1:$I$89,3,0)*VLOOKUP('Données projet'!$B$9,Paramètres!$A$1:$I$89,5,0)</f>
        <v>3.5457547050492639</v>
      </c>
      <c r="P11" s="14">
        <f t="shared" si="33"/>
        <v>1.4101803587787649</v>
      </c>
      <c r="Q11" s="22">
        <f t="shared" si="2"/>
        <v>8.631586902833817</v>
      </c>
      <c r="R11" s="62">
        <f t="shared" si="0"/>
        <v>275.07603134727827</v>
      </c>
      <c r="S11" s="62">
        <f ca="1">AVERAGE(OFFSET($R$3,0,0,'Données projet'!$E$9+1,1))-AVERAGE(OFFSET($H$3,0,0,'Données projet'!$E$9+1,1))</f>
        <v>193.05670375142864</v>
      </c>
      <c r="T11" s="62">
        <f t="shared" si="34"/>
        <v>259.12914184994344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8.4</v>
      </c>
      <c r="AI11" s="14">
        <f>IF('Données projet'!$A$62&gt;35,AI10+AH11-AQ10,IF(A11&lt;'Données projet'!$A$62,$AF$205^A11,IF(A11='Données projet'!$A$62,'Données projet'!$B$62,AI10+AH11-AQ10)))</f>
        <v>13.188567428077993</v>
      </c>
      <c r="AJ11" s="14">
        <f>AI11*VLOOKUP('Données projet'!$B$10,Paramètres!$A$1:$I$89,3,0)*VLOOKUP('Données projet'!$B$10,Paramètres!$A$1:$I$89,5,0)</f>
        <v>7.3724091922955983</v>
      </c>
      <c r="AK11" s="14">
        <f t="shared" si="35"/>
        <v>2.6925994884028341</v>
      </c>
      <c r="AL11" s="22">
        <f t="shared" si="4"/>
        <v>17.529890118883106</v>
      </c>
      <c r="AM11" s="62">
        <f t="shared" si="5"/>
        <v>283.97433456332755</v>
      </c>
      <c r="AN11" s="62">
        <f ca="1">AVERAGE(OFFSET($AM$3,0,0,'Données projet'!$E$10+1,1))-AVERAGE(OFFSET($H$3,0,0,'Données projet'!$E$10+1,1))</f>
        <v>512.21337090113502</v>
      </c>
      <c r="AO11" s="62">
        <f t="shared" si="36"/>
        <v>621.03633124474163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4.3703703703703702</v>
      </c>
      <c r="BD11" s="13">
        <f>IF('Données projet'!$A$88&gt;35,BD10+BC11-BL10,IF(A11&lt;'Données projet'!$A$88,$BA$205^A11,IF(A11='Données projet'!$A$88,'Données projet'!$B$88,BD10+BC11-BL10)))</f>
        <v>4.110465099605972</v>
      </c>
      <c r="BE11" s="14">
        <f>BD11*VLOOKUP('Données projet'!$B$11,Paramètres!$A$1:$I$89,3,0)*VLOOKUP('Données projet'!$B$11,Paramètres!$A$1:$I$89,5,0)</f>
        <v>2.4580581295643715</v>
      </c>
      <c r="BF11" s="14">
        <f t="shared" si="37"/>
        <v>1.0201858318313493</v>
      </c>
      <c r="BG11" s="22">
        <f t="shared" si="7"/>
        <v>6.0579415660975471</v>
      </c>
      <c r="BH11" s="62">
        <f t="shared" si="8"/>
        <v>272.50238601054201</v>
      </c>
      <c r="BI11" s="62">
        <f ca="1">AVERAGE(OFFSET($BH$3,0,0,'Données projet'!$E$11+1,1))-AVERAGE(OFFSET($H$3,0,0,'Données projet'!$E$11+1,1))</f>
        <v>295.83974441964551</v>
      </c>
      <c r="BJ11" s="62">
        <f t="shared" si="38"/>
        <v>212.24900914818096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7.9</v>
      </c>
      <c r="N12" s="14">
        <f>IF('Données projet'!$A$36&gt;35,N11+M12-V11,IF(A12&lt;'Données projet'!$A$36,$K$205^A12,IF(A12='Données projet'!$A$36,'Données projet'!$B$36,N11+M12-V11)))</f>
        <v>9.7587836327093171</v>
      </c>
      <c r="O12" s="14">
        <f>N12*VLOOKUP('Données projet'!$B$9,Paramètres!$A$1:$I$89,3,0)*VLOOKUP('Données projet'!$B$9,Paramètres!$A$1:$I$89,5,0)</f>
        <v>4.5671107401079603</v>
      </c>
      <c r="P12" s="14">
        <f t="shared" si="33"/>
        <v>1.763645650133036</v>
      </c>
      <c r="Q12" s="22">
        <f t="shared" si="2"/>
        <v>11.026067379669733</v>
      </c>
      <c r="R12" s="62">
        <f t="shared" si="0"/>
        <v>278.6927340463364</v>
      </c>
      <c r="S12" s="62">
        <f ca="1">AVERAGE(OFFSET($R$3,0,0,'Données projet'!$E$9+1,1))-AVERAGE(OFFSET($H$3,0,0,'Données projet'!$E$9+1,1))</f>
        <v>193.05670375142864</v>
      </c>
      <c r="T12" s="62">
        <f t="shared" si="34"/>
        <v>259.12914184994344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8.4</v>
      </c>
      <c r="AI12" s="14">
        <f>IF('Données projet'!$A$62&gt;35,AI11+AH12-AQ11,IF(A12&lt;'Données projet'!$A$62,$AF$205^A12,IF(A12='Données projet'!$A$62,'Données projet'!$B$62,AI11+AH12-AQ11)))</f>
        <v>18.206326510930136</v>
      </c>
      <c r="AJ12" s="14">
        <f>AI12*VLOOKUP('Données projet'!$B$10,Paramètres!$A$1:$I$89,3,0)*VLOOKUP('Données projet'!$B$10,Paramètres!$A$1:$I$89,5,0)</f>
        <v>10.177336519609947</v>
      </c>
      <c r="AK12" s="14">
        <f t="shared" si="35"/>
        <v>3.5801200227577907</v>
      </c>
      <c r="AL12" s="22">
        <f t="shared" si="4"/>
        <v>23.960903477957146</v>
      </c>
      <c r="AM12" s="62">
        <f t="shared" si="5"/>
        <v>291.62757014462386</v>
      </c>
      <c r="AN12" s="62">
        <f ca="1">AVERAGE(OFFSET($AM$3,0,0,'Données projet'!$E$10+1,1))-AVERAGE(OFFSET($H$3,0,0,'Données projet'!$E$10+1,1))</f>
        <v>512.21337090113502</v>
      </c>
      <c r="AO12" s="62">
        <f t="shared" si="36"/>
        <v>621.03633124474163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4.3703703703703702</v>
      </c>
      <c r="BD12" s="13">
        <f>IF('Données projet'!$A$88&gt;35,BD11+BC12-BL11,IF(A12&lt;'Données projet'!$A$88,$BA$205^A12,IF(A12='Données projet'!$A$88,'Données projet'!$B$88,BD11+BC12-BL11)))</f>
        <v>4.9048681315240179</v>
      </c>
      <c r="BE12" s="14">
        <f>BD12*VLOOKUP('Données projet'!$B$11,Paramètres!$A$1:$I$89,3,0)*VLOOKUP('Données projet'!$B$11,Paramètres!$A$1:$I$89,5,0)</f>
        <v>2.9331111426513625</v>
      </c>
      <c r="BF12" s="14">
        <f t="shared" si="37"/>
        <v>1.192569079504352</v>
      </c>
      <c r="BG12" s="22">
        <f t="shared" si="7"/>
        <v>7.1855597202545356</v>
      </c>
      <c r="BH12" s="62">
        <f t="shared" si="8"/>
        <v>274.85222638692125</v>
      </c>
      <c r="BI12" s="62">
        <f ca="1">AVERAGE(OFFSET($BH$3,0,0,'Données projet'!$E$11+1,1))-AVERAGE(OFFSET($H$3,0,0,'Données projet'!$E$11+1,1))</f>
        <v>295.83974441964551</v>
      </c>
      <c r="BJ12" s="62">
        <f t="shared" si="38"/>
        <v>212.24900914818096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7.9</v>
      </c>
      <c r="N13" s="14">
        <f>IF('Données projet'!$A$36&gt;35,N12+M13-V12,IF(A13&lt;'Données projet'!$A$36,$K$205^A13,IF(A13='Données projet'!$A$36,'Données projet'!$B$36,N12+M13-V12)))</f>
        <v>12.569805089976542</v>
      </c>
      <c r="O13" s="14">
        <f>N13*VLOOKUP('Données projet'!$B$9,Paramètres!$A$1:$I$89,3,0)*VLOOKUP('Données projet'!$B$9,Paramètres!$A$1:$I$89,5,0)</f>
        <v>5.8826687821090227</v>
      </c>
      <c r="P13" s="14">
        <f t="shared" si="33"/>
        <v>2.2057079152108381</v>
      </c>
      <c r="Q13" s="22">
        <f t="shared" si="2"/>
        <v>14.087256081165423</v>
      </c>
      <c r="R13" s="62">
        <f t="shared" si="0"/>
        <v>282.97614497005429</v>
      </c>
      <c r="S13" s="62">
        <f ca="1">AVERAGE(OFFSET($R$3,0,0,'Données projet'!$E$9+1,1))-AVERAGE(OFFSET($H$3,0,0,'Données projet'!$E$9+1,1))</f>
        <v>193.05670375142864</v>
      </c>
      <c r="T13" s="62">
        <f t="shared" si="34"/>
        <v>259.12914184994344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8.4</v>
      </c>
      <c r="AI13" s="14">
        <f>IF('Données projet'!$A$62&gt;35,AI12+AH13-AQ12,IF(A13&lt;'Données projet'!$A$62,$AF$205^A13,IF(A13='Données projet'!$A$62,'Données projet'!$B$62,AI12+AH13-AQ12)))</f>
        <v>25.133156184720182</v>
      </c>
      <c r="AJ13" s="14">
        <f>AI13*VLOOKUP('Données projet'!$B$10,Paramètres!$A$1:$I$89,3,0)*VLOOKUP('Données projet'!$B$10,Paramètres!$A$1:$I$89,5,0)</f>
        <v>14.049434307258583</v>
      </c>
      <c r="AK13" s="14">
        <f t="shared" si="35"/>
        <v>4.7601804251080955</v>
      </c>
      <c r="AL13" s="22">
        <f t="shared" si="4"/>
        <v>32.760078992205301</v>
      </c>
      <c r="AM13" s="62">
        <f t="shared" si="5"/>
        <v>301.64896788109417</v>
      </c>
      <c r="AN13" s="62">
        <f ca="1">AVERAGE(OFFSET($AM$3,0,0,'Données projet'!$E$10+1,1))-AVERAGE(OFFSET($H$3,0,0,'Données projet'!$E$10+1,1))</f>
        <v>512.21337090113502</v>
      </c>
      <c r="AO13" s="62">
        <f t="shared" si="36"/>
        <v>621.03633124474163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4.3703703703703702</v>
      </c>
      <c r="BD13" s="13">
        <f>IF('Données projet'!$A$88&gt;35,BD12+BC13-BL12,IF(A13&lt;'Données projet'!$A$88,$BA$205^A13,IF(A13='Données projet'!$A$88,'Données projet'!$B$88,BD12+BC13-BL12)))</f>
        <v>5.8528003047504482</v>
      </c>
      <c r="BE13" s="14">
        <f>BD13*VLOOKUP('Données projet'!$B$11,Paramètres!$A$1:$I$89,3,0)*VLOOKUP('Données projet'!$B$11,Paramètres!$A$1:$I$89,5,0)</f>
        <v>3.499974582240768</v>
      </c>
      <c r="BF13" s="14">
        <f t="shared" si="37"/>
        <v>1.3940803381250744</v>
      </c>
      <c r="BG13" s="22">
        <f t="shared" si="7"/>
        <v>8.5238123196371749</v>
      </c>
      <c r="BH13" s="62">
        <f t="shared" si="8"/>
        <v>277.41270120852602</v>
      </c>
      <c r="BI13" s="62">
        <f ca="1">AVERAGE(OFFSET($BH$3,0,0,'Données projet'!$E$11+1,1))-AVERAGE(OFFSET($H$3,0,0,'Données projet'!$E$11+1,1))</f>
        <v>295.83974441964551</v>
      </c>
      <c r="BJ13" s="62">
        <f t="shared" si="38"/>
        <v>212.24900914818096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7.9</v>
      </c>
      <c r="N14" s="14">
        <f>IF('Données projet'!$A$36&gt;35,N13+M14-V13,IF(A14&lt;'Données projet'!$A$36,$K$205^A14,IF(A14='Données projet'!$A$36,'Données projet'!$B$36,N13+M14-V13)))</f>
        <v>16.190542381779895</v>
      </c>
      <c r="O14" s="14">
        <f>N14*VLOOKUP('Données projet'!$B$9,Paramètres!$A$1:$I$89,3,0)*VLOOKUP('Données projet'!$B$9,Paramètres!$A$1:$I$89,5,0)</f>
        <v>7.5771738346729904</v>
      </c>
      <c r="P14" s="14">
        <f t="shared" si="33"/>
        <v>2.7585742106736397</v>
      </c>
      <c r="Q14" s="22">
        <f t="shared" si="2"/>
        <v>18.001427845645381</v>
      </c>
      <c r="R14" s="62">
        <f t="shared" si="0"/>
        <v>288.11253895675651</v>
      </c>
      <c r="S14" s="62">
        <f ca="1">AVERAGE(OFFSET($R$3,0,0,'Données projet'!$E$9+1,1))-AVERAGE(OFFSET($H$3,0,0,'Données projet'!$E$9+1,1))</f>
        <v>193.05670375142864</v>
      </c>
      <c r="T14" s="62">
        <f t="shared" si="34"/>
        <v>259.12914184994344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8.4</v>
      </c>
      <c r="AI14" s="14">
        <f>IF('Données projet'!$A$62&gt;35,AI13+AH14-AQ13,IF(A14&lt;'Données projet'!$A$62,$AF$205^A14,IF(A14='Données projet'!$A$62,'Données projet'!$B$62,AI13+AH14-AQ13)))</f>
        <v>34.695386761646446</v>
      </c>
      <c r="AJ14" s="14">
        <f>AI14*VLOOKUP('Données projet'!$B$10,Paramètres!$A$1:$I$89,3,0)*VLOOKUP('Données projet'!$B$10,Paramètres!$A$1:$I$89,5,0)</f>
        <v>19.394721199760365</v>
      </c>
      <c r="AK14" s="14">
        <f t="shared" si="35"/>
        <v>6.3292061538561635</v>
      </c>
      <c r="AL14" s="22">
        <f t="shared" si="4"/>
        <v>44.802506807548788</v>
      </c>
      <c r="AM14" s="62">
        <f t="shared" si="5"/>
        <v>314.91361791865995</v>
      </c>
      <c r="AN14" s="62">
        <f ca="1">AVERAGE(OFFSET($AM$3,0,0,'Données projet'!$E$10+1,1))-AVERAGE(OFFSET($H$3,0,0,'Données projet'!$E$10+1,1))</f>
        <v>512.21337090113502</v>
      </c>
      <c r="AO14" s="62">
        <f t="shared" si="36"/>
        <v>621.03633124474163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4.3703703703703702</v>
      </c>
      <c r="BD14" s="13">
        <f>IF('Données projet'!$A$88&gt;35,BD13+BC14-BL13,IF(A14&lt;'Données projet'!$A$88,$BA$205^A14,IF(A14='Données projet'!$A$88,'Données projet'!$B$88,BD13+BC14-BL13)))</f>
        <v>6.9839332044678839</v>
      </c>
      <c r="BE14" s="14">
        <f>BD14*VLOOKUP('Données projet'!$B$11,Paramètres!$A$1:$I$89,3,0)*VLOOKUP('Données projet'!$B$11,Paramètres!$A$1:$I$89,5,0)</f>
        <v>4.1763920562717951</v>
      </c>
      <c r="BF14" s="14">
        <f t="shared" si="37"/>
        <v>1.629641437588379</v>
      </c>
      <c r="BG14" s="22">
        <f t="shared" si="7"/>
        <v>10.112175001806468</v>
      </c>
      <c r="BH14" s="62">
        <f t="shared" si="8"/>
        <v>280.22328611291761</v>
      </c>
      <c r="BI14" s="62">
        <f ca="1">AVERAGE(OFFSET($BH$3,0,0,'Données projet'!$E$11+1,1))-AVERAGE(OFFSET($H$3,0,0,'Données projet'!$E$11+1,1))</f>
        <v>295.83974441964551</v>
      </c>
      <c r="BJ14" s="62">
        <f t="shared" si="38"/>
        <v>212.24900914818096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7.9</v>
      </c>
      <c r="N15" s="14">
        <f>IF('Données projet'!$A$36&gt;35,N14+M15-V14,IF(A15&lt;'Données projet'!$A$36,$K$205^A15,IF(A15='Données projet'!$A$36,'Données projet'!$B$36,N14+M15-V14)))</f>
        <v>20.854234472198982</v>
      </c>
      <c r="O15" s="14">
        <f>N15*VLOOKUP('Données projet'!$B$9,Paramètres!$A$1:$I$89,3,0)*VLOOKUP('Données projet'!$B$9,Paramètres!$A$1:$I$89,5,0)</f>
        <v>9.7597817329891239</v>
      </c>
      <c r="P15" s="14">
        <f t="shared" si="33"/>
        <v>3.4500178483814818</v>
      </c>
      <c r="Q15" s="22">
        <f t="shared" si="2"/>
        <v>23.00706760422047</v>
      </c>
      <c r="R15" s="62">
        <f t="shared" si="0"/>
        <v>294.3404009375538</v>
      </c>
      <c r="S15" s="62">
        <f ca="1">AVERAGE(OFFSET($R$3,0,0,'Données projet'!$E$9+1,1))-AVERAGE(OFFSET($H$3,0,0,'Données projet'!$E$9+1,1))</f>
        <v>193.05670375142864</v>
      </c>
      <c r="T15" s="62">
        <f t="shared" si="34"/>
        <v>259.12914184994344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8.4</v>
      </c>
      <c r="AI15" s="14">
        <f>IF('Données projet'!$A$62&gt;35,AI14+AH15-AQ14,IF(A15&lt;'Données projet'!$A$62,$AF$205^A15,IF(A15='Données projet'!$A$62,'Données projet'!$B$62,AI14+AH15-AQ14)))</f>
        <v>47.895690206710654</v>
      </c>
      <c r="AJ15" s="14">
        <f>AI15*VLOOKUP('Données projet'!$B$10,Paramètres!$A$1:$I$89,3,0)*VLOOKUP('Données projet'!$B$10,Paramètres!$A$1:$I$89,5,0)</f>
        <v>26.77369082555126</v>
      </c>
      <c r="AK15" s="14">
        <f t="shared" si="35"/>
        <v>8.415405921741101</v>
      </c>
      <c r="AL15" s="22">
        <f t="shared" si="4"/>
        <v>61.287676834867518</v>
      </c>
      <c r="AM15" s="62">
        <f t="shared" si="5"/>
        <v>332.62101016820083</v>
      </c>
      <c r="AN15" s="62">
        <f ca="1">AVERAGE(OFFSET($AM$3,0,0,'Données projet'!$E$10+1,1))-AVERAGE(OFFSET($H$3,0,0,'Données projet'!$E$10+1,1))</f>
        <v>512.21337090113502</v>
      </c>
      <c r="AO15" s="62">
        <f t="shared" si="36"/>
        <v>621.03633124474163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4.3703703703703702</v>
      </c>
      <c r="BD15" s="13">
        <f>IF('Données projet'!$A$88&gt;35,BD14+BC15-BL14,IF(A15&lt;'Données projet'!$A$88,$BA$205^A15,IF(A15='Données projet'!$A$88,'Données projet'!$B$88,BD14+BC15-BL14)))</f>
        <v>8.3336728514178713</v>
      </c>
      <c r="BE15" s="14">
        <f>BD15*VLOOKUP('Données projet'!$B$11,Paramètres!$A$1:$I$89,3,0)*VLOOKUP('Données projet'!$B$11,Paramètres!$A$1:$I$89,5,0)</f>
        <v>4.983536365147887</v>
      </c>
      <c r="BF15" s="14">
        <f t="shared" si="37"/>
        <v>1.9050058611951031</v>
      </c>
      <c r="BG15" s="22">
        <f t="shared" si="7"/>
        <v>11.997544377547372</v>
      </c>
      <c r="BH15" s="62">
        <f t="shared" si="8"/>
        <v>283.33087771088071</v>
      </c>
      <c r="BI15" s="62">
        <f ca="1">AVERAGE(OFFSET($BH$3,0,0,'Données projet'!$E$11+1,1))-AVERAGE(OFFSET($H$3,0,0,'Données projet'!$E$11+1,1))</f>
        <v>295.83974441964551</v>
      </c>
      <c r="BJ15" s="62">
        <f t="shared" si="38"/>
        <v>212.24900914818096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7.9</v>
      </c>
      <c r="N16" s="14">
        <f>IF('Données projet'!$A$36&gt;35,N15+M16-V15,IF(A16&lt;'Données projet'!$A$36,$K$205^A16,IF(A16='Données projet'!$A$36,'Données projet'!$B$36,N15+M16-V15)))</f>
        <v>26.861304900499697</v>
      </c>
      <c r="O16" s="14">
        <f>N16*VLOOKUP('Données projet'!$B$9,Paramètres!$A$1:$I$89,3,0)*VLOOKUP('Données projet'!$B$9,Paramètres!$A$1:$I$89,5,0)</f>
        <v>12.571090693433858</v>
      </c>
      <c r="P16" s="14">
        <f t="shared" si="33"/>
        <v>4.3147735914069099</v>
      </c>
      <c r="Q16" s="22">
        <f t="shared" si="2"/>
        <v>29.409546962764335</v>
      </c>
      <c r="R16" s="62">
        <f t="shared" si="0"/>
        <v>301.9651025183199</v>
      </c>
      <c r="S16" s="62">
        <f ca="1">AVERAGE(OFFSET($R$3,0,0,'Données projet'!$E$9+1,1))-AVERAGE(OFFSET($H$3,0,0,'Données projet'!$E$9+1,1))</f>
        <v>193.05670375142864</v>
      </c>
      <c r="T16" s="62">
        <f t="shared" si="34"/>
        <v>259.12914184994344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8.4</v>
      </c>
      <c r="AI16" s="14">
        <f>IF('Données projet'!$A$62&gt;35,AI15+AH16-AQ15,IF(A16&lt;'Données projet'!$A$62,$AF$205^A16,IF(A16='Données projet'!$A$62,'Données projet'!$B$62,AI15+AH16-AQ15)))</f>
        <v>66.118217852324591</v>
      </c>
      <c r="AJ16" s="14">
        <f>AI16*VLOOKUP('Données projet'!$B$10,Paramètres!$A$1:$I$89,3,0)*VLOOKUP('Données projet'!$B$10,Paramètres!$A$1:$I$89,5,0)</f>
        <v>36.960083779449448</v>
      </c>
      <c r="AK16" s="14">
        <f t="shared" si="35"/>
        <v>11.189247925591365</v>
      </c>
      <c r="AL16" s="22">
        <f t="shared" si="4"/>
        <v>83.860086052946073</v>
      </c>
      <c r="AM16" s="62">
        <f t="shared" si="5"/>
        <v>356.41564160850163</v>
      </c>
      <c r="AN16" s="62">
        <f ca="1">AVERAGE(OFFSET($AM$3,0,0,'Données projet'!$E$10+1,1))-AVERAGE(OFFSET($H$3,0,0,'Données projet'!$E$10+1,1))</f>
        <v>512.21337090113502</v>
      </c>
      <c r="AO16" s="62">
        <f t="shared" si="36"/>
        <v>621.03633124474163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4.3703703703703702</v>
      </c>
      <c r="BD16" s="13">
        <f>IF('Données projet'!$A$88&gt;35,BD15+BC16-BL15,IF(A16&lt;'Données projet'!$A$88,$BA$205^A16,IF(A16='Données projet'!$A$88,'Données projet'!$B$88,BD15+BC16-BL15)))</f>
        <v>9.944267959210924</v>
      </c>
      <c r="BE16" s="14">
        <f>BD16*VLOOKUP('Données projet'!$B$11,Paramètres!$A$1:$I$89,3,0)*VLOOKUP('Données projet'!$B$11,Paramètres!$A$1:$I$89,5,0)</f>
        <v>5.9466722396081328</v>
      </c>
      <c r="BF16" s="14">
        <f t="shared" si="37"/>
        <v>2.2268992721234029</v>
      </c>
      <c r="BG16" s="22">
        <f t="shared" si="7"/>
        <v>14.235637049599092</v>
      </c>
      <c r="BH16" s="62">
        <f t="shared" si="8"/>
        <v>286.79119260515461</v>
      </c>
      <c r="BI16" s="62">
        <f ca="1">AVERAGE(OFFSET($BH$3,0,0,'Données projet'!$E$11+1,1))-AVERAGE(OFFSET($H$3,0,0,'Données projet'!$E$11+1,1))</f>
        <v>295.83974441964551</v>
      </c>
      <c r="BJ16" s="62">
        <f t="shared" si="38"/>
        <v>212.24900914818096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7.9</v>
      </c>
      <c r="N17" s="14">
        <f>IF('Données projet'!$A$36&gt;35,N16+M17-V16,IF(A17&lt;'Données projet'!$A$36,$K$205^A17,IF(A17='Données projet'!$A$36,'Données projet'!$B$36,N16+M17-V16)))</f>
        <v>34.598714324397214</v>
      </c>
      <c r="O17" s="14">
        <f>N17*VLOOKUP('Données projet'!$B$9,Paramètres!$A$1:$I$89,3,0)*VLOOKUP('Données projet'!$B$9,Paramètres!$A$1:$I$89,5,0)</f>
        <v>16.192198303817896</v>
      </c>
      <c r="P17" s="14">
        <f t="shared" si="33"/>
        <v>5.3962825594761723</v>
      </c>
      <c r="Q17" s="22">
        <f t="shared" si="2"/>
        <v>37.599937503570509</v>
      </c>
      <c r="R17" s="62">
        <f t="shared" si="0"/>
        <v>311.37771528134829</v>
      </c>
      <c r="S17" s="62">
        <f ca="1">AVERAGE(OFFSET($R$3,0,0,'Données projet'!$E$9+1,1))-AVERAGE(OFFSET($H$3,0,0,'Données projet'!$E$9+1,1))</f>
        <v>193.05670375142864</v>
      </c>
      <c r="T17" s="62">
        <f t="shared" si="34"/>
        <v>259.12914184994344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8.4</v>
      </c>
      <c r="AI17" s="14">
        <f>IF('Données projet'!$A$62&gt;35,AI16+AH17-AQ16,IF(A17&lt;'Données projet'!$A$62,$AF$205^A17,IF(A17='Données projet'!$A$62,'Données projet'!$B$62,AI16+AH17-AQ16)))</f>
        <v>91.273739100537057</v>
      </c>
      <c r="AJ17" s="14">
        <f>AI17*VLOOKUP('Données projet'!$B$10,Paramètres!$A$1:$I$89,3,0)*VLOOKUP('Données projet'!$B$10,Paramètres!$A$1:$I$89,5,0)</f>
        <v>51.02202015720021</v>
      </c>
      <c r="AK17" s="14">
        <f t="shared" si="35"/>
        <v>14.877389196033896</v>
      </c>
      <c r="AL17" s="22">
        <f t="shared" si="4"/>
        <v>114.7748046235494</v>
      </c>
      <c r="AM17" s="62">
        <f t="shared" si="5"/>
        <v>388.55258240132719</v>
      </c>
      <c r="AN17" s="62">
        <f ca="1">AVERAGE(OFFSET($AM$3,0,0,'Données projet'!$E$10+1,1))-AVERAGE(OFFSET($H$3,0,0,'Données projet'!$E$10+1,1))</f>
        <v>512.21337090113502</v>
      </c>
      <c r="AO17" s="62">
        <f t="shared" si="36"/>
        <v>621.03633124474163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4.3703703703703702</v>
      </c>
      <c r="BD17" s="13">
        <f>IF('Données projet'!$A$88&gt;35,BD16+BC17-BL16,IF(A17&lt;'Données projet'!$A$88,$BA$205^A17,IF(A17='Données projet'!$A$88,'Données projet'!$B$88,BD16+BC17-BL16)))</f>
        <v>11.866132377366407</v>
      </c>
      <c r="BE17" s="14">
        <f>BD17*VLOOKUP('Données projet'!$B$11,Paramètres!$A$1:$I$89,3,0)*VLOOKUP('Données projet'!$B$11,Paramètres!$A$1:$I$89,5,0)</f>
        <v>7.0959471616651122</v>
      </c>
      <c r="BF17" s="14">
        <f t="shared" si="37"/>
        <v>2.6031837849951125</v>
      </c>
      <c r="BG17" s="22">
        <f t="shared" si="7"/>
        <v>16.892653065433223</v>
      </c>
      <c r="BH17" s="62">
        <f t="shared" si="8"/>
        <v>290.67043084321097</v>
      </c>
      <c r="BI17" s="62">
        <f ca="1">AVERAGE(OFFSET($BH$3,0,0,'Données projet'!$E$11+1,1))-AVERAGE(OFFSET($H$3,0,0,'Données projet'!$E$11+1,1))</f>
        <v>295.83974441964551</v>
      </c>
      <c r="BJ17" s="62">
        <f t="shared" si="38"/>
        <v>212.24900914818096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7.9</v>
      </c>
      <c r="N18" s="14">
        <f>IF('Données projet'!$A$36&gt;35,N17+M18-V17,IF(A18&lt;'Données projet'!$A$36,$K$205^A18,IF(A18='Données projet'!$A$36,'Données projet'!$B$36,N17+M18-V17)))</f>
        <v>44.564887571004775</v>
      </c>
      <c r="O18" s="14">
        <f>N18*VLOOKUP('Données projet'!$B$9,Paramètres!$A$1:$I$89,3,0)*VLOOKUP('Données projet'!$B$9,Paramètres!$A$1:$I$89,5,0)</f>
        <v>20.856367383230236</v>
      </c>
      <c r="P18" s="14">
        <f t="shared" si="33"/>
        <v>6.7488744993944465</v>
      </c>
      <c r="Q18" s="22">
        <f t="shared" si="2"/>
        <v>48.079129612237985</v>
      </c>
      <c r="R18" s="62">
        <f t="shared" si="0"/>
        <v>323.07912961223798</v>
      </c>
      <c r="S18" s="62">
        <f ca="1">AVERAGE(OFFSET($R$3,0,0,'Données projet'!$E$9+1,1))-AVERAGE(OFFSET($H$3,0,0,'Données projet'!$E$9+1,1))</f>
        <v>193.05670375142864</v>
      </c>
      <c r="T18" s="62">
        <f t="shared" si="34"/>
        <v>259.12914184994344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126</v>
      </c>
      <c r="AG18" s="13">
        <f>VLOOKUP(A18,'Données projet'!$A$61:$I$81,9,0)</f>
        <v>8.4</v>
      </c>
      <c r="AH18" s="13">
        <f t="array" ref="AH18">INDEX(AG:AG,MIN(IF(ISNUMBER(AG18:AG214),ROW(AG18:AG214),"")))</f>
        <v>8.4</v>
      </c>
      <c r="AI18" s="14">
        <f>IF('Données projet'!$A$62&gt;35,AI17+AH18-AQ17,IF(A18&lt;'Données projet'!$A$62,$AF$205^A18,IF(A18='Données projet'!$A$62,'Données projet'!$B$62,AI17+AH18-AQ17)))</f>
        <v>126</v>
      </c>
      <c r="AJ18" s="14">
        <f>AI18*VLOOKUP('Données projet'!$B$10,Paramètres!$A$1:$I$89,3,0)*VLOOKUP('Données projet'!$B$10,Paramètres!$A$1:$I$89,5,0)</f>
        <v>70.433999999999997</v>
      </c>
      <c r="AK18" s="14">
        <f t="shared" si="35"/>
        <v>19.78119626646561</v>
      </c>
      <c r="AL18" s="22">
        <f t="shared" si="4"/>
        <v>157.12480016409424</v>
      </c>
      <c r="AM18" s="62">
        <f t="shared" si="5"/>
        <v>432.12480016409427</v>
      </c>
      <c r="AN18" s="62">
        <f ca="1">AVERAGE(OFFSET($AM$3,0,0,'Données projet'!$E$10+1,1))-AVERAGE(OFFSET($H$3,0,0,'Données projet'!$E$10+1,1))</f>
        <v>512.21337090113502</v>
      </c>
      <c r="AO18" s="62">
        <f t="shared" si="36"/>
        <v>621.03633124474163</v>
      </c>
      <c r="AP18" s="16">
        <f>IF(ISNA(VLOOKUP(A18,'Données projet'!$A$61:$I$81,3,0)),0,VLOOKUP(A18,'Données projet'!$A$61:$I$81,3,0))</f>
        <v>1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4.3703703703703702</v>
      </c>
      <c r="BD18" s="13">
        <f>IF('Données projet'!$A$88&gt;35,BD17+BC18-BL17,IF(A18&lt;'Données projet'!$A$88,$BA$205^A18,IF(A18='Données projet'!$A$88,'Données projet'!$B$88,BD17+BC18-BL17)))</f>
        <v>14.159423114374338</v>
      </c>
      <c r="BE18" s="14">
        <f>BD18*VLOOKUP('Données projet'!$B$11,Paramètres!$A$1:$I$89,3,0)*VLOOKUP('Données projet'!$B$11,Paramètres!$A$1:$I$89,5,0)</f>
        <v>8.4673350223958543</v>
      </c>
      <c r="BF18" s="14">
        <f t="shared" si="37"/>
        <v>3.0430499948027987</v>
      </c>
      <c r="BG18" s="22">
        <f t="shared" si="7"/>
        <v>20.047253904954317</v>
      </c>
      <c r="BH18" s="62">
        <f t="shared" si="8"/>
        <v>295.04725390495435</v>
      </c>
      <c r="BI18" s="62">
        <f ca="1">AVERAGE(OFFSET($BH$3,0,0,'Données projet'!$E$11+1,1))-AVERAGE(OFFSET($H$3,0,0,'Données projet'!$E$11+1,1))</f>
        <v>295.83974441964551</v>
      </c>
      <c r="BJ18" s="62">
        <f t="shared" si="38"/>
        <v>212.24900914818096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7.9</v>
      </c>
      <c r="N19" s="14">
        <f>IF('Données projet'!$A$36&gt;35,N18+M19-V18,IF(A19&lt;'Données projet'!$A$36,$K$205^A19,IF(A19='Données projet'!$A$36,'Données projet'!$B$36,N18+M19-V18)))</f>
        <v>57.401820934596167</v>
      </c>
      <c r="O19" s="14">
        <f>N19*VLOOKUP('Données projet'!$B$9,Paramètres!$A$1:$I$89,3,0)*VLOOKUP('Données projet'!$B$9,Paramètres!$A$1:$I$89,5,0)</f>
        <v>26.864052197391008</v>
      </c>
      <c r="P19" s="14">
        <f t="shared" si="33"/>
        <v>8.4404970471001413</v>
      </c>
      <c r="Q19" s="22">
        <f t="shared" si="2"/>
        <v>61.488756600822086</v>
      </c>
      <c r="R19" s="62">
        <f t="shared" si="0"/>
        <v>337.71097882304434</v>
      </c>
      <c r="S19" s="62">
        <f ca="1">AVERAGE(OFFSET($R$3,0,0,'Données projet'!$E$9+1,1))-AVERAGE(OFFSET($H$3,0,0,'Données projet'!$E$9+1,1))</f>
        <v>193.05670375142864</v>
      </c>
      <c r="T19" s="62">
        <f t="shared" si="34"/>
        <v>259.12914184994344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22.4</v>
      </c>
      <c r="AI19" s="14">
        <f>IF('Données projet'!$A$62&gt;35,AI18+AH19-AQ18,IF(A19&lt;'Données projet'!$A$62,$AF$205^A19,IF(A19='Données projet'!$A$62,'Données projet'!$B$62,AI18+AH19-AQ18)))</f>
        <v>148.4</v>
      </c>
      <c r="AJ19" s="14">
        <f>AI19*VLOOKUP('Données projet'!$B$10,Paramètres!$A$1:$I$89,3,0)*VLOOKUP('Données projet'!$B$10,Paramètres!$A$1:$I$89,5,0)</f>
        <v>82.955600000000004</v>
      </c>
      <c r="AK19" s="14">
        <f t="shared" si="35"/>
        <v>22.858310787063903</v>
      </c>
      <c r="AL19" s="22">
        <f t="shared" si="4"/>
        <v>184.29256128746965</v>
      </c>
      <c r="AM19" s="62">
        <f t="shared" si="5"/>
        <v>460.51478350969188</v>
      </c>
      <c r="AN19" s="62">
        <f ca="1">AVERAGE(OFFSET($AM$3,0,0,'Données projet'!$E$10+1,1))-AVERAGE(OFFSET($H$3,0,0,'Données projet'!$E$10+1,1))</f>
        <v>512.21337090113502</v>
      </c>
      <c r="AO19" s="62">
        <f t="shared" si="36"/>
        <v>621.03633124474163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4.3703703703703702</v>
      </c>
      <c r="BD19" s="13">
        <f>IF('Données projet'!$A$88&gt;35,BD18+BC19-BL18,IF(A19&lt;'Données projet'!$A$88,$BA$205^A19,IF(A19='Données projet'!$A$88,'Données projet'!$B$88,BD18+BC19-BL18)))</f>
        <v>16.895923335078734</v>
      </c>
      <c r="BE19" s="14">
        <f>BD19*VLOOKUP('Données projet'!$B$11,Paramètres!$A$1:$I$89,3,0)*VLOOKUP('Données projet'!$B$11,Paramètres!$A$1:$I$89,5,0)</f>
        <v>10.103762154377083</v>
      </c>
      <c r="BF19" s="14">
        <f t="shared" si="37"/>
        <v>3.5572414534253478</v>
      </c>
      <c r="BG19" s="22">
        <f t="shared" si="7"/>
        <v>23.79291461692257</v>
      </c>
      <c r="BH19" s="62">
        <f t="shared" si="8"/>
        <v>300.01513683914482</v>
      </c>
      <c r="BI19" s="62">
        <f ca="1">AVERAGE(OFFSET($BH$3,0,0,'Données projet'!$E$11+1,1))-AVERAGE(OFFSET($H$3,0,0,'Données projet'!$E$11+1,1))</f>
        <v>295.83974441964551</v>
      </c>
      <c r="BJ19" s="62">
        <f t="shared" si="38"/>
        <v>212.24900914818096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7.9</v>
      </c>
      <c r="N20" s="14">
        <f>IF('Données projet'!$A$36&gt;35,N19+M20-V19,IF(A20&lt;'Données projet'!$A$36,$K$205^A20,IF(A20='Données projet'!$A$36,'Données projet'!$B$36,N19+M20-V19)))</f>
        <v>73.936437994095741</v>
      </c>
      <c r="O20" s="14">
        <f>N20*VLOOKUP('Données projet'!$B$9,Paramètres!$A$1:$I$89,3,0)*VLOOKUP('Données projet'!$B$9,Paramètres!$A$1:$I$89,5,0)</f>
        <v>34.602252981236802</v>
      </c>
      <c r="P20" s="14">
        <f t="shared" si="33"/>
        <v>10.556129086190376</v>
      </c>
      <c r="Q20" s="22">
        <f t="shared" si="2"/>
        <v>78.650848767435647</v>
      </c>
      <c r="R20" s="62">
        <f t="shared" si="0"/>
        <v>356.09529321188012</v>
      </c>
      <c r="S20" s="62">
        <f ca="1">AVERAGE(OFFSET($R$3,0,0,'Données projet'!$E$9+1,1))-AVERAGE(OFFSET($H$3,0,0,'Données projet'!$E$9+1,1))</f>
        <v>193.05670375142864</v>
      </c>
      <c r="T20" s="62">
        <f t="shared" si="34"/>
        <v>259.12914184994344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22.4</v>
      </c>
      <c r="AI20" s="14">
        <f>IF('Données projet'!$A$62&gt;35,AI19+AH20-AQ19,IF(A20&lt;'Données projet'!$A$62,$AF$205^A20,IF(A20='Données projet'!$A$62,'Données projet'!$B$62,AI19+AH20-AQ19)))</f>
        <v>170.8</v>
      </c>
      <c r="AJ20" s="14">
        <f>AI20*VLOOKUP('Données projet'!$B$10,Paramètres!$A$1:$I$89,3,0)*VLOOKUP('Données projet'!$B$10,Paramètres!$A$1:$I$89,5,0)</f>
        <v>95.477200000000011</v>
      </c>
      <c r="AK20" s="14">
        <f t="shared" si="35"/>
        <v>25.881617647431607</v>
      </c>
      <c r="AL20" s="22">
        <f t="shared" si="4"/>
        <v>211.36660740261004</v>
      </c>
      <c r="AM20" s="62">
        <f t="shared" si="5"/>
        <v>488.8110518470545</v>
      </c>
      <c r="AN20" s="62">
        <f ca="1">AVERAGE(OFFSET($AM$3,0,0,'Données projet'!$E$10+1,1))-AVERAGE(OFFSET($H$3,0,0,'Données projet'!$E$10+1,1))</f>
        <v>512.21337090113502</v>
      </c>
      <c r="AO20" s="62">
        <f t="shared" si="36"/>
        <v>621.03633124474163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4.3703703703703702</v>
      </c>
      <c r="BD20" s="13">
        <f>IF('Données projet'!$A$88&gt;35,BD19+BC20-BL19,IF(A20&lt;'Données projet'!$A$88,$BA$205^A20,IF(A20='Données projet'!$A$88,'Données projet'!$B$88,BD19+BC20-BL19)))</f>
        <v>20.161289272799031</v>
      </c>
      <c r="BE20" s="14">
        <f>BD20*VLOOKUP('Données projet'!$B$11,Paramètres!$A$1:$I$89,3,0)*VLOOKUP('Données projet'!$B$11,Paramètres!$A$1:$I$89,5,0)</f>
        <v>12.056450985133822</v>
      </c>
      <c r="BF20" s="14">
        <f t="shared" si="37"/>
        <v>4.1583170764789594</v>
      </c>
      <c r="BG20" s="22">
        <f t="shared" si="7"/>
        <v>28.240721040642256</v>
      </c>
      <c r="BH20" s="62">
        <f t="shared" si="8"/>
        <v>305.68516548508671</v>
      </c>
      <c r="BI20" s="62">
        <f ca="1">AVERAGE(OFFSET($BH$3,0,0,'Données projet'!$E$11+1,1))-AVERAGE(OFFSET($H$3,0,0,'Données projet'!$E$11+1,1))</f>
        <v>295.83974441964551</v>
      </c>
      <c r="BJ20" s="62">
        <f t="shared" si="38"/>
        <v>212.24900914818096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7.9</v>
      </c>
      <c r="N21" s="14">
        <f>IF('Données projet'!$A$36&gt;35,N20+M21-V20,IF(A21&lt;'Données projet'!$A$36,$K$205^A21,IF(A21='Données projet'!$A$36,'Données projet'!$B$36,N20+M21-V20)))</f>
        <v>95.233857990035276</v>
      </c>
      <c r="O21" s="14">
        <f>N21*VLOOKUP('Données projet'!$B$9,Paramètres!$A$1:$I$89,3,0)*VLOOKUP('Données projet'!$B$9,Paramètres!$A$1:$I$89,5,0)</f>
        <v>44.569445539336513</v>
      </c>
      <c r="P21" s="14">
        <f t="shared" si="33"/>
        <v>13.202049673437019</v>
      </c>
      <c r="Q21" s="22">
        <f t="shared" si="2"/>
        <v>100.61868749558056</v>
      </c>
      <c r="R21" s="62">
        <f t="shared" si="0"/>
        <v>379.28535416224724</v>
      </c>
      <c r="S21" s="62">
        <f ca="1">AVERAGE(OFFSET($R$3,0,0,'Données projet'!$E$9+1,1))-AVERAGE(OFFSET($H$3,0,0,'Données projet'!$E$9+1,1))</f>
        <v>193.05670375142864</v>
      </c>
      <c r="T21" s="62">
        <f t="shared" si="34"/>
        <v>259.12914184994344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22.4</v>
      </c>
      <c r="AI21" s="14">
        <f>IF('Données projet'!$A$62&gt;35,AI20+AH21-AQ20,IF(A21&lt;'Données projet'!$A$62,$AF$205^A21,IF(A21='Données projet'!$A$62,'Données projet'!$B$62,AI20+AH21-AQ20)))</f>
        <v>193.20000000000002</v>
      </c>
      <c r="AJ21" s="14">
        <f>AI21*VLOOKUP('Données projet'!$B$10,Paramètres!$A$1:$I$89,3,0)*VLOOKUP('Données projet'!$B$10,Paramètres!$A$1:$I$89,5,0)</f>
        <v>107.99880000000002</v>
      </c>
      <c r="AK21" s="14">
        <f t="shared" si="35"/>
        <v>28.858983600701585</v>
      </c>
      <c r="AL21" s="22">
        <f t="shared" si="4"/>
        <v>238.36063977122194</v>
      </c>
      <c r="AM21" s="62">
        <f t="shared" si="5"/>
        <v>517.02730643788868</v>
      </c>
      <c r="AN21" s="62">
        <f ca="1">AVERAGE(OFFSET($AM$3,0,0,'Données projet'!$E$10+1,1))-AVERAGE(OFFSET($H$3,0,0,'Données projet'!$E$10+1,1))</f>
        <v>512.21337090113502</v>
      </c>
      <c r="AO21" s="62">
        <f t="shared" si="36"/>
        <v>621.03633124474163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4.3703703703703702</v>
      </c>
      <c r="BD21" s="13">
        <f>IF('Données projet'!$A$88&gt;35,BD20+BC21-BL20,IF(A21&lt;'Données projet'!$A$88,$BA$205^A21,IF(A21='Données projet'!$A$88,'Données projet'!$B$88,BD20+BC21-BL20)))</f>
        <v>24.057731387639919</v>
      </c>
      <c r="BE21" s="14">
        <f>BD21*VLOOKUP('Données projet'!$B$11,Paramètres!$A$1:$I$89,3,0)*VLOOKUP('Données projet'!$B$11,Paramètres!$A$1:$I$89,5,0)</f>
        <v>14.386523369808673</v>
      </c>
      <c r="BF21" s="14">
        <f t="shared" si="37"/>
        <v>4.8609578896833261</v>
      </c>
      <c r="BG21" s="22">
        <f t="shared" si="7"/>
        <v>33.522696526948565</v>
      </c>
      <c r="BH21" s="62">
        <f t="shared" si="8"/>
        <v>312.18936319361524</v>
      </c>
      <c r="BI21" s="62">
        <f ca="1">AVERAGE(OFFSET($BH$3,0,0,'Données projet'!$E$11+1,1))-AVERAGE(OFFSET($H$3,0,0,'Données projet'!$E$11+1,1))</f>
        <v>295.83974441964551</v>
      </c>
      <c r="BJ21" s="62">
        <f t="shared" si="38"/>
        <v>212.24900914818096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7.9</v>
      </c>
      <c r="N22" s="14">
        <f>IF('Données projet'!$A$36&gt;35,N21+M22-V21,IF(A22&lt;'Données projet'!$A$36,$K$205^A22,IF(A22='Données projet'!$A$36,'Données projet'!$B$36,N21+M22-V21)))</f>
        <v>122.66600817840934</v>
      </c>
      <c r="O22" s="14">
        <f>N22*VLOOKUP('Données projet'!$B$9,Paramètres!$A$1:$I$89,3,0)*VLOOKUP('Données projet'!$B$9,Paramètres!$A$1:$I$89,5,0)</f>
        <v>57.407691827495569</v>
      </c>
      <c r="P22" s="14">
        <f t="shared" si="33"/>
        <v>16.511176981334152</v>
      </c>
      <c r="Q22" s="22">
        <f t="shared" si="2"/>
        <v>128.7420298420451</v>
      </c>
      <c r="R22" s="62">
        <f t="shared" si="0"/>
        <v>408.63091873093396</v>
      </c>
      <c r="S22" s="62">
        <f ca="1">AVERAGE(OFFSET($R$3,0,0,'Données projet'!$E$9+1,1))-AVERAGE(OFFSET($H$3,0,0,'Données projet'!$E$9+1,1))</f>
        <v>193.05670375142864</v>
      </c>
      <c r="T22" s="62">
        <f t="shared" si="34"/>
        <v>259.12914184994344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22.4</v>
      </c>
      <c r="AI22" s="14">
        <f>IF('Données projet'!$A$62&gt;35,AI21+AH22-AQ21,IF(A22&lt;'Données projet'!$A$62,$AF$205^A22,IF(A22='Données projet'!$A$62,'Données projet'!$B$62,AI21+AH22-AQ21)))</f>
        <v>215.60000000000002</v>
      </c>
      <c r="AJ22" s="14">
        <f>AI22*VLOOKUP('Données projet'!$B$10,Paramètres!$A$1:$I$89,3,0)*VLOOKUP('Données projet'!$B$10,Paramètres!$A$1:$I$89,5,0)</f>
        <v>120.52040000000002</v>
      </c>
      <c r="AK22" s="14">
        <f t="shared" si="35"/>
        <v>31.796343463250214</v>
      </c>
      <c r="AL22" s="22">
        <f t="shared" si="4"/>
        <v>265.2849948651608</v>
      </c>
      <c r="AM22" s="62">
        <f t="shared" si="5"/>
        <v>545.17388375404971</v>
      </c>
      <c r="AN22" s="62">
        <f ca="1">AVERAGE(OFFSET($AM$3,0,0,'Données projet'!$E$10+1,1))-AVERAGE(OFFSET($H$3,0,0,'Données projet'!$E$10+1,1))</f>
        <v>512.21337090113502</v>
      </c>
      <c r="AO22" s="62">
        <f t="shared" si="36"/>
        <v>621.03633124474163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4.3703703703703702</v>
      </c>
      <c r="BD22" s="13">
        <f>IF('Données projet'!$A$88&gt;35,BD21+BC22-BL21,IF(A22&lt;'Données projet'!$A$88,$BA$205^A22,IF(A22='Données projet'!$A$88,'Données projet'!$B$88,BD21+BC22-BL21)))</f>
        <v>28.707213694944539</v>
      </c>
      <c r="BE22" s="14">
        <f>BD22*VLOOKUP('Données projet'!$B$11,Paramètres!$A$1:$I$89,3,0)*VLOOKUP('Données projet'!$B$11,Paramètres!$A$1:$I$89,5,0)</f>
        <v>17.166913789576835</v>
      </c>
      <c r="BF22" s="14">
        <f t="shared" si="37"/>
        <v>5.6823256068972627</v>
      </c>
      <c r="BG22" s="22">
        <f t="shared" si="7"/>
        <v>39.79575861552572</v>
      </c>
      <c r="BH22" s="62">
        <f t="shared" si="8"/>
        <v>319.68464750441456</v>
      </c>
      <c r="BI22" s="62">
        <f ca="1">AVERAGE(OFFSET($BH$3,0,0,'Données projet'!$E$11+1,1))-AVERAGE(OFFSET($H$3,0,0,'Données projet'!$E$11+1,1))</f>
        <v>295.83974441964551</v>
      </c>
      <c r="BJ22" s="62">
        <f t="shared" si="38"/>
        <v>212.24900914818096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158</v>
      </c>
      <c r="L23" s="13">
        <f>VLOOKUP(A23,'Données projet'!$A$35:$I$55,9,0)</f>
        <v>7.9</v>
      </c>
      <c r="M23" s="13">
        <f t="array" ref="M23">INDEX(L:L,MIN(IF(ISNUMBER(L23:L219),ROW(L23:L219),"")))</f>
        <v>7.9</v>
      </c>
      <c r="N23" s="14">
        <f>IF('Données projet'!$A$36&gt;35,N22+M23-V22,IF(A23&lt;'Données projet'!$A$36,$K$205^A23,IF(A23='Données projet'!$A$36,'Données projet'!$B$36,N22+M23-V22)))</f>
        <v>158</v>
      </c>
      <c r="O23" s="14">
        <f>N23*VLOOKUP('Données projet'!$B$9,Paramètres!$A$1:$I$89,3,0)*VLOOKUP('Données projet'!$B$9,Paramètres!$A$1:$I$89,5,0)</f>
        <v>73.944000000000003</v>
      </c>
      <c r="P23" s="14">
        <f t="shared" si="33"/>
        <v>20.649745460165708</v>
      </c>
      <c r="Q23" s="22">
        <f t="shared" si="2"/>
        <v>164.75077334312192</v>
      </c>
      <c r="R23" s="62">
        <f t="shared" si="0"/>
        <v>445.86188445423306</v>
      </c>
      <c r="S23" s="62">
        <f ca="1">AVERAGE(OFFSET($R$3,0,0,'Données projet'!$E$9+1,1))-AVERAGE(OFFSET($H$3,0,0,'Données projet'!$E$9+1,1))</f>
        <v>193.05670375142864</v>
      </c>
      <c r="T23" s="62">
        <f t="shared" si="34"/>
        <v>259.12914184994344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35</v>
      </c>
      <c r="W23" s="17">
        <f>IF(ISNA(VLOOKUP(A23,'Données projet'!$A$35:$I$55,5,0)),0%,VLOOKUP(A23,'Données projet'!$A$35:$I$55,5,0)*VLOOKUP('Données projet'!$B$9,Paramètres!$A$1:$I$89,7,0))</f>
        <v>0.16500000000000001</v>
      </c>
      <c r="X23" s="78">
        <f>IF(ISNA(VLOOKUP(A23,'Données projet'!$A$35:$I$55,6,0)),0%,VLOOKUP(A23,'Données projet'!$A$35:$I$55,6,0)*VLOOKUP('Données projet'!$B$9,Paramètres!$A$1:$I$89,7,0))</f>
        <v>0.1925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3.5853057537164443</v>
      </c>
      <c r="AA23" s="23">
        <f>EXP(-LN(2)/25)*AA22+(1-EXP(-LN(2)/25))/(LN(2)/25)*Calculateur!V23*Calculateur!X23*VLOOKUP('Données projet'!$B$9,Paramètres!$A$1:$I$89,3,0)*0.475*44/12</f>
        <v>4.1663872119980478</v>
      </c>
      <c r="AB23" s="23">
        <f>EXP(-LN(2)/2)*AB22+(1-EXP(-LN(2)/2))/(LN(2)/2)*V23*Y23*VLOOKUP('Données projet'!$B$9,Paramètres!$A$1:$I$89,3,0)*0.475*44/12</f>
        <v>0</v>
      </c>
      <c r="AC23" s="24">
        <f t="shared" si="3"/>
        <v>7.7516929657144917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238</v>
      </c>
      <c r="AG23" s="13">
        <f>VLOOKUP(A23,'Données projet'!$A$61:$I$81,9,0)</f>
        <v>22.4</v>
      </c>
      <c r="AH23" s="13">
        <f t="array" ref="AH23">INDEX(AG:AG,MIN(IF(ISNUMBER(AG23:AG219),ROW(AG23:AG219),"")))</f>
        <v>22.4</v>
      </c>
      <c r="AI23" s="14">
        <f>IF('Données projet'!$A$62&gt;35,AI22+AH23-AQ22,IF(A23&lt;'Données projet'!$A$62,$AF$205^A23,IF(A23='Données projet'!$A$62,'Données projet'!$B$62,AI22+AH23-AQ22)))</f>
        <v>238.00000000000003</v>
      </c>
      <c r="AJ23" s="14">
        <f>AI23*VLOOKUP('Données projet'!$B$10,Paramètres!$A$1:$I$89,3,0)*VLOOKUP('Données projet'!$B$10,Paramètres!$A$1:$I$89,5,0)</f>
        <v>133.04200000000003</v>
      </c>
      <c r="AK23" s="14">
        <f t="shared" si="35"/>
        <v>34.69832716285007</v>
      </c>
      <c r="AL23" s="22">
        <f t="shared" si="4"/>
        <v>292.14773647529722</v>
      </c>
      <c r="AM23" s="62">
        <f t="shared" si="5"/>
        <v>573.25884758640836</v>
      </c>
      <c r="AN23" s="62">
        <f ca="1">AVERAGE(OFFSET($AM$3,0,0,'Données projet'!$E$10+1,1))-AVERAGE(OFFSET($H$3,0,0,'Données projet'!$E$10+1,1))</f>
        <v>512.21337090113502</v>
      </c>
      <c r="AO23" s="62">
        <f t="shared" si="36"/>
        <v>621.03633124474163</v>
      </c>
      <c r="AP23" s="16">
        <f>IF(ISNA(VLOOKUP(A23,'Données projet'!$A$61:$I$81,3,0)),0,VLOOKUP(A23,'Données projet'!$A$61:$I$81,3,0))</f>
        <v>2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4.3703703703703702</v>
      </c>
      <c r="BD23" s="13">
        <f>IF('Données projet'!$A$88&gt;35,BD22+BC23-BL22,IF(A23&lt;'Données projet'!$A$88,$BA$205^A23,IF(A23='Données projet'!$A$88,'Données projet'!$B$88,BD22+BC23-BL22)))</f>
        <v>34.255271407286948</v>
      </c>
      <c r="BE23" s="14">
        <f>BD23*VLOOKUP('Données projet'!$B$11,Paramètres!$A$1:$I$89,3,0)*VLOOKUP('Données projet'!$B$11,Paramètres!$A$1:$I$89,5,0)</f>
        <v>20.484652301557595</v>
      </c>
      <c r="BF23" s="14">
        <f t="shared" si="37"/>
        <v>6.6424817979453561</v>
      </c>
      <c r="BG23" s="22">
        <f t="shared" si="7"/>
        <v>47.246425223300974</v>
      </c>
      <c r="BH23" s="62">
        <f t="shared" si="8"/>
        <v>328.35753633441209</v>
      </c>
      <c r="BI23" s="62">
        <f ca="1">AVERAGE(OFFSET($BH$3,0,0,'Données projet'!$E$11+1,1))-AVERAGE(OFFSET($H$3,0,0,'Données projet'!$E$11+1,1))</f>
        <v>295.83974441964551</v>
      </c>
      <c r="BJ23" s="62">
        <f t="shared" si="38"/>
        <v>212.24900914818096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9.1999999999999993</v>
      </c>
      <c r="N24" s="14">
        <f>IF('Données projet'!$A$36&gt;35,N23+M24-V23,IF(A24&lt;'Données projet'!$A$36,$K$205^A24,IF(A24='Données projet'!$A$36,'Données projet'!$B$36,N23+M24-V23)))</f>
        <v>132.19999999999999</v>
      </c>
      <c r="O24" s="14">
        <f>N24*VLOOKUP('Données projet'!$B$9,Paramètres!$A$1:$I$89,3,0)*VLOOKUP('Données projet'!$B$9,Paramètres!$A$1:$I$89,5,0)</f>
        <v>61.869599999999991</v>
      </c>
      <c r="P24" s="14">
        <f t="shared" si="33"/>
        <v>17.640115095232353</v>
      </c>
      <c r="Q24" s="22">
        <f t="shared" si="2"/>
        <v>138.47942045752964</v>
      </c>
      <c r="R24" s="62">
        <f t="shared" si="0"/>
        <v>420.81275379086298</v>
      </c>
      <c r="S24" s="62">
        <f ca="1">AVERAGE(OFFSET($R$3,0,0,'Données projet'!$E$9+1,1))-AVERAGE(OFFSET($H$3,0,0,'Données projet'!$E$9+1,1))</f>
        <v>193.05670375142864</v>
      </c>
      <c r="T24" s="62">
        <f t="shared" si="34"/>
        <v>259.12914184994344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3.515000094706644</v>
      </c>
      <c r="AA24" s="23">
        <f>EXP(-LN(2)/25)*AA23+(1-EXP(-LN(2)/25))/(LN(2)/25)*Calculateur!V24*Calculateur!X24*VLOOKUP('Données projet'!$B$9,Paramètres!$A$1:$I$89,3,0)*0.475*44/12</f>
        <v>4.0524571345851799</v>
      </c>
      <c r="AB24" s="23">
        <f>EXP(-LN(2)/2)*AB23+(1-EXP(-LN(2)/2))/(LN(2)/2)*V24*Y24*VLOOKUP('Données projet'!$B$9,Paramètres!$A$1:$I$89,3,0)*0.475*44/12</f>
        <v>0</v>
      </c>
      <c r="AC24" s="24">
        <f t="shared" si="3"/>
        <v>7.5674572292918239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26.8</v>
      </c>
      <c r="AI24" s="14">
        <f>IF('Données projet'!$A$62&gt;35,AI23+AH24-AQ23,IF(A24&lt;'Données projet'!$A$62,$AF$205^A24,IF(A24='Données projet'!$A$62,'Données projet'!$B$62,AI23+AH24-AQ23)))</f>
        <v>264.8</v>
      </c>
      <c r="AJ24" s="14">
        <f>AI24*VLOOKUP('Données projet'!$B$10,Paramètres!$A$1:$I$89,3,0)*VLOOKUP('Données projet'!$B$10,Paramètres!$A$1:$I$89,5,0)</f>
        <v>148.0232</v>
      </c>
      <c r="AK24" s="14">
        <f t="shared" si="35"/>
        <v>38.129004463240541</v>
      </c>
      <c r="AL24" s="22">
        <f t="shared" si="4"/>
        <v>324.21508944014391</v>
      </c>
      <c r="AM24" s="62">
        <f t="shared" si="5"/>
        <v>606.54842277347723</v>
      </c>
      <c r="AN24" s="62">
        <f ca="1">AVERAGE(OFFSET($AM$3,0,0,'Données projet'!$E$10+1,1))-AVERAGE(OFFSET($H$3,0,0,'Données projet'!$E$10+1,1))</f>
        <v>512.21337090113502</v>
      </c>
      <c r="AO24" s="62">
        <f t="shared" si="36"/>
        <v>621.03633124474163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4.3703703703703702</v>
      </c>
      <c r="BD24" s="13">
        <f>IF('Données projet'!$A$88&gt;35,BD23+BC24-BL23,IF(A24&lt;'Données projet'!$A$88,$BA$205^A24,IF(A24='Données projet'!$A$88,'Données projet'!$B$88,BD23+BC24-BL23)))</f>
        <v>40.875566387466414</v>
      </c>
      <c r="BE24" s="14">
        <f>BD24*VLOOKUP('Données projet'!$B$11,Paramètres!$A$1:$I$89,3,0)*VLOOKUP('Données projet'!$B$11,Paramètres!$A$1:$I$89,5,0)</f>
        <v>24.443588699704918</v>
      </c>
      <c r="BF24" s="14">
        <f t="shared" si="37"/>
        <v>7.7648778842379169</v>
      </c>
      <c r="BG24" s="22">
        <f t="shared" si="7"/>
        <v>56.096412633700432</v>
      </c>
      <c r="BH24" s="62">
        <f t="shared" si="8"/>
        <v>338.42974596703374</v>
      </c>
      <c r="BI24" s="62">
        <f ca="1">AVERAGE(OFFSET($BH$3,0,0,'Données projet'!$E$11+1,1))-AVERAGE(OFFSET($H$3,0,0,'Données projet'!$E$11+1,1))</f>
        <v>295.83974441964551</v>
      </c>
      <c r="BJ24" s="62">
        <f t="shared" si="38"/>
        <v>212.24900914818096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9.1999999999999993</v>
      </c>
      <c r="N25" s="14">
        <f>IF('Données projet'!$A$36&gt;35,N24+M25-V24,IF(A25&lt;'Données projet'!$A$36,$K$205^A25,IF(A25='Données projet'!$A$36,'Données projet'!$B$36,N24+M25-V24)))</f>
        <v>141.39999999999998</v>
      </c>
      <c r="O25" s="14">
        <f>N25*VLOOKUP('Données projet'!$B$9,Paramètres!$A$1:$I$89,3,0)*VLOOKUP('Données projet'!$B$9,Paramètres!$A$1:$I$89,5,0)</f>
        <v>66.17519999999999</v>
      </c>
      <c r="P25" s="14">
        <f t="shared" si="33"/>
        <v>18.720541159483023</v>
      </c>
      <c r="Q25" s="22">
        <f t="shared" si="2"/>
        <v>147.86008251943289</v>
      </c>
      <c r="R25" s="62">
        <f t="shared" si="0"/>
        <v>431.41563807498846</v>
      </c>
      <c r="S25" s="62">
        <f ca="1">AVERAGE(OFFSET($R$3,0,0,'Données projet'!$E$9+1,1))-AVERAGE(OFFSET($H$3,0,0,'Données projet'!$E$9+1,1))</f>
        <v>193.05670375142864</v>
      </c>
      <c r="T25" s="62">
        <f t="shared" si="34"/>
        <v>259.12914184994344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3.4460730867878082</v>
      </c>
      <c r="AA25" s="23">
        <f>EXP(-LN(2)/25)*AA24+(1-EXP(-LN(2)/25))/(LN(2)/25)*Calculateur!V25*Calculateur!X25*VLOOKUP('Données projet'!$B$9,Paramètres!$A$1:$I$89,3,0)*0.475*44/12</f>
        <v>3.9416424811304895</v>
      </c>
      <c r="AB25" s="23">
        <f>EXP(-LN(2)/2)*AB24+(1-EXP(-LN(2)/2))/(LN(2)/2)*V25*Y25*VLOOKUP('Données projet'!$B$9,Paramètres!$A$1:$I$89,3,0)*0.475*44/12</f>
        <v>0</v>
      </c>
      <c r="AC25" s="24">
        <f t="shared" si="3"/>
        <v>7.3877155679182973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26.8</v>
      </c>
      <c r="AI25" s="14">
        <f>IF('Données projet'!$A$62&gt;35,AI24+AH25-AQ24,IF(A25&lt;'Données projet'!$A$62,$AF$205^A25,IF(A25='Données projet'!$A$62,'Données projet'!$B$62,AI24+AH25-AQ24)))</f>
        <v>291.60000000000002</v>
      </c>
      <c r="AJ25" s="14">
        <f>AI25*VLOOKUP('Données projet'!$B$10,Paramètres!$A$1:$I$89,3,0)*VLOOKUP('Données projet'!$B$10,Paramètres!$A$1:$I$89,5,0)</f>
        <v>163.0044</v>
      </c>
      <c r="AK25" s="14">
        <f t="shared" si="35"/>
        <v>41.519430766049162</v>
      </c>
      <c r="AL25" s="22">
        <f t="shared" si="4"/>
        <v>356.21233858420231</v>
      </c>
      <c r="AM25" s="62">
        <f t="shared" si="5"/>
        <v>639.7678941397578</v>
      </c>
      <c r="AN25" s="62">
        <f ca="1">AVERAGE(OFFSET($AM$3,0,0,'Données projet'!$E$10+1,1))-AVERAGE(OFFSET($H$3,0,0,'Données projet'!$E$10+1,1))</f>
        <v>512.21337090113502</v>
      </c>
      <c r="AO25" s="62">
        <f t="shared" si="36"/>
        <v>621.03633124474163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4.3703703703703702</v>
      </c>
      <c r="BD25" s="13">
        <f>IF('Données projet'!$A$88&gt;35,BD24+BC25-BL24,IF(A25&lt;'Données projet'!$A$88,$BA$205^A25,IF(A25='Données projet'!$A$88,'Données projet'!$B$88,BD24+BC25-BL24)))</f>
        <v>48.775323004469058</v>
      </c>
      <c r="BE25" s="14">
        <f>BD25*VLOOKUP('Données projet'!$B$11,Paramètres!$A$1:$I$89,3,0)*VLOOKUP('Données projet'!$B$11,Paramètres!$A$1:$I$89,5,0)</f>
        <v>29.167643156672497</v>
      </c>
      <c r="BF25" s="14">
        <f t="shared" si="37"/>
        <v>9.0769279301265016</v>
      </c>
      <c r="BG25" s="22">
        <f t="shared" si="7"/>
        <v>66.60929464284159</v>
      </c>
      <c r="BH25" s="62">
        <f t="shared" si="8"/>
        <v>350.16485019839712</v>
      </c>
      <c r="BI25" s="62">
        <f ca="1">AVERAGE(OFFSET($BH$3,0,0,'Données projet'!$E$11+1,1))-AVERAGE(OFFSET($H$3,0,0,'Données projet'!$E$11+1,1))</f>
        <v>295.83974441964551</v>
      </c>
      <c r="BJ25" s="62">
        <f t="shared" si="38"/>
        <v>212.24900914818096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9.1999999999999993</v>
      </c>
      <c r="N26" s="14">
        <f>IF('Données projet'!$A$36&gt;35,N25+M26-V25,IF(A26&lt;'Données projet'!$A$36,$K$205^A26,IF(A26='Données projet'!$A$36,'Données projet'!$B$36,N25+M26-V25)))</f>
        <v>150.59999999999997</v>
      </c>
      <c r="O26" s="14">
        <f>N26*VLOOKUP('Données projet'!$B$9,Paramètres!$A$1:$I$89,3,0)*VLOOKUP('Données projet'!$B$9,Paramètres!$A$1:$I$89,5,0)</f>
        <v>70.480799999999988</v>
      </c>
      <c r="P26" s="14">
        <f t="shared" si="33"/>
        <v>19.792809548371892</v>
      </c>
      <c r="Q26" s="22">
        <f t="shared" si="2"/>
        <v>157.226536630081</v>
      </c>
      <c r="R26" s="62">
        <f t="shared" si="0"/>
        <v>442.00431440785877</v>
      </c>
      <c r="S26" s="62">
        <f ca="1">AVERAGE(OFFSET($R$3,0,0,'Données projet'!$E$9+1,1))-AVERAGE(OFFSET($H$3,0,0,'Données projet'!$E$9+1,1))</f>
        <v>193.05670375142864</v>
      </c>
      <c r="T26" s="62">
        <f t="shared" si="34"/>
        <v>259.12914184994344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3.3784976954529373</v>
      </c>
      <c r="AA26" s="23">
        <f>EXP(-LN(2)/25)*AA25+(1-EXP(-LN(2)/25))/(LN(2)/25)*Calculateur!V26*Calculateur!X26*VLOOKUP('Données projet'!$B$9,Paramètres!$A$1:$I$89,3,0)*0.475*44/12</f>
        <v>3.8338580602020071</v>
      </c>
      <c r="AB26" s="23">
        <f>EXP(-LN(2)/2)*AB25+(1-EXP(-LN(2)/2))/(LN(2)/2)*V26*Y26*VLOOKUP('Données projet'!$B$9,Paramètres!$A$1:$I$89,3,0)*0.475*44/12</f>
        <v>0</v>
      </c>
      <c r="AC26" s="24">
        <f t="shared" si="3"/>
        <v>7.2123557556549445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26.8</v>
      </c>
      <c r="AI26" s="14">
        <f>IF('Données projet'!$A$62&gt;35,AI25+AH26-AQ25,IF(A26&lt;'Données projet'!$A$62,$AF$205^A26,IF(A26='Données projet'!$A$62,'Données projet'!$B$62,AI25+AH26-AQ25)))</f>
        <v>318.40000000000003</v>
      </c>
      <c r="AJ26" s="14">
        <f>AI26*VLOOKUP('Données projet'!$B$10,Paramètres!$A$1:$I$89,3,0)*VLOOKUP('Données projet'!$B$10,Paramètres!$A$1:$I$89,5,0)</f>
        <v>177.98560000000001</v>
      </c>
      <c r="AK26" s="14">
        <f t="shared" si="35"/>
        <v>44.873726155533582</v>
      </c>
      <c r="AL26" s="22">
        <f t="shared" si="4"/>
        <v>388.14665972088761</v>
      </c>
      <c r="AM26" s="62">
        <f t="shared" si="5"/>
        <v>672.92443749866538</v>
      </c>
      <c r="AN26" s="62">
        <f ca="1">AVERAGE(OFFSET($AM$3,0,0,'Données projet'!$E$10+1,1))-AVERAGE(OFFSET($H$3,0,0,'Données projet'!$E$10+1,1))</f>
        <v>512.21337090113502</v>
      </c>
      <c r="AO26" s="62">
        <f t="shared" si="36"/>
        <v>621.03633124474163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4.3703703703703702</v>
      </c>
      <c r="BD26" s="13">
        <f>IF('Données projet'!$A$88&gt;35,BD25+BC26-BL25,IF(A26&lt;'Données projet'!$A$88,$BA$205^A26,IF(A26='Données projet'!$A$88,'Données projet'!$B$88,BD25+BC26-BL25)))</f>
        <v>58.201814542189823</v>
      </c>
      <c r="BE26" s="14">
        <f>BD26*VLOOKUP('Données projet'!$B$11,Paramètres!$A$1:$I$89,3,0)*VLOOKUP('Données projet'!$B$11,Paramètres!$A$1:$I$89,5,0)</f>
        <v>34.804685096229512</v>
      </c>
      <c r="BF26" s="14">
        <f t="shared" si="37"/>
        <v>10.610678220189007</v>
      </c>
      <c r="BG26" s="22">
        <f t="shared" si="7"/>
        <v>79.098424442762266</v>
      </c>
      <c r="BH26" s="62">
        <f t="shared" si="8"/>
        <v>363.87620222054005</v>
      </c>
      <c r="BI26" s="62">
        <f ca="1">AVERAGE(OFFSET($BH$3,0,0,'Données projet'!$E$11+1,1))-AVERAGE(OFFSET($H$3,0,0,'Données projet'!$E$11+1,1))</f>
        <v>295.83974441964551</v>
      </c>
      <c r="BJ26" s="62">
        <f t="shared" si="38"/>
        <v>212.24900914818096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9.1999999999999993</v>
      </c>
      <c r="N27" s="14">
        <f>IF('Données projet'!$A$36&gt;35,N26+M27-V26,IF(A27&lt;'Données projet'!$A$36,$K$205^A27,IF(A27='Données projet'!$A$36,'Données projet'!$B$36,N26+M27-V26)))</f>
        <v>159.79999999999995</v>
      </c>
      <c r="O27" s="14">
        <f>N27*VLOOKUP('Données projet'!$B$9,Paramètres!$A$1:$I$89,3,0)*VLOOKUP('Données projet'!$B$9,Paramètres!$A$1:$I$89,5,0)</f>
        <v>74.786399999999986</v>
      </c>
      <c r="P27" s="14">
        <f t="shared" si="33"/>
        <v>20.857475351088951</v>
      </c>
      <c r="Q27" s="22">
        <f t="shared" si="2"/>
        <v>166.57974956981323</v>
      </c>
      <c r="R27" s="62">
        <f t="shared" si="0"/>
        <v>452.5797495698132</v>
      </c>
      <c r="S27" s="62">
        <f ca="1">AVERAGE(OFFSET($R$3,0,0,'Données projet'!$E$9+1,1))-AVERAGE(OFFSET($H$3,0,0,'Données projet'!$E$9+1,1))</f>
        <v>193.05670375142864</v>
      </c>
      <c r="T27" s="62">
        <f t="shared" si="34"/>
        <v>259.12914184994344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3.3122474163252242</v>
      </c>
      <c r="AA27" s="23">
        <f>EXP(-LN(2)/25)*AA26+(1-EXP(-LN(2)/25))/(LN(2)/25)*Calculateur!V27*Calculateur!X27*VLOOKUP('Données projet'!$B$9,Paramètres!$A$1:$I$89,3,0)*0.475*44/12</f>
        <v>3.7290210099319503</v>
      </c>
      <c r="AB27" s="23">
        <f>EXP(-LN(2)/2)*AB26+(1-EXP(-LN(2)/2))/(LN(2)/2)*V27*Y27*VLOOKUP('Données projet'!$B$9,Paramètres!$A$1:$I$89,3,0)*0.475*44/12</f>
        <v>0</v>
      </c>
      <c r="AC27" s="24">
        <f t="shared" si="3"/>
        <v>7.0412684262571741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26.8</v>
      </c>
      <c r="AI27" s="14">
        <f>IF('Données projet'!$A$62&gt;35,AI26+AH27-AQ26,IF(A27&lt;'Données projet'!$A$62,$AF$205^A27,IF(A27='Données projet'!$A$62,'Données projet'!$B$62,AI26+AH27-AQ26)))</f>
        <v>345.20000000000005</v>
      </c>
      <c r="AJ27" s="14">
        <f>AI27*VLOOKUP('Données projet'!$B$10,Paramètres!$A$1:$I$89,3,0)*VLOOKUP('Données projet'!$B$10,Paramètres!$A$1:$I$89,5,0)</f>
        <v>192.96680000000001</v>
      </c>
      <c r="AK27" s="14">
        <f t="shared" si="35"/>
        <v>48.19527756026767</v>
      </c>
      <c r="AL27" s="22">
        <f t="shared" si="4"/>
        <v>420.02395175079954</v>
      </c>
      <c r="AM27" s="62">
        <f t="shared" si="5"/>
        <v>706.0239517507996</v>
      </c>
      <c r="AN27" s="62">
        <f ca="1">AVERAGE(OFFSET($AM$3,0,0,'Données projet'!$E$10+1,1))-AVERAGE(OFFSET($H$3,0,0,'Données projet'!$E$10+1,1))</f>
        <v>512.21337090113502</v>
      </c>
      <c r="AO27" s="62">
        <f t="shared" si="36"/>
        <v>621.03633124474163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4.3703703703703702</v>
      </c>
      <c r="BD27" s="13">
        <f>IF('Données projet'!$A$88&gt;35,BD26+BC27-BL26,IF(A27&lt;'Données projet'!$A$88,$BA$205^A27,IF(A27='Données projet'!$A$88,'Données projet'!$B$88,BD26+BC27-BL26)))</f>
        <v>69.450103194459274</v>
      </c>
      <c r="BE27" s="14">
        <f>BD27*VLOOKUP('Données projet'!$B$11,Paramètres!$A$1:$I$89,3,0)*VLOOKUP('Données projet'!$B$11,Paramètres!$A$1:$I$89,5,0)</f>
        <v>41.531161710286646</v>
      </c>
      <c r="BF27" s="14">
        <f t="shared" si="37"/>
        <v>12.40358997659513</v>
      </c>
      <c r="BG27" s="22">
        <f t="shared" si="7"/>
        <v>93.936359187985758</v>
      </c>
      <c r="BH27" s="62">
        <f t="shared" si="8"/>
        <v>379.93635918798577</v>
      </c>
      <c r="BI27" s="62">
        <f ca="1">AVERAGE(OFFSET($BH$3,0,0,'Données projet'!$E$11+1,1))-AVERAGE(OFFSET($H$3,0,0,'Données projet'!$E$11+1,1))</f>
        <v>295.83974441964551</v>
      </c>
      <c r="BJ27" s="62">
        <f t="shared" si="38"/>
        <v>212.24900914818096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9.1999999999999993</v>
      </c>
      <c r="N28" s="14">
        <f>IF('Données projet'!$A$36&gt;35,N27+M28-V27,IF(A28&lt;'Données projet'!$A$36,$K$205^A28,IF(A28='Données projet'!$A$36,'Données projet'!$B$36,N27+M28-V27)))</f>
        <v>168.99999999999994</v>
      </c>
      <c r="O28" s="14">
        <f>N28*VLOOKUP('Données projet'!$B$9,Paramètres!$A$1:$I$89,3,0)*VLOOKUP('Données projet'!$B$9,Paramètres!$A$1:$I$89,5,0)</f>
        <v>79.09199999999997</v>
      </c>
      <c r="P28" s="14">
        <f t="shared" si="33"/>
        <v>21.915026131449999</v>
      </c>
      <c r="Q28" s="22">
        <f t="shared" si="2"/>
        <v>175.92057051227536</v>
      </c>
      <c r="R28" s="62">
        <f t="shared" si="0"/>
        <v>463.14279273449756</v>
      </c>
      <c r="S28" s="62">
        <f ca="1">AVERAGE(OFFSET($R$3,0,0,'Données projet'!$E$9+1,1))-AVERAGE(OFFSET($H$3,0,0,'Données projet'!$E$9+1,1))</f>
        <v>193.05670375142864</v>
      </c>
      <c r="T28" s="62">
        <f t="shared" si="34"/>
        <v>259.12914184994344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3.2472962647625252</v>
      </c>
      <c r="AA28" s="23">
        <f>EXP(-LN(2)/25)*AA27+(1-EXP(-LN(2)/25))/(LN(2)/25)*Calculateur!V28*Calculateur!X28*VLOOKUP('Données projet'!$B$9,Paramètres!$A$1:$I$89,3,0)*0.475*44/12</f>
        <v>3.6270507343146692</v>
      </c>
      <c r="AB28" s="23">
        <f>EXP(-LN(2)/2)*AB27+(1-EXP(-LN(2)/2))/(LN(2)/2)*V28*Y28*VLOOKUP('Données projet'!$B$9,Paramètres!$A$1:$I$89,3,0)*0.475*44/12</f>
        <v>0</v>
      </c>
      <c r="AC28" s="24">
        <f t="shared" si="3"/>
        <v>6.8743469990771944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372</v>
      </c>
      <c r="AG28" s="13">
        <f>VLOOKUP(A28,'Données projet'!$A$61:$I$81,9,0)</f>
        <v>26.8</v>
      </c>
      <c r="AH28" s="13">
        <f t="array" ref="AH28">INDEX(AG:AG,MIN(IF(ISNUMBER(AG28:AG224),ROW(AG28:AG224),"")))</f>
        <v>26.8</v>
      </c>
      <c r="AI28" s="14">
        <f>IF('Données projet'!$A$62&gt;35,AI27+AH28-AQ27,IF(A28&lt;'Données projet'!$A$62,$AF$205^A28,IF(A28='Données projet'!$A$62,'Données projet'!$B$62,AI27+AH28-AQ27)))</f>
        <v>372.00000000000006</v>
      </c>
      <c r="AJ28" s="14">
        <f>AI28*VLOOKUP('Données projet'!$B$10,Paramètres!$A$1:$I$89,3,0)*VLOOKUP('Données projet'!$B$10,Paramètres!$A$1:$I$89,5,0)</f>
        <v>207.94800000000001</v>
      </c>
      <c r="AK28" s="14">
        <f t="shared" si="35"/>
        <v>51.486916127068838</v>
      </c>
      <c r="AL28" s="22">
        <f t="shared" si="4"/>
        <v>451.84914558797823</v>
      </c>
      <c r="AM28" s="62">
        <f t="shared" si="5"/>
        <v>739.0713678102004</v>
      </c>
      <c r="AN28" s="62">
        <f ca="1">AVERAGE(OFFSET($AM$3,0,0,'Données projet'!$E$10+1,1))-AVERAGE(OFFSET($H$3,0,0,'Données projet'!$E$10+1,1))</f>
        <v>512.21337090113502</v>
      </c>
      <c r="AO28" s="62">
        <f t="shared" si="36"/>
        <v>621.03633124474163</v>
      </c>
      <c r="AP28" s="16">
        <f>IF(ISNA(VLOOKUP(A28,'Données projet'!$A$61:$I$81,3,0)),0,VLOOKUP(A28,'Données projet'!$A$61:$I$81,3,0))</f>
        <v>3</v>
      </c>
      <c r="AQ28" s="16">
        <f>IF(ISNA(VLOOKUP(A28,'Données projet'!$A$61:$I$81,4,0)),0,VLOOKUP(A28,'Données projet'!$A$61:$I$81,4,0))</f>
        <v>21</v>
      </c>
      <c r="AR28" s="17">
        <f>IF(ISNA(VLOOKUP(A28,'Données projet'!$A$61:$I$81,5,0)),0%,VLOOKUP(A28,'Données projet'!$A$61:$I$81,5,0)*VLOOKUP('Données projet'!$B$10,Paramètres!$A$1:$I$89,7,0))</f>
        <v>8.2500000000000004E-2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0.85</v>
      </c>
      <c r="AU28" s="23">
        <f>EXP(-LN(2)/35)*AU27+(1-EXP(-LN(2)/35))/(LN(2)/35)*AQ28*AR28*VLOOKUP('Données projet'!$B$10,Paramètres!$A$1:$I$89,3,0)*0.475*44/12</f>
        <v>1.2847345617483932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11.297583699563704</v>
      </c>
      <c r="AX28" s="23">
        <f t="shared" si="6"/>
        <v>12.582318261312098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4.3703703703703702</v>
      </c>
      <c r="BD28" s="13">
        <f>IF('Données projet'!$A$88&gt;35,BD27+BC28-BL27,IF(A28&lt;'Données projet'!$A$88,$BA$205^A28,IF(A28='Données projet'!$A$88,'Données projet'!$B$88,BD27+BC28-BL27)))</f>
        <v>82.872275918900684</v>
      </c>
      <c r="BE28" s="14">
        <f>BD28*VLOOKUP('Données projet'!$B$11,Paramètres!$A$1:$I$89,3,0)*VLOOKUP('Données projet'!$B$11,Paramètres!$A$1:$I$89,5,0)</f>
        <v>49.557620999502618</v>
      </c>
      <c r="BF28" s="14">
        <f t="shared" si="37"/>
        <v>14.49945433410293</v>
      </c>
      <c r="BG28" s="22">
        <f t="shared" si="7"/>
        <v>111.56607287269634</v>
      </c>
      <c r="BH28" s="62">
        <f t="shared" si="8"/>
        <v>398.78829509491857</v>
      </c>
      <c r="BI28" s="62">
        <f ca="1">AVERAGE(OFFSET($BH$3,0,0,'Données projet'!$E$11+1,1))-AVERAGE(OFFSET($H$3,0,0,'Données projet'!$E$11+1,1))</f>
        <v>295.83974441964551</v>
      </c>
      <c r="BJ28" s="62">
        <f t="shared" si="38"/>
        <v>212.24900914818096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178.19999999999993</v>
      </c>
      <c r="O29" s="14">
        <f>N29*VLOOKUP('Données projet'!$B$9,Paramètres!$A$1:$I$89,3,0)*VLOOKUP('Données projet'!$B$9,Paramètres!$A$1:$I$89,5,0)</f>
        <v>83.397599999999969</v>
      </c>
      <c r="P29" s="14">
        <f t="shared" si="33"/>
        <v>22.965893371329315</v>
      </c>
      <c r="Q29" s="22">
        <f t="shared" si="2"/>
        <v>185.24975095506514</v>
      </c>
      <c r="R29" s="62">
        <f t="shared" si="0"/>
        <v>473.69419539950957</v>
      </c>
      <c r="S29" s="62">
        <f ca="1">AVERAGE(OFFSET($R$3,0,0,'Données projet'!$E$9+1,1))-AVERAGE(OFFSET($H$3,0,0,'Données projet'!$E$9+1,1))</f>
        <v>193.05670375142864</v>
      </c>
      <c r="T29" s="62">
        <f t="shared" si="34"/>
        <v>259.12914184994344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3.1836187656656803</v>
      </c>
      <c r="AA29" s="23">
        <f>EXP(-LN(2)/25)*AA28+(1-EXP(-LN(2)/25))/(LN(2)/25)*Calculateur!V29*Calculateur!X29*VLOOKUP('Données projet'!$B$9,Paramètres!$A$1:$I$89,3,0)*0.475*44/12</f>
        <v>3.527868841246526</v>
      </c>
      <c r="AB29" s="23">
        <f>EXP(-LN(2)/2)*AB28+(1-EXP(-LN(2)/2))/(LN(2)/2)*V29*Y29*VLOOKUP('Données projet'!$B$9,Paramètres!$A$1:$I$89,3,0)*0.475*44/12</f>
        <v>0</v>
      </c>
      <c r="AC29" s="24">
        <f t="shared" si="3"/>
        <v>6.7114876069122058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26.6</v>
      </c>
      <c r="AI29" s="14">
        <f>IF('Données projet'!$A$62&gt;35,AI28+AH29-AQ28,IF(A29&lt;'Données projet'!$A$62,$AF$205^A29,IF(A29='Données projet'!$A$62,'Données projet'!$B$62,AI28+AH29-AQ28)))</f>
        <v>377.60000000000008</v>
      </c>
      <c r="AJ29" s="14">
        <f>AI29*VLOOKUP('Données projet'!$B$10,Paramètres!$A$1:$I$89,3,0)*VLOOKUP('Données projet'!$B$10,Paramètres!$A$1:$I$89,5,0)</f>
        <v>211.07840000000004</v>
      </c>
      <c r="AK29" s="14">
        <f t="shared" si="35"/>
        <v>52.171172933509965</v>
      </c>
      <c r="AL29" s="22">
        <f t="shared" si="4"/>
        <v>458.49300619252995</v>
      </c>
      <c r="AM29" s="62">
        <f t="shared" si="5"/>
        <v>746.9374506369744</v>
      </c>
      <c r="AN29" s="62">
        <f ca="1">AVERAGE(OFFSET($AM$3,0,0,'Données projet'!$E$10+1,1))-AVERAGE(OFFSET($H$3,0,0,'Données projet'!$E$10+1,1))</f>
        <v>512.21337090113502</v>
      </c>
      <c r="AO29" s="62">
        <f t="shared" si="36"/>
        <v>621.03633124474163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1.2595417006032148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7.9885980449840988</v>
      </c>
      <c r="AX29" s="23">
        <f t="shared" si="6"/>
        <v>9.2481397455873129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4.3703703703703702</v>
      </c>
      <c r="BD29" s="13">
        <f>IF('Données projet'!$A$88&gt;35,BD28+BC29-BL28,IF(A29&lt;'Données projet'!$A$88,$BA$205^A29,IF(A29='Données projet'!$A$88,'Données projet'!$B$88,BD28+BC29-BL28)))</f>
        <v>98.888465244589028</v>
      </c>
      <c r="BE29" s="14">
        <f>BD29*VLOOKUP('Données projet'!$B$11,Paramètres!$A$1:$I$89,3,0)*VLOOKUP('Données projet'!$B$11,Paramètres!$A$1:$I$89,5,0)</f>
        <v>59.135302216264243</v>
      </c>
      <c r="BF29" s="14">
        <f t="shared" si="37"/>
        <v>16.949461920575921</v>
      </c>
      <c r="BG29" s="22">
        <f t="shared" si="7"/>
        <v>132.51429753832994</v>
      </c>
      <c r="BH29" s="62">
        <f t="shared" si="8"/>
        <v>420.95874198277443</v>
      </c>
      <c r="BI29" s="62">
        <f ca="1">AVERAGE(OFFSET($BH$3,0,0,'Données projet'!$E$11+1,1))-AVERAGE(OFFSET($H$3,0,0,'Données projet'!$E$11+1,1))</f>
        <v>295.83974441964551</v>
      </c>
      <c r="BJ29" s="62">
        <f t="shared" si="38"/>
        <v>212.24900914818096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187.39999999999992</v>
      </c>
      <c r="O30" s="14">
        <f>N30*VLOOKUP('Données projet'!$B$9,Paramètres!$A$1:$I$89,3,0)*VLOOKUP('Données projet'!$B$9,Paramètres!$A$1:$I$89,5,0)</f>
        <v>87.703199999999967</v>
      </c>
      <c r="P30" s="14">
        <f t="shared" si="33"/>
        <v>24.010461483601482</v>
      </c>
      <c r="Q30" s="22">
        <f t="shared" si="2"/>
        <v>194.5679604172725</v>
      </c>
      <c r="R30" s="62">
        <f t="shared" si="0"/>
        <v>484.23462708393919</v>
      </c>
      <c r="S30" s="62">
        <f ca="1">AVERAGE(OFFSET($R$3,0,0,'Données projet'!$E$9+1,1))-AVERAGE(OFFSET($H$3,0,0,'Données projet'!$E$9+1,1))</f>
        <v>193.05670375142864</v>
      </c>
      <c r="T30" s="62">
        <f t="shared" si="34"/>
        <v>259.12914184994344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3.121189943486685</v>
      </c>
      <c r="AA30" s="23">
        <f>EXP(-LN(2)/25)*AA29+(1-EXP(-LN(2)/25))/(LN(2)/25)*Calculateur!V30*Calculateur!X30*VLOOKUP('Données projet'!$B$9,Paramètres!$A$1:$I$89,3,0)*0.475*44/12</f>
        <v>3.4313990822600804</v>
      </c>
      <c r="AB30" s="23">
        <f>EXP(-LN(2)/2)*AB29+(1-EXP(-LN(2)/2))/(LN(2)/2)*V30*Y30*VLOOKUP('Données projet'!$B$9,Paramètres!$A$1:$I$89,3,0)*0.475*44/12</f>
        <v>0</v>
      </c>
      <c r="AC30" s="24">
        <f t="shared" si="3"/>
        <v>6.5525890257467658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26.6</v>
      </c>
      <c r="AI30" s="14">
        <f>IF('Données projet'!$A$62&gt;35,AI29+AH30-AQ29,IF(A30&lt;'Données projet'!$A$62,$AF$205^A30,IF(A30='Données projet'!$A$62,'Données projet'!$B$62,AI29+AH30-AQ29)))</f>
        <v>404.2000000000001</v>
      </c>
      <c r="AJ30" s="14">
        <f>AI30*VLOOKUP('Données projet'!$B$10,Paramètres!$A$1:$I$89,3,0)*VLOOKUP('Données projet'!$B$10,Paramètres!$A$1:$I$89,5,0)</f>
        <v>225.94780000000006</v>
      </c>
      <c r="AK30" s="14">
        <f t="shared" si="35"/>
        <v>55.405596784542439</v>
      </c>
      <c r="AL30" s="22">
        <f t="shared" si="4"/>
        <v>490.02383273307811</v>
      </c>
      <c r="AM30" s="62">
        <f t="shared" si="5"/>
        <v>779.69049939974479</v>
      </c>
      <c r="AN30" s="62">
        <f ca="1">AVERAGE(OFFSET($AM$3,0,0,'Données projet'!$E$10+1,1))-AVERAGE(OFFSET($H$3,0,0,'Données projet'!$E$10+1,1))</f>
        <v>512.21337090113502</v>
      </c>
      <c r="AO30" s="62">
        <f t="shared" si="36"/>
        <v>621.03633124474163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1.2348428560989653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5.648791849781853</v>
      </c>
      <c r="AX30" s="23">
        <f t="shared" si="6"/>
        <v>6.8836347058808185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>
        <f>VLOOKUP(A30,'Données projet'!$A$87:$I$107,2,0)</f>
        <v>118</v>
      </c>
      <c r="BB30" s="13">
        <f>VLOOKUP(A30,'Données projet'!$A$87:$I$107,9,0)</f>
        <v>4.3703703703703702</v>
      </c>
      <c r="BC30" s="13">
        <f t="array" ref="BC30">INDEX(BB:BB,MIN(IF(ISNUMBER(BB30:BB226),ROW(BB30:BB226),"")))</f>
        <v>4.3703703703703702</v>
      </c>
      <c r="BD30" s="13">
        <f>IF('Données projet'!$A$88&gt;35,BD29+BC30-BL29,IF(A30&lt;'Données projet'!$A$88,$BA$205^A30,IF(A30='Données projet'!$A$88,'Données projet'!$B$88,BD29+BC30-BL29)))</f>
        <v>118</v>
      </c>
      <c r="BE30" s="14">
        <f>BD30*VLOOKUP('Données projet'!$B$11,Paramètres!$A$1:$I$89,3,0)*VLOOKUP('Données projet'!$B$11,Paramètres!$A$1:$I$89,5,0)</f>
        <v>70.564000000000007</v>
      </c>
      <c r="BF30" s="14">
        <f t="shared" si="37"/>
        <v>19.813453167086163</v>
      </c>
      <c r="BG30" s="22">
        <f t="shared" si="7"/>
        <v>157.40739759934175</v>
      </c>
      <c r="BH30" s="62">
        <f t="shared" si="8"/>
        <v>447.07406426600846</v>
      </c>
      <c r="BI30" s="62">
        <f ca="1">AVERAGE(OFFSET($BH$3,0,0,'Données projet'!$E$11+1,1))-AVERAGE(OFFSET($H$3,0,0,'Données projet'!$E$11+1,1))</f>
        <v>295.83974441964551</v>
      </c>
      <c r="BJ30" s="62">
        <f t="shared" si="38"/>
        <v>212.24900914818096</v>
      </c>
      <c r="BK30" s="16">
        <f>IF(ISNA(VLOOKUP(A30,'Données projet'!$A$87:$I$107,3,0)),0,VLOOKUP(A30,'Données projet'!$A$87:$I$107,3,0))</f>
        <v>1</v>
      </c>
      <c r="BL30" s="16">
        <f>IF(ISNA(VLOOKUP(A30,'Données projet'!$A$87:$I$107,4,0)),0,VLOOKUP(A30,'Données projet'!$A$87:$I$107,4,0))</f>
        <v>15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0.22500000000000001</v>
      </c>
      <c r="BO30" s="17">
        <f>IF(ISNA(VLOOKUP(A30,'Données projet'!$A$87:$I$107,7,0)),0%,VLOOKUP(A30,'Données projet'!$A$87:$I$107,7,0))</f>
        <v>0.5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2.6667970095349296</v>
      </c>
      <c r="BR30" s="23">
        <f>EXP(-LN(2)/2)*BR29+(1-EXP(-LN(2)/2))/(LN(2)/2)*BL30*BO30*VLOOKUP('Données projet'!$B$11,Paramètres!$A$1:$I$89,3,0)*0.475*44/12</f>
        <v>5.0780618544061999</v>
      </c>
      <c r="BS30" s="24">
        <f t="shared" si="9"/>
        <v>7.7448588639411291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196.59999999999991</v>
      </c>
      <c r="O31" s="14">
        <f>N31*VLOOKUP('Données projet'!$B$9,Paramètres!$A$1:$I$89,3,0)*VLOOKUP('Données projet'!$B$9,Paramètres!$A$1:$I$89,5,0)</f>
        <v>92.008799999999965</v>
      </c>
      <c r="P31" s="14">
        <f t="shared" si="33"/>
        <v>25.049075004962191</v>
      </c>
      <c r="Q31" s="22">
        <f t="shared" si="2"/>
        <v>203.87579896697574</v>
      </c>
      <c r="R31" s="62">
        <f t="shared" si="0"/>
        <v>494.76468785586462</v>
      </c>
      <c r="S31" s="62">
        <f ca="1">AVERAGE(OFFSET($R$3,0,0,'Données projet'!$E$9+1,1))-AVERAGE(OFFSET($H$3,0,0,'Données projet'!$E$9+1,1))</f>
        <v>193.05670375142864</v>
      </c>
      <c r="T31" s="62">
        <f t="shared" si="34"/>
        <v>259.12914184994344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3.059985312432798</v>
      </c>
      <c r="AA31" s="23">
        <f>EXP(-LN(2)/25)*AA30+(1-EXP(-LN(2)/25))/(LN(2)/25)*Calculateur!V31*Calculateur!X31*VLOOKUP('Données projet'!$B$9,Paramètres!$A$1:$I$89,3,0)*0.475*44/12</f>
        <v>3.3375672939062433</v>
      </c>
      <c r="AB31" s="23">
        <f>EXP(-LN(2)/2)*AB30+(1-EXP(-LN(2)/2))/(LN(2)/2)*V31*Y31*VLOOKUP('Données projet'!$B$9,Paramètres!$A$1:$I$89,3,0)*0.475*44/12</f>
        <v>0</v>
      </c>
      <c r="AC31" s="24">
        <f t="shared" si="3"/>
        <v>6.3975526063390413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26.6</v>
      </c>
      <c r="AI31" s="14">
        <f>IF('Données projet'!$A$62&gt;35,AI30+AH31-AQ30,IF(A31&lt;'Données projet'!$A$62,$AF$205^A31,IF(A31='Données projet'!$A$62,'Données projet'!$B$62,AI30+AH31-AQ30)))</f>
        <v>430.80000000000013</v>
      </c>
      <c r="AJ31" s="14">
        <f>AI31*VLOOKUP('Données projet'!$B$10,Paramètres!$A$1:$I$89,3,0)*VLOOKUP('Données projet'!$B$10,Paramètres!$A$1:$I$89,5,0)</f>
        <v>240.81720000000007</v>
      </c>
      <c r="AK31" s="14">
        <f t="shared" si="35"/>
        <v>58.615320243858108</v>
      </c>
      <c r="AL31" s="22">
        <f t="shared" si="4"/>
        <v>521.51163942471965</v>
      </c>
      <c r="AM31" s="62">
        <f t="shared" si="5"/>
        <v>812.40052831360845</v>
      </c>
      <c r="AN31" s="62">
        <f ca="1">AVERAGE(OFFSET($AM$3,0,0,'Données projet'!$E$10+1,1))-AVERAGE(OFFSET($H$3,0,0,'Données projet'!$E$10+1,1))</f>
        <v>512.21337090113502</v>
      </c>
      <c r="AO31" s="62">
        <f t="shared" si="36"/>
        <v>621.03633124474163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1.2106283408706364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3.9942990224920498</v>
      </c>
      <c r="AX31" s="23">
        <f t="shared" si="6"/>
        <v>5.2049273633626862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9.6666666666666661</v>
      </c>
      <c r="BD31" s="13">
        <f>IF('Données projet'!$A$88&gt;35,BD30+BC31-BL30,IF(A31&lt;'Données projet'!$A$88,$BA$205^A31,IF(A31='Données projet'!$A$88,'Données projet'!$B$88,BD30+BC31-BL30)))</f>
        <v>112.66666666666667</v>
      </c>
      <c r="BE31" s="14">
        <f>BD31*VLOOKUP('Données projet'!$B$11,Paramètres!$A$1:$I$89,3,0)*VLOOKUP('Données projet'!$B$11,Paramètres!$A$1:$I$89,5,0)</f>
        <v>67.37466666666667</v>
      </c>
      <c r="BF31" s="14">
        <f t="shared" si="37"/>
        <v>19.020051421525295</v>
      </c>
      <c r="BG31" s="22">
        <f t="shared" si="7"/>
        <v>150.47080067026766</v>
      </c>
      <c r="BH31" s="62">
        <f t="shared" si="8"/>
        <v>441.35968955915655</v>
      </c>
      <c r="BI31" s="62">
        <f ca="1">AVERAGE(OFFSET($BH$3,0,0,'Données projet'!$E$11+1,1))-AVERAGE(OFFSET($H$3,0,0,'Données projet'!$E$11+1,1))</f>
        <v>295.83974441964551</v>
      </c>
      <c r="BJ31" s="62">
        <f t="shared" si="38"/>
        <v>212.24900914818096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2.5938733050684371</v>
      </c>
      <c r="BR31" s="23">
        <f>EXP(-LN(2)/2)*BR30+(1-EXP(-LN(2)/2))/(LN(2)/2)*BL31*BO31*VLOOKUP('Données projet'!$B$11,Paramètres!$A$1:$I$89,3,0)*0.475*44/12</f>
        <v>3.5907319725353588</v>
      </c>
      <c r="BS31" s="24">
        <f t="shared" si="9"/>
        <v>6.1846052776037954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205.7999999999999</v>
      </c>
      <c r="O32" s="14">
        <f>N32*VLOOKUP('Données projet'!$B$9,Paramètres!$A$1:$I$89,3,0)*VLOOKUP('Données projet'!$B$9,Paramètres!$A$1:$I$89,5,0)</f>
        <v>96.314399999999964</v>
      </c>
      <c r="P32" s="14">
        <f t="shared" si="33"/>
        <v>26.082044404269848</v>
      </c>
      <c r="Q32" s="22">
        <f t="shared" si="2"/>
        <v>213.17380733743661</v>
      </c>
      <c r="R32" s="62">
        <f t="shared" si="0"/>
        <v>505.28491844854773</v>
      </c>
      <c r="S32" s="62">
        <f ca="1">AVERAGE(OFFSET($R$3,0,0,'Données projet'!$E$9+1,1))-AVERAGE(OFFSET($H$3,0,0,'Données projet'!$E$9+1,1))</f>
        <v>193.05670375142864</v>
      </c>
      <c r="T32" s="62">
        <f t="shared" si="34"/>
        <v>259.12914184994344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2.9999808668627392</v>
      </c>
      <c r="AA32" s="23">
        <f>EXP(-LN(2)/25)*AA31+(1-EXP(-LN(2)/25))/(LN(2)/25)*Calculateur!V32*Calculateur!X32*VLOOKUP('Données projet'!$B$9,Paramètres!$A$1:$I$89,3,0)*0.475*44/12</f>
        <v>3.2463013407393411</v>
      </c>
      <c r="AB32" s="23">
        <f>EXP(-LN(2)/2)*AB31+(1-EXP(-LN(2)/2))/(LN(2)/2)*V32*Y32*VLOOKUP('Données projet'!$B$9,Paramètres!$A$1:$I$89,3,0)*0.475*44/12</f>
        <v>0</v>
      </c>
      <c r="AC32" s="24">
        <f t="shared" si="3"/>
        <v>6.2462822076020803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26.6</v>
      </c>
      <c r="AI32" s="14">
        <f>IF('Données projet'!$A$62&gt;35,AI31+AH32-AQ31,IF(A32&lt;'Données projet'!$A$62,$AF$205^A32,IF(A32='Données projet'!$A$62,'Données projet'!$B$62,AI31+AH32-AQ31)))</f>
        <v>457.40000000000015</v>
      </c>
      <c r="AJ32" s="14">
        <f>AI32*VLOOKUP('Données projet'!$B$10,Paramètres!$A$1:$I$89,3,0)*VLOOKUP('Données projet'!$B$10,Paramètres!$A$1:$I$89,5,0)</f>
        <v>255.68660000000011</v>
      </c>
      <c r="AK32" s="14">
        <f t="shared" si="35"/>
        <v>61.80204209851388</v>
      </c>
      <c r="AL32" s="22">
        <f t="shared" si="4"/>
        <v>552.95938498824523</v>
      </c>
      <c r="AM32" s="62">
        <f t="shared" si="5"/>
        <v>845.07049609935643</v>
      </c>
      <c r="AN32" s="62">
        <f ca="1">AVERAGE(OFFSET($AM$3,0,0,'Données projet'!$E$10+1,1))-AVERAGE(OFFSET($H$3,0,0,'Données projet'!$E$10+1,1))</f>
        <v>512.21337090113502</v>
      </c>
      <c r="AO32" s="62">
        <f t="shared" si="36"/>
        <v>621.03633124474163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1.1868886575165392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2.8243959248909269</v>
      </c>
      <c r="AX32" s="23">
        <f t="shared" si="6"/>
        <v>4.0112845824074661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9.6666666666666661</v>
      </c>
      <c r="BD32" s="13">
        <f>IF('Données projet'!$A$88&gt;35,BD31+BC32-BL31,IF(A32&lt;'Données projet'!$A$88,$BA$205^A32,IF(A32='Données projet'!$A$88,'Données projet'!$B$88,BD31+BC32-BL31)))</f>
        <v>122.33333333333334</v>
      </c>
      <c r="BE32" s="14">
        <f>BD32*VLOOKUP('Données projet'!$B$11,Paramètres!$A$1:$I$89,3,0)*VLOOKUP('Données projet'!$B$11,Paramètres!$A$1:$I$89,5,0)</f>
        <v>73.155333333333346</v>
      </c>
      <c r="BF32" s="14">
        <f t="shared" si="37"/>
        <v>20.455016056663315</v>
      </c>
      <c r="BG32" s="22">
        <f t="shared" si="7"/>
        <v>163.03802518757752</v>
      </c>
      <c r="BH32" s="62">
        <f t="shared" si="8"/>
        <v>455.14913629868863</v>
      </c>
      <c r="BI32" s="62">
        <f ca="1">AVERAGE(OFFSET($BH$3,0,0,'Données projet'!$E$11+1,1))-AVERAGE(OFFSET($H$3,0,0,'Données projet'!$E$11+1,1))</f>
        <v>295.83974441964551</v>
      </c>
      <c r="BJ32" s="62">
        <f t="shared" si="38"/>
        <v>212.24900914818096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2.5229437031354718</v>
      </c>
      <c r="BR32" s="23">
        <f>EXP(-LN(2)/2)*BR31+(1-EXP(-LN(2)/2))/(LN(2)/2)*BL32*BO32*VLOOKUP('Données projet'!$B$11,Paramètres!$A$1:$I$89,3,0)*0.475*44/12</f>
        <v>2.5390309272031004</v>
      </c>
      <c r="BS32" s="24">
        <f t="shared" si="9"/>
        <v>5.0619746303385718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215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214.99999999999989</v>
      </c>
      <c r="O33" s="14">
        <f>N33*VLOOKUP('Données projet'!$B$9,Paramètres!$A$1:$I$89,3,0)*VLOOKUP('Données projet'!$B$9,Paramètres!$A$1:$I$89,5,0)</f>
        <v>100.61999999999996</v>
      </c>
      <c r="P33" s="14">
        <f t="shared" si="33"/>
        <v>27.109650822934128</v>
      </c>
      <c r="Q33" s="22">
        <f t="shared" si="2"/>
        <v>222.46247518327687</v>
      </c>
      <c r="R33" s="62">
        <f t="shared" si="0"/>
        <v>515.79580851661012</v>
      </c>
      <c r="S33" s="62">
        <f ca="1">AVERAGE(OFFSET($R$3,0,0,'Données projet'!$E$9+1,1))-AVERAGE(OFFSET($H$3,0,0,'Données projet'!$E$9+1,1))</f>
        <v>193.05670375142864</v>
      </c>
      <c r="T33" s="62">
        <f t="shared" si="34"/>
        <v>259.12914184994344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60</v>
      </c>
      <c r="W33" s="17">
        <f>IF(ISNA(VLOOKUP(A33,'Données projet'!$A$35:$I$55,5,0)),0%,VLOOKUP(A33,'Données projet'!$A$35:$I$55,5,0)*VLOOKUP('Données projet'!$B$9,Paramètres!$A$1:$I$89,7,0))</f>
        <v>0.38500000000000001</v>
      </c>
      <c r="X33" s="17">
        <f>IF(ISNA(VLOOKUP(A33,'Données projet'!$A$35:$I$55,6,0)),0%,VLOOKUP(A33,'Données projet'!$A$35:$I$55,6,0)*VLOOKUP('Données projet'!$B$9,Paramètres!$A$1:$I$89,7,0))</f>
        <v>8.2500000000000004E-2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17.282376086736988</v>
      </c>
      <c r="AA33" s="23">
        <f>EXP(-LN(2)/25)*AA32+(1-EXP(-LN(2)/25))/(LN(2)/25)*Calculateur!V33*Calculateur!X33*VLOOKUP('Données projet'!$B$9,Paramètres!$A$1:$I$89,3,0)*0.475*44/12</f>
        <v>6.2185502360230869</v>
      </c>
      <c r="AB33" s="23">
        <f>EXP(-LN(2)/2)*AB32+(1-EXP(-LN(2)/2))/(LN(2)/2)*V33*Y33*VLOOKUP('Données projet'!$B$9,Paramètres!$A$1:$I$89,3,0)*0.475*44/12</f>
        <v>0</v>
      </c>
      <c r="AC33" s="24">
        <f t="shared" si="3"/>
        <v>23.500926322760076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484</v>
      </c>
      <c r="AG33" s="13">
        <f>VLOOKUP(A33,'Données projet'!$A$61:$I$81,9,0)</f>
        <v>26.6</v>
      </c>
      <c r="AH33" s="13">
        <f t="array" ref="AH33">INDEX(AG:AG,MIN(IF(ISNUMBER(AG33:AG229),ROW(AG33:AG229),"")))</f>
        <v>26.6</v>
      </c>
      <c r="AI33" s="14">
        <f>IF('Données projet'!$A$62&gt;35,AI32+AH33-AQ32,IF(A33&lt;'Données projet'!$A$62,$AF$205^A33,IF(A33='Données projet'!$A$62,'Données projet'!$B$62,AI32+AH33-AQ32)))</f>
        <v>484.00000000000017</v>
      </c>
      <c r="AJ33" s="14">
        <f>AI33*VLOOKUP('Données projet'!$B$10,Paramètres!$A$1:$I$89,3,0)*VLOOKUP('Données projet'!$B$10,Paramètres!$A$1:$I$89,5,0)</f>
        <v>270.5560000000001</v>
      </c>
      <c r="AK33" s="14">
        <f t="shared" si="35"/>
        <v>64.967252389325282</v>
      </c>
      <c r="AL33" s="22">
        <f t="shared" si="4"/>
        <v>584.369664578075</v>
      </c>
      <c r="AM33" s="62">
        <f t="shared" si="5"/>
        <v>877.70299791140837</v>
      </c>
      <c r="AN33" s="62">
        <f ca="1">AVERAGE(OFFSET($AM$3,0,0,'Données projet'!$E$10+1,1))-AVERAGE(OFFSET($H$3,0,0,'Données projet'!$E$10+1,1))</f>
        <v>512.21337090113502</v>
      </c>
      <c r="AO33" s="62">
        <f t="shared" si="36"/>
        <v>621.03633124474163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48</v>
      </c>
      <c r="AR33" s="17">
        <f>IF(ISNA(VLOOKUP(A33,'Données projet'!$A$61:$I$81,5,0)),0%,VLOOKUP(A33,'Données projet'!$A$61:$I$81,5,0)*VLOOKUP('Données projet'!$B$10,Paramètres!$A$1:$I$89,7,0))</f>
        <v>0.13750000000000001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0.75</v>
      </c>
      <c r="AU33" s="23">
        <f>EXP(-LN(2)/35)*AU32+(1-EXP(-LN(2)/35))/(LN(2)/35)*AQ33*AR33*VLOOKUP('Données projet'!$B$10,Paramètres!$A$1:$I$89,3,0)*0.475*44/12</f>
        <v>6.0578413967718792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24.782192266668623</v>
      </c>
      <c r="AX33" s="23">
        <f t="shared" si="6"/>
        <v>30.840033663440501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132</v>
      </c>
      <c r="BB33" s="13">
        <f>VLOOKUP(A33,'Données projet'!$A$87:$I$107,9,0)</f>
        <v>9.6666666666666661</v>
      </c>
      <c r="BC33" s="13">
        <f t="array" ref="BC33">INDEX(BB:BB,MIN(IF(ISNUMBER(BB33:BB229),ROW(BB33:BB229),"")))</f>
        <v>9.6666666666666661</v>
      </c>
      <c r="BD33" s="13">
        <f>IF('Données projet'!$A$88&gt;35,BD32+BC33-BL32,IF(A33&lt;'Données projet'!$A$88,$BA$205^A33,IF(A33='Données projet'!$A$88,'Données projet'!$B$88,BD32+BC33-BL32)))</f>
        <v>132</v>
      </c>
      <c r="BE33" s="14">
        <f>BD33*VLOOKUP('Données projet'!$B$11,Paramètres!$A$1:$I$89,3,0)*VLOOKUP('Données projet'!$B$11,Paramètres!$A$1:$I$89,5,0)</f>
        <v>78.936000000000007</v>
      </c>
      <c r="BF33" s="14">
        <f t="shared" si="37"/>
        <v>21.876828219051273</v>
      </c>
      <c r="BG33" s="22">
        <f t="shared" si="7"/>
        <v>175.5823424815143</v>
      </c>
      <c r="BH33" s="62">
        <f t="shared" si="8"/>
        <v>468.91567581484765</v>
      </c>
      <c r="BI33" s="62">
        <f ca="1">AVERAGE(OFFSET($BH$3,0,0,'Données projet'!$E$11+1,1))-AVERAGE(OFFSET($H$3,0,0,'Données projet'!$E$11+1,1))</f>
        <v>295.83974441964551</v>
      </c>
      <c r="BJ33" s="62">
        <f t="shared" si="38"/>
        <v>212.24900914818096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13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0.22500000000000001</v>
      </c>
      <c r="BO33" s="17">
        <f>IF(ISNA(VLOOKUP(A33,'Données projet'!$A$87:$I$107,7,0)),0%,VLOOKUP(A33,'Données projet'!$A$87:$I$107,7,0))</f>
        <v>0.5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4.7651777498276608</v>
      </c>
      <c r="BR33" s="23">
        <f>EXP(-LN(2)/2)*BR32+(1-EXP(-LN(2)/2))/(LN(2)/2)*BL33*BO33*VLOOKUP('Données projet'!$B$11,Paramètres!$A$1:$I$89,3,0)*0.475*44/12</f>
        <v>6.196352926753053</v>
      </c>
      <c r="BS33" s="24">
        <f t="shared" si="9"/>
        <v>10.961530676580715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</v>
      </c>
      <c r="N34" s="14">
        <f>IF('Données projet'!$A$36&gt;35,N33+M34-V33,IF(A34&lt;'Données projet'!$A$36,$K$205^A34,IF(A34='Données projet'!$A$36,'Données projet'!$B$36,N33+M34-V33)))</f>
        <v>164.99999999999989</v>
      </c>
      <c r="O34" s="14">
        <f>N34*VLOOKUP('Données projet'!$B$9,Paramètres!$A$1:$I$89,3,0)*VLOOKUP('Données projet'!$B$9,Paramètres!$A$1:$I$89,5,0)</f>
        <v>77.219999999999942</v>
      </c>
      <c r="P34" s="14">
        <f t="shared" si="33"/>
        <v>21.456066856215866</v>
      </c>
      <c r="Q34" s="22">
        <f t="shared" si="2"/>
        <v>171.86081644124252</v>
      </c>
      <c r="R34" s="62">
        <f t="shared" si="0"/>
        <v>465.19414977457586</v>
      </c>
      <c r="S34" s="62">
        <f ca="1">AVERAGE(OFFSET($R$3,0,0,'Données projet'!$E$9+1,1))-AVERAGE(OFFSET($H$3,0,0,'Données projet'!$E$9+1,1))</f>
        <v>193.05670375142864</v>
      </c>
      <c r="T34" s="62">
        <f t="shared" si="34"/>
        <v>259.12914184994344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16.943479232884631</v>
      </c>
      <c r="AA34" s="23">
        <f>EXP(-LN(2)/25)*AA33+(1-EXP(-LN(2)/25))/(LN(2)/25)*Calculateur!V34*Calculateur!X34*VLOOKUP('Données projet'!$B$9,Paramètres!$A$1:$I$89,3,0)*0.475*44/12</f>
        <v>6.0485036527996909</v>
      </c>
      <c r="AB34" s="23">
        <f>EXP(-LN(2)/2)*AB33+(1-EXP(-LN(2)/2))/(LN(2)/2)*V34*Y34*VLOOKUP('Données projet'!$B$9,Paramètres!$A$1:$I$89,3,0)*0.475*44/12</f>
        <v>0</v>
      </c>
      <c r="AC34" s="24">
        <f t="shared" si="3"/>
        <v>22.991982885684322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24.6</v>
      </c>
      <c r="AI34" s="14">
        <f>IF('Données projet'!$A$62&gt;35,AI33+AH34-AQ33,IF(A34&lt;'Données projet'!$A$62,$AF$205^A34,IF(A34='Données projet'!$A$62,'Données projet'!$B$62,AI33+AH34-AQ33)))</f>
        <v>460.60000000000019</v>
      </c>
      <c r="AJ34" s="14">
        <f>AI34*VLOOKUP('Données projet'!$B$10,Paramètres!$A$1:$I$89,3,0)*VLOOKUP('Données projet'!$B$10,Paramètres!$A$1:$I$89,5,0)</f>
        <v>257.47540000000009</v>
      </c>
      <c r="AK34" s="14">
        <f t="shared" si="35"/>
        <v>62.183930036702655</v>
      </c>
      <c r="AL34" s="22">
        <f t="shared" si="4"/>
        <v>556.73999981392387</v>
      </c>
      <c r="AM34" s="62">
        <f t="shared" si="5"/>
        <v>850.07333314725724</v>
      </c>
      <c r="AN34" s="62">
        <f ca="1">AVERAGE(OFFSET($AM$3,0,0,'Données projet'!$E$10+1,1))-AVERAGE(OFFSET($H$3,0,0,'Données projet'!$E$10+1,1))</f>
        <v>512.21337090113502</v>
      </c>
      <c r="AO34" s="62">
        <f t="shared" si="36"/>
        <v>621.03633124474163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5.9390508218995919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17.523656204430203</v>
      </c>
      <c r="AX34" s="23">
        <f t="shared" si="6"/>
        <v>23.462707026329795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</v>
      </c>
      <c r="BD34" s="13">
        <f>IF('Données projet'!$A$88&gt;35,BD33+BC34-BL33,IF(A34&lt;'Données projet'!$A$88,$BA$205^A34,IF(A34='Données projet'!$A$88,'Données projet'!$B$88,BD33+BC34-BL33)))</f>
        <v>129</v>
      </c>
      <c r="BE34" s="14">
        <f>BD34*VLOOKUP('Données projet'!$B$11,Paramètres!$A$1:$I$89,3,0)*VLOOKUP('Données projet'!$B$11,Paramètres!$A$1:$I$89,5,0)</f>
        <v>77.14200000000001</v>
      </c>
      <c r="BF34" s="14">
        <f t="shared" si="37"/>
        <v>21.436915648510755</v>
      </c>
      <c r="BG34" s="22">
        <f t="shared" si="7"/>
        <v>171.69161142115624</v>
      </c>
      <c r="BH34" s="62">
        <f t="shared" si="8"/>
        <v>465.02494475448952</v>
      </c>
      <c r="BI34" s="62">
        <f ca="1">AVERAGE(OFFSET($BH$3,0,0,'Données projet'!$E$11+1,1))-AVERAGE(OFFSET($H$3,0,0,'Données projet'!$E$11+1,1))</f>
        <v>295.83974441964551</v>
      </c>
      <c r="BJ34" s="62">
        <f t="shared" si="38"/>
        <v>212.24900914818096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4.6348737136688163</v>
      </c>
      <c r="BR34" s="23">
        <f>EXP(-LN(2)/2)*BR33+(1-EXP(-LN(2)/2))/(LN(2)/2)*BL34*BO34*VLOOKUP('Données projet'!$B$11,Paramètres!$A$1:$I$89,3,0)*0.475*44/12</f>
        <v>4.381483173132195</v>
      </c>
      <c r="BS34" s="24">
        <f t="shared" si="9"/>
        <v>9.0163568868010113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</v>
      </c>
      <c r="N35" s="14">
        <f>IF('Données projet'!$A$36&gt;35,N34+M35-V34,IF(A35&lt;'Données projet'!$A$36,$K$205^A35,IF(A35='Données projet'!$A$36,'Données projet'!$B$36,N34+M35-V34)))</f>
        <v>174.99999999999989</v>
      </c>
      <c r="O35" s="14">
        <f>N35*VLOOKUP('Données projet'!$B$9,Paramètres!$A$1:$I$89,3,0)*VLOOKUP('Données projet'!$B$9,Paramètres!$A$1:$I$89,5,0)</f>
        <v>81.899999999999949</v>
      </c>
      <c r="P35" s="14">
        <f t="shared" si="33"/>
        <v>22.601107473346321</v>
      </c>
      <c r="Q35" s="22">
        <f t="shared" ref="Q35:Q66" si="53">(O35+P35)*0.475*44/12</f>
        <v>182.00609551607806</v>
      </c>
      <c r="R35" s="62">
        <f t="shared" si="0"/>
        <v>475.33942884941138</v>
      </c>
      <c r="S35" s="62">
        <f ca="1">AVERAGE(OFFSET($R$3,0,0,'Données projet'!$E$9+1,1))-AVERAGE(OFFSET($H$3,0,0,'Données projet'!$E$9+1,1))</f>
        <v>193.05670375142864</v>
      </c>
      <c r="T35" s="62">
        <f t="shared" si="34"/>
        <v>259.12914184994344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16.611227939629646</v>
      </c>
      <c r="AA35" s="23">
        <f>EXP(-LN(2)/25)*AA34+(1-EXP(-LN(2)/25))/(LN(2)/25)*Calculateur!V35*Calculateur!X35*VLOOKUP('Données projet'!$B$9,Paramètres!$A$1:$I$89,3,0)*0.475*44/12</f>
        <v>5.8831070023369003</v>
      </c>
      <c r="AB35" s="23">
        <f>EXP(-LN(2)/2)*AB34+(1-EXP(-LN(2)/2))/(LN(2)/2)*V35*Y35*VLOOKUP('Données projet'!$B$9,Paramètres!$A$1:$I$89,3,0)*0.475*44/12</f>
        <v>0</v>
      </c>
      <c r="AC35" s="24">
        <f t="shared" si="3"/>
        <v>22.494334941966546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24.6</v>
      </c>
      <c r="AI35" s="14">
        <f>IF('Données projet'!$A$62&gt;35,AI34+AH35-AQ34,IF(A35&lt;'Données projet'!$A$62,$AF$205^A35,IF(A35='Données projet'!$A$62,'Données projet'!$B$62,AI34+AH35-AQ34)))</f>
        <v>485.20000000000022</v>
      </c>
      <c r="AJ35" s="14">
        <f>AI35*VLOOKUP('Données projet'!$B$10,Paramètres!$A$1:$I$89,3,0)*VLOOKUP('Données projet'!$B$10,Paramètres!$A$1:$I$89,5,0)</f>
        <v>271.22680000000014</v>
      </c>
      <c r="AK35" s="14">
        <f t="shared" si="35"/>
        <v>65.109558476355161</v>
      </c>
      <c r="AL35" s="22">
        <f t="shared" si="4"/>
        <v>585.7858243463188</v>
      </c>
      <c r="AM35" s="62">
        <f t="shared" si="5"/>
        <v>879.11915767965206</v>
      </c>
      <c r="AN35" s="62">
        <f ca="1">AVERAGE(OFFSET($AM$3,0,0,'Données projet'!$E$10+1,1))-AVERAGE(OFFSET($H$3,0,0,'Données projet'!$E$10+1,1))</f>
        <v>512.21337090113502</v>
      </c>
      <c r="AO35" s="62">
        <f t="shared" si="36"/>
        <v>621.03633124474163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5.8225896577454535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12.391096133334315</v>
      </c>
      <c r="AX35" s="23">
        <f t="shared" si="6"/>
        <v>18.213685791079769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</v>
      </c>
      <c r="BD35" s="13">
        <f>IF('Données projet'!$A$88&gt;35,BD34+BC35-BL34,IF(A35&lt;'Données projet'!$A$88,$BA$205^A35,IF(A35='Données projet'!$A$88,'Données projet'!$B$88,BD34+BC35-BL34)))</f>
        <v>139</v>
      </c>
      <c r="BE35" s="14">
        <f>BD35*VLOOKUP('Données projet'!$B$11,Paramètres!$A$1:$I$89,3,0)*VLOOKUP('Données projet'!$B$11,Paramètres!$A$1:$I$89,5,0)</f>
        <v>83.122000000000014</v>
      </c>
      <c r="BF35" s="14">
        <f t="shared" si="37"/>
        <v>22.898820278178533</v>
      </c>
      <c r="BG35" s="22">
        <f t="shared" si="7"/>
        <v>184.65292865116098</v>
      </c>
      <c r="BH35" s="62">
        <f t="shared" si="8"/>
        <v>477.98626198449426</v>
      </c>
      <c r="BI35" s="62">
        <f ca="1">AVERAGE(OFFSET($BH$3,0,0,'Données projet'!$E$11+1,1))-AVERAGE(OFFSET($H$3,0,0,'Données projet'!$E$11+1,1))</f>
        <v>295.83974441964551</v>
      </c>
      <c r="BJ35" s="62">
        <f t="shared" si="38"/>
        <v>212.24900914818096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4.5081328482311269</v>
      </c>
      <c r="BR35" s="23">
        <f>EXP(-LN(2)/2)*BR34+(1-EXP(-LN(2)/2))/(LN(2)/2)*BL35*BO35*VLOOKUP('Données projet'!$B$11,Paramètres!$A$1:$I$89,3,0)*0.475*44/12</f>
        <v>3.098176463376527</v>
      </c>
      <c r="BS35" s="24">
        <f t="shared" si="9"/>
        <v>7.6063093116076539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</v>
      </c>
      <c r="N36" s="14">
        <f>IF('Données projet'!$A$36&gt;35,N35+M36-V35,IF(A36&lt;'Données projet'!$A$36,$K$205^A36,IF(A36='Données projet'!$A$36,'Données projet'!$B$36,N35+M36-V35)))</f>
        <v>184.99999999999989</v>
      </c>
      <c r="O36" s="14">
        <f>N36*VLOOKUP('Données projet'!$B$9,Paramètres!$A$1:$I$89,3,0)*VLOOKUP('Données projet'!$B$9,Paramètres!$A$1:$I$89,5,0)</f>
        <v>86.579999999999941</v>
      </c>
      <c r="P36" s="14">
        <f t="shared" si="33"/>
        <v>23.738552844733956</v>
      </c>
      <c r="Q36" s="22">
        <f t="shared" si="53"/>
        <v>192.13814620457819</v>
      </c>
      <c r="R36" s="62">
        <f t="shared" si="0"/>
        <v>485.47147953791148</v>
      </c>
      <c r="S36" s="62">
        <f ca="1">AVERAGE(OFFSET($R$3,0,0,'Données projet'!$E$9+1,1))-AVERAGE(OFFSET($H$3,0,0,'Données projet'!$E$9+1,1))</f>
        <v>193.05670375142864</v>
      </c>
      <c r="T36" s="62">
        <f t="shared" si="34"/>
        <v>259.12914184994344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16.285491891582115</v>
      </c>
      <c r="AA36" s="23">
        <f>EXP(-LN(2)/25)*AA35+(1-EXP(-LN(2)/25))/(LN(2)/25)*Calculateur!V36*Calculateur!X36*VLOOKUP('Données projet'!$B$9,Paramètres!$A$1:$I$89,3,0)*0.475*44/12</f>
        <v>5.7222331319788466</v>
      </c>
      <c r="AB36" s="23">
        <f>EXP(-LN(2)/2)*AB35+(1-EXP(-LN(2)/2))/(LN(2)/2)*V36*Y36*VLOOKUP('Données projet'!$B$9,Paramètres!$A$1:$I$89,3,0)*0.475*44/12</f>
        <v>0</v>
      </c>
      <c r="AC36" s="24">
        <f t="shared" si="3"/>
        <v>22.007725023560962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24.6</v>
      </c>
      <c r="AI36" s="14">
        <f>IF('Données projet'!$A$62&gt;35,AI35+AH36-AQ35,IF(A36&lt;'Données projet'!$A$62,$AF$205^A36,IF(A36='Données projet'!$A$62,'Données projet'!$B$62,AI35+AH36-AQ35)))</f>
        <v>509.80000000000024</v>
      </c>
      <c r="AJ36" s="14">
        <f>AI36*VLOOKUP('Données projet'!$B$10,Paramètres!$A$1:$I$89,3,0)*VLOOKUP('Données projet'!$B$10,Paramètres!$A$1:$I$89,5,0)</f>
        <v>284.97820000000013</v>
      </c>
      <c r="AK36" s="14">
        <f t="shared" si="35"/>
        <v>68.017964183169582</v>
      </c>
      <c r="AL36" s="22">
        <f t="shared" si="4"/>
        <v>614.8016526190205</v>
      </c>
      <c r="AM36" s="62">
        <f t="shared" si="5"/>
        <v>908.13498595235387</v>
      </c>
      <c r="AN36" s="62">
        <f ca="1">AVERAGE(OFFSET($AM$3,0,0,'Données projet'!$E$10+1,1))-AVERAGE(OFFSET($H$3,0,0,'Données projet'!$E$10+1,1))</f>
        <v>512.21337090113502</v>
      </c>
      <c r="AO36" s="62">
        <f t="shared" si="36"/>
        <v>621.03633124474163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5.7084122259860814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8.7618281022151034</v>
      </c>
      <c r="AX36" s="23">
        <f t="shared" si="6"/>
        <v>14.470240328201186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</v>
      </c>
      <c r="BD36" s="13">
        <f>IF('Données projet'!$A$88&gt;35,BD35+BC36-BL35,IF(A36&lt;'Données projet'!$A$88,$BA$205^A36,IF(A36='Données projet'!$A$88,'Données projet'!$B$88,BD35+BC36-BL35)))</f>
        <v>149</v>
      </c>
      <c r="BE36" s="14">
        <f>BD36*VLOOKUP('Données projet'!$B$11,Paramètres!$A$1:$I$89,3,0)*VLOOKUP('Données projet'!$B$11,Paramètres!$A$1:$I$89,5,0)</f>
        <v>89.102000000000018</v>
      </c>
      <c r="BF36" s="14">
        <f t="shared" si="37"/>
        <v>24.348522781128082</v>
      </c>
      <c r="BG36" s="22">
        <f t="shared" si="7"/>
        <v>197.5929938437981</v>
      </c>
      <c r="BH36" s="62">
        <f t="shared" si="8"/>
        <v>490.92632717713138</v>
      </c>
      <c r="BI36" s="62">
        <f ca="1">AVERAGE(OFFSET($BH$3,0,0,'Données projet'!$E$11+1,1))-AVERAGE(OFFSET($H$3,0,0,'Données projet'!$E$11+1,1))</f>
        <v>295.83974441964551</v>
      </c>
      <c r="BJ36" s="62">
        <f t="shared" si="38"/>
        <v>212.24900914818096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4.3848577184238433</v>
      </c>
      <c r="BR36" s="23">
        <f>EXP(-LN(2)/2)*BR35+(1-EXP(-LN(2)/2))/(LN(2)/2)*BL36*BO36*VLOOKUP('Données projet'!$B$11,Paramètres!$A$1:$I$89,3,0)*0.475*44/12</f>
        <v>2.1907415865660975</v>
      </c>
      <c r="BS36" s="24">
        <f t="shared" si="9"/>
        <v>6.5755993049899413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</v>
      </c>
      <c r="N37" s="14">
        <f>IF('Données projet'!$A$36&gt;35,N36+M37-V36,IF(A37&lt;'Données projet'!$A$36,$K$205^A37,IF(A37='Données projet'!$A$36,'Données projet'!$B$36,N36+M37-V36)))</f>
        <v>194.99999999999989</v>
      </c>
      <c r="O37" s="14">
        <f>N37*VLOOKUP('Données projet'!$B$9,Paramètres!$A$1:$I$89,3,0)*VLOOKUP('Données projet'!$B$9,Paramètres!$A$1:$I$89,5,0)</f>
        <v>91.259999999999948</v>
      </c>
      <c r="P37" s="14">
        <f t="shared" si="33"/>
        <v>24.868860330902777</v>
      </c>
      <c r="Q37" s="22">
        <f t="shared" si="53"/>
        <v>202.25776507632224</v>
      </c>
      <c r="R37" s="62">
        <f t="shared" si="0"/>
        <v>495.59109840965556</v>
      </c>
      <c r="S37" s="62">
        <f ca="1">AVERAGE(OFFSET($R$3,0,0,'Données projet'!$E$9+1,1))-AVERAGE(OFFSET($H$3,0,0,'Données projet'!$E$9+1,1))</f>
        <v>193.05670375142864</v>
      </c>
      <c r="T37" s="62">
        <f t="shared" si="34"/>
        <v>259.12914184994344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15.966143328757425</v>
      </c>
      <c r="AA37" s="23">
        <f>EXP(-LN(2)/25)*AA36+(1-EXP(-LN(2)/25))/(LN(2)/25)*Calculateur!V37*Calculateur!X37*VLOOKUP('Données projet'!$B$9,Paramètres!$A$1:$I$89,3,0)*0.475*44/12</f>
        <v>5.5657583660657233</v>
      </c>
      <c r="AB37" s="23">
        <f>EXP(-LN(2)/2)*AB36+(1-EXP(-LN(2)/2))/(LN(2)/2)*V37*Y37*VLOOKUP('Données projet'!$B$9,Paramètres!$A$1:$I$89,3,0)*0.475*44/12</f>
        <v>0</v>
      </c>
      <c r="AC37" s="24">
        <f t="shared" si="3"/>
        <v>21.531901694823148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24.6</v>
      </c>
      <c r="AI37" s="14">
        <f>IF('Données projet'!$A$62&gt;35,AI36+AH37-AQ36,IF(A37&lt;'Données projet'!$A$62,$AF$205^A37,IF(A37='Données projet'!$A$62,'Données projet'!$B$62,AI36+AH37-AQ36)))</f>
        <v>534.4000000000002</v>
      </c>
      <c r="AJ37" s="14">
        <f>AI37*VLOOKUP('Données projet'!$B$10,Paramètres!$A$1:$I$89,3,0)*VLOOKUP('Données projet'!$B$10,Paramètres!$A$1:$I$89,5,0)</f>
        <v>298.72960000000012</v>
      </c>
      <c r="AK37" s="14">
        <f t="shared" si="35"/>
        <v>70.910073097686976</v>
      </c>
      <c r="AL37" s="22">
        <f t="shared" si="4"/>
        <v>643.78909731180499</v>
      </c>
      <c r="AM37" s="62">
        <f t="shared" si="5"/>
        <v>937.12243064513837</v>
      </c>
      <c r="AN37" s="62">
        <f ca="1">AVERAGE(OFFSET($AM$3,0,0,'Données projet'!$E$10+1,1))-AVERAGE(OFFSET($H$3,0,0,'Données projet'!$E$10+1,1))</f>
        <v>512.21337090113502</v>
      </c>
      <c r="AO37" s="62">
        <f t="shared" si="36"/>
        <v>621.03633124474163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5.5964737440221546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6.1955480666671585</v>
      </c>
      <c r="AX37" s="23">
        <f t="shared" si="6"/>
        <v>11.792021810689313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</v>
      </c>
      <c r="BD37" s="13">
        <f>IF('Données projet'!$A$88&gt;35,BD36+BC37-BL36,IF(A37&lt;'Données projet'!$A$88,$BA$205^A37,IF(A37='Données projet'!$A$88,'Données projet'!$B$88,BD36+BC37-BL36)))</f>
        <v>159</v>
      </c>
      <c r="BE37" s="14">
        <f>BD37*VLOOKUP('Données projet'!$B$11,Paramètres!$A$1:$I$89,3,0)*VLOOKUP('Données projet'!$B$11,Paramètres!$A$1:$I$89,5,0)</f>
        <v>95.082000000000008</v>
      </c>
      <c r="BF37" s="14">
        <f t="shared" si="37"/>
        <v>25.786935269387122</v>
      </c>
      <c r="BG37" s="22">
        <f t="shared" si="7"/>
        <v>210.51339559418258</v>
      </c>
      <c r="BH37" s="62">
        <f t="shared" si="8"/>
        <v>503.84672892751587</v>
      </c>
      <c r="BI37" s="62">
        <f ca="1">AVERAGE(OFFSET($BH$3,0,0,'Données projet'!$E$11+1,1))-AVERAGE(OFFSET($H$3,0,0,'Données projet'!$E$11+1,1))</f>
        <v>295.83974441964551</v>
      </c>
      <c r="BJ37" s="62">
        <f t="shared" si="38"/>
        <v>212.24900914818096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4.264953553523898</v>
      </c>
      <c r="BR37" s="23">
        <f>EXP(-LN(2)/2)*BR36+(1-EXP(-LN(2)/2))/(LN(2)/2)*BL37*BO37*VLOOKUP('Données projet'!$B$11,Paramètres!$A$1:$I$89,3,0)*0.475*44/12</f>
        <v>1.5490882316882635</v>
      </c>
      <c r="BS37" s="24">
        <f t="shared" si="9"/>
        <v>5.8140417852121615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10</v>
      </c>
      <c r="N38" s="14">
        <f>IF('Données projet'!$A$36&gt;35,N37+M38-V37,IF(A38&lt;'Données projet'!$A$36,$K$205^A38,IF(A38='Données projet'!$A$36,'Données projet'!$B$36,N37+M38-V37)))</f>
        <v>204.99999999999989</v>
      </c>
      <c r="O38" s="14">
        <f>N38*VLOOKUP('Données projet'!$B$9,Paramètres!$A$1:$I$89,3,0)*VLOOKUP('Données projet'!$B$9,Paramètres!$A$1:$I$89,5,0)</f>
        <v>95.939999999999941</v>
      </c>
      <c r="P38" s="14">
        <f t="shared" si="33"/>
        <v>25.992437734025167</v>
      </c>
      <c r="Q38" s="22">
        <f t="shared" si="53"/>
        <v>212.36566238676039</v>
      </c>
      <c r="R38" s="62">
        <f t="shared" si="0"/>
        <v>505.69899572009371</v>
      </c>
      <c r="S38" s="62">
        <f ca="1">AVERAGE(OFFSET($R$3,0,0,'Données projet'!$E$9+1,1))-AVERAGE(OFFSET($H$3,0,0,'Données projet'!$E$9+1,1))</f>
        <v>193.05670375142864</v>
      </c>
      <c r="T38" s="62">
        <f t="shared" si="34"/>
        <v>259.12914184994344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15.653056996466336</v>
      </c>
      <c r="AA38" s="23">
        <f>EXP(-LN(2)/25)*AA37+(1-EXP(-LN(2)/25))/(LN(2)/25)*Calculateur!V38*Calculateur!X38*VLOOKUP('Données projet'!$B$9,Paramètres!$A$1:$I$89,3,0)*0.475*44/12</f>
        <v>5.4135624108551443</v>
      </c>
      <c r="AB38" s="23">
        <f>EXP(-LN(2)/2)*AB37+(1-EXP(-LN(2)/2))/(LN(2)/2)*V38*Y38*VLOOKUP('Données projet'!$B$9,Paramètres!$A$1:$I$89,3,0)*0.475*44/12</f>
        <v>0</v>
      </c>
      <c r="AC38" s="24">
        <f t="shared" si="3"/>
        <v>21.066619407321483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559</v>
      </c>
      <c r="AG38" s="13">
        <f>VLOOKUP(A38,'Données projet'!$A$61:$I$81,9,0)</f>
        <v>24.6</v>
      </c>
      <c r="AH38" s="13">
        <f t="array" ref="AH38">INDEX(AG:AG,MIN(IF(ISNUMBER(AG38:AG234),ROW(AG38:AG234),"")))</f>
        <v>24.6</v>
      </c>
      <c r="AI38" s="14">
        <f>IF('Données projet'!$A$62&gt;35,AI37+AH38-AQ37,IF(A38&lt;'Données projet'!$A$62,$AF$205^A38,IF(A38='Données projet'!$A$62,'Données projet'!$B$62,AI37+AH38-AQ37)))</f>
        <v>559.00000000000023</v>
      </c>
      <c r="AJ38" s="14">
        <f>AI38*VLOOKUP('Données projet'!$B$10,Paramètres!$A$1:$I$89,3,0)*VLOOKUP('Données projet'!$B$10,Paramètres!$A$1:$I$89,5,0)</f>
        <v>312.48100000000011</v>
      </c>
      <c r="AK38" s="14">
        <f t="shared" si="35"/>
        <v>73.786721094721486</v>
      </c>
      <c r="AL38" s="22">
        <f t="shared" si="4"/>
        <v>672.74961423997343</v>
      </c>
      <c r="AM38" s="62">
        <f t="shared" si="5"/>
        <v>966.08294757330668</v>
      </c>
      <c r="AN38" s="62">
        <f ca="1">AVERAGE(OFFSET($AM$3,0,0,'Données projet'!$E$10+1,1))-AVERAGE(OFFSET($H$3,0,0,'Données projet'!$E$10+1,1))</f>
        <v>512.21337090113502</v>
      </c>
      <c r="AO38" s="62">
        <f t="shared" si="36"/>
        <v>621.03633124474163</v>
      </c>
      <c r="AP38" s="16">
        <f>IF(ISNA(VLOOKUP(A38,'Données projet'!$A$61:$I$81,3,0)),0,VLOOKUP(A38,'Données projet'!$A$61:$I$81,3,0))</f>
        <v>5</v>
      </c>
      <c r="AQ38" s="16">
        <f>IF(ISNA(VLOOKUP(A38,'Données projet'!$A$61:$I$81,4,0)),0,VLOOKUP(A38,'Données projet'!$A$61:$I$81,4,0))</f>
        <v>61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5.4867303074138079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4.3809140511075526</v>
      </c>
      <c r="AX38" s="23">
        <f t="shared" si="6"/>
        <v>9.8676443585213605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169</v>
      </c>
      <c r="BB38" s="13">
        <f>VLOOKUP(A38,'Données projet'!$A$87:$I$107,9,0)</f>
        <v>10</v>
      </c>
      <c r="BC38" s="13">
        <f t="array" ref="BC38">INDEX(BB:BB,MIN(IF(ISNUMBER(BB38:BB234),ROW(BB38:BB234),"")))</f>
        <v>10</v>
      </c>
      <c r="BD38" s="13">
        <f>IF('Données projet'!$A$88&gt;35,BD37+BC38-BL37,IF(A38&lt;'Données projet'!$A$88,$BA$205^A38,IF(A38='Données projet'!$A$88,'Données projet'!$B$88,BD37+BC38-BL37)))</f>
        <v>169</v>
      </c>
      <c r="BE38" s="14">
        <f>BD38*VLOOKUP('Données projet'!$B$11,Paramètres!$A$1:$I$89,3,0)*VLOOKUP('Données projet'!$B$11,Paramètres!$A$1:$I$89,5,0)</f>
        <v>101.06200000000001</v>
      </c>
      <c r="BF38" s="14">
        <f t="shared" si="37"/>
        <v>27.214848638810562</v>
      </c>
      <c r="BG38" s="22">
        <f t="shared" si="7"/>
        <v>223.41551137926174</v>
      </c>
      <c r="BH38" s="62">
        <f t="shared" si="8"/>
        <v>516.74884471259509</v>
      </c>
      <c r="BI38" s="62">
        <f ca="1">AVERAGE(OFFSET($BH$3,0,0,'Données projet'!$E$11+1,1))-AVERAGE(OFFSET($H$3,0,0,'Données projet'!$E$11+1,1))</f>
        <v>295.83974441964551</v>
      </c>
      <c r="BJ38" s="62">
        <f t="shared" si="38"/>
        <v>212.24900914818096</v>
      </c>
      <c r="BK38" s="16">
        <f>IF(ISNA(VLOOKUP(A38,'Données projet'!$A$87:$I$107,3,0)),0,VLOOKUP(A38,'Données projet'!$A$87:$I$107,3,0))</f>
        <v>3</v>
      </c>
      <c r="BL38" s="16">
        <f>IF(ISNA(VLOOKUP(A38,'Données projet'!$A$87:$I$107,4,0)),0,VLOOKUP(A38,'Données projet'!$A$87:$I$107,4,0))</f>
        <v>23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4.1483281743186273</v>
      </c>
      <c r="BR38" s="23">
        <f>EXP(-LN(2)/2)*BR37+(1-EXP(-LN(2)/2))/(LN(2)/2)*BL38*BO38*VLOOKUP('Données projet'!$B$11,Paramètres!$A$1:$I$89,3,0)*0.475*44/12</f>
        <v>1.0953707932830488</v>
      </c>
      <c r="BS38" s="24">
        <f t="shared" si="9"/>
        <v>5.2436989676016763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10</v>
      </c>
      <c r="N39" s="14">
        <f>IF('Données projet'!$A$36&gt;35,N38+M39-V38,IF(A39&lt;'Données projet'!$A$36,$K$205^A39,IF(A39='Données projet'!$A$36,'Données projet'!$B$36,N38+M39-V38)))</f>
        <v>214.99999999999989</v>
      </c>
      <c r="O39" s="14">
        <f>N39*VLOOKUP('Données projet'!$B$9,Paramètres!$A$1:$I$89,3,0)*VLOOKUP('Données projet'!$B$9,Paramètres!$A$1:$I$89,5,0)</f>
        <v>100.61999999999996</v>
      </c>
      <c r="P39" s="14">
        <f t="shared" si="33"/>
        <v>27.109650822934128</v>
      </c>
      <c r="Q39" s="22">
        <f t="shared" si="53"/>
        <v>222.46247518327687</v>
      </c>
      <c r="R39" s="62">
        <f t="shared" si="0"/>
        <v>515.79580851661012</v>
      </c>
      <c r="S39" s="62">
        <f ca="1">AVERAGE(OFFSET($R$3,0,0,'Données projet'!$E$9+1,1))-AVERAGE(OFFSET($H$3,0,0,'Données projet'!$E$9+1,1))</f>
        <v>193.05670375142864</v>
      </c>
      <c r="T39" s="62">
        <f t="shared" si="34"/>
        <v>259.12914184994344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15.346110096187671</v>
      </c>
      <c r="AA39" s="23">
        <f>EXP(-LN(2)/25)*AA38+(1-EXP(-LN(2)/25))/(LN(2)/25)*Calculateur!V39*Calculateur!X39*VLOOKUP('Données projet'!$B$9,Paramètres!$A$1:$I$89,3,0)*0.475*44/12</f>
        <v>5.2655282620434365</v>
      </c>
      <c r="AB39" s="23">
        <f>EXP(-LN(2)/2)*AB38+(1-EXP(-LN(2)/2))/(LN(2)/2)*V39*Y39*VLOOKUP('Données projet'!$B$9,Paramètres!$A$1:$I$89,3,0)*0.475*44/12</f>
        <v>0</v>
      </c>
      <c r="AC39" s="24">
        <f t="shared" si="3"/>
        <v>20.611638358231108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21.8</v>
      </c>
      <c r="AI39" s="14">
        <f>IF('Données projet'!$A$62&gt;35,AI38+AH39-AQ38,IF(A39&lt;'Données projet'!$A$62,$AF$205^A39,IF(A39='Données projet'!$A$62,'Données projet'!$B$62,AI38+AH39-AQ38)))</f>
        <v>519.80000000000018</v>
      </c>
      <c r="AJ39" s="14">
        <f>AI39*VLOOKUP('Données projet'!$B$10,Paramètres!$A$1:$I$89,3,0)*VLOOKUP('Données projet'!$B$10,Paramètres!$A$1:$I$89,5,0)</f>
        <v>290.5682000000001</v>
      </c>
      <c r="AK39" s="14">
        <f t="shared" si="35"/>
        <v>69.195534926178652</v>
      </c>
      <c r="AL39" s="22">
        <f t="shared" si="4"/>
        <v>626.58850499642801</v>
      </c>
      <c r="AM39" s="62">
        <f t="shared" si="5"/>
        <v>919.92183832976139</v>
      </c>
      <c r="AN39" s="62">
        <f ca="1">AVERAGE(OFFSET($AM$3,0,0,'Données projet'!$E$10+1,1))-AVERAGE(OFFSET($H$3,0,0,'Données projet'!$E$10+1,1))</f>
        <v>512.21337090113502</v>
      </c>
      <c r="AO39" s="62">
        <f t="shared" si="36"/>
        <v>621.03633124474163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5.3791388726604641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3.0977740333335797</v>
      </c>
      <c r="AX39" s="23">
        <f t="shared" si="6"/>
        <v>8.4769129059940447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12.4</v>
      </c>
      <c r="BD39" s="13">
        <f>IF('Données projet'!$A$88&gt;35,BD38+BC39-BL38,IF(A39&lt;'Données projet'!$A$88,$BA$205^A39,IF(A39='Données projet'!$A$88,'Données projet'!$B$88,BD38+BC39-BL38)))</f>
        <v>158.4</v>
      </c>
      <c r="BE39" s="14">
        <f>BD39*VLOOKUP('Données projet'!$B$11,Paramètres!$A$1:$I$89,3,0)*VLOOKUP('Données projet'!$B$11,Paramètres!$A$1:$I$89,5,0)</f>
        <v>94.723200000000006</v>
      </c>
      <c r="BF39" s="14">
        <f t="shared" si="37"/>
        <v>25.700933959119112</v>
      </c>
      <c r="BG39" s="22">
        <f t="shared" si="7"/>
        <v>209.7386999787991</v>
      </c>
      <c r="BH39" s="62">
        <f t="shared" si="8"/>
        <v>503.07203331213242</v>
      </c>
      <c r="BI39" s="62">
        <f ca="1">AVERAGE(OFFSET($BH$3,0,0,'Données projet'!$E$11+1,1))-AVERAGE(OFFSET($H$3,0,0,'Données projet'!$E$11+1,1))</f>
        <v>295.83974441964551</v>
      </c>
      <c r="BJ39" s="62">
        <f t="shared" si="38"/>
        <v>212.24900914818096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4.0348919222407869</v>
      </c>
      <c r="BR39" s="23">
        <f>EXP(-LN(2)/2)*BR38+(1-EXP(-LN(2)/2))/(LN(2)/2)*BL39*BO39*VLOOKUP('Données projet'!$B$11,Paramètres!$A$1:$I$89,3,0)*0.475*44/12</f>
        <v>0.77454411584413174</v>
      </c>
      <c r="BS39" s="24">
        <f t="shared" si="9"/>
        <v>4.8094360380849182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10</v>
      </c>
      <c r="N40" s="14">
        <f>IF('Données projet'!$A$36&gt;35,N39+M40-V39,IF(A40&lt;'Données projet'!$A$36,$K$205^A40,IF(A40='Données projet'!$A$36,'Données projet'!$B$36,N39+M40-V39)))</f>
        <v>224.99999999999989</v>
      </c>
      <c r="O40" s="14">
        <f>N40*VLOOKUP('Données projet'!$B$9,Paramètres!$A$1:$I$89,3,0)*VLOOKUP('Données projet'!$B$9,Paramètres!$A$1:$I$89,5,0)</f>
        <v>105.29999999999995</v>
      </c>
      <c r="P40" s="14">
        <f t="shared" si="33"/>
        <v>28.220829418515034</v>
      </c>
      <c r="Q40" s="22">
        <f t="shared" si="53"/>
        <v>232.54877790391356</v>
      </c>
      <c r="R40" s="62">
        <f t="shared" si="0"/>
        <v>525.88211123724682</v>
      </c>
      <c r="S40" s="62">
        <f ca="1">AVERAGE(OFFSET($R$3,0,0,'Données projet'!$E$9+1,1))-AVERAGE(OFFSET($H$3,0,0,'Données projet'!$E$9+1,1))</f>
        <v>193.05670375142864</v>
      </c>
      <c r="T40" s="62">
        <f t="shared" si="34"/>
        <v>259.12914184994344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15.045182237404346</v>
      </c>
      <c r="AA40" s="23">
        <f>EXP(-LN(2)/25)*AA39+(1-EXP(-LN(2)/25))/(LN(2)/25)*Calculateur!V40*Calculateur!X40*VLOOKUP('Données projet'!$B$9,Paramètres!$A$1:$I$89,3,0)*0.475*44/12</f>
        <v>5.121542114815762</v>
      </c>
      <c r="AB40" s="23">
        <f>EXP(-LN(2)/2)*AB39+(1-EXP(-LN(2)/2))/(LN(2)/2)*V40*Y40*VLOOKUP('Données projet'!$B$9,Paramètres!$A$1:$I$89,3,0)*0.475*44/12</f>
        <v>0</v>
      </c>
      <c r="AC40" s="24">
        <f t="shared" si="3"/>
        <v>20.166724352220108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21.8</v>
      </c>
      <c r="AI40" s="14">
        <f>IF('Données projet'!$A$62&gt;35,AI39+AH40-AQ39,IF(A40&lt;'Données projet'!$A$62,$AF$205^A40,IF(A40='Données projet'!$A$62,'Données projet'!$B$62,AI39+AH40-AQ39)))</f>
        <v>541.60000000000014</v>
      </c>
      <c r="AJ40" s="14">
        <f>AI40*VLOOKUP('Données projet'!$B$10,Paramètres!$A$1:$I$89,3,0)*VLOOKUP('Données projet'!$B$10,Paramètres!$A$1:$I$89,5,0)</f>
        <v>302.75440000000009</v>
      </c>
      <c r="AK40" s="14">
        <f t="shared" si="35"/>
        <v>71.753584011735882</v>
      </c>
      <c r="AL40" s="22">
        <f t="shared" si="4"/>
        <v>652.26807215377346</v>
      </c>
      <c r="AM40" s="62">
        <f t="shared" si="5"/>
        <v>945.60140548710683</v>
      </c>
      <c r="AN40" s="62">
        <f ca="1">AVERAGE(OFFSET($AM$3,0,0,'Données projet'!$E$10+1,1))-AVERAGE(OFFSET($H$3,0,0,'Données projet'!$E$10+1,1))</f>
        <v>512.21337090113502</v>
      </c>
      <c r="AO40" s="62">
        <f t="shared" si="36"/>
        <v>621.03633124474163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5.2736572403183377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2.1904570255537763</v>
      </c>
      <c r="AX40" s="23">
        <f t="shared" si="6"/>
        <v>7.464114265872114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12.4</v>
      </c>
      <c r="BD40" s="13">
        <f>IF('Données projet'!$A$88&gt;35,BD39+BC40-BL39,IF(A40&lt;'Données projet'!$A$88,$BA$205^A40,IF(A40='Données projet'!$A$88,'Données projet'!$B$88,BD39+BC40-BL39)))</f>
        <v>170.8</v>
      </c>
      <c r="BE40" s="14">
        <f>BD40*VLOOKUP('Données projet'!$B$11,Paramètres!$A$1:$I$89,3,0)*VLOOKUP('Données projet'!$B$11,Paramètres!$A$1:$I$89,5,0)</f>
        <v>102.13840000000002</v>
      </c>
      <c r="BF40" s="14">
        <f t="shared" si="37"/>
        <v>27.470812821300004</v>
      </c>
      <c r="BG40" s="22">
        <f t="shared" si="7"/>
        <v>225.7360456637642</v>
      </c>
      <c r="BH40" s="62">
        <f t="shared" si="8"/>
        <v>519.06937899709749</v>
      </c>
      <c r="BI40" s="62">
        <f ca="1">AVERAGE(OFFSET($BH$3,0,0,'Données projet'!$E$11+1,1))-AVERAGE(OFFSET($H$3,0,0,'Données projet'!$E$11+1,1))</f>
        <v>295.83974441964551</v>
      </c>
      <c r="BJ40" s="62">
        <f t="shared" si="38"/>
        <v>212.24900914818096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3.9245575904413683</v>
      </c>
      <c r="BR40" s="23">
        <f>EXP(-LN(2)/2)*BR39+(1-EXP(-LN(2)/2))/(LN(2)/2)*BL40*BO40*VLOOKUP('Données projet'!$B$11,Paramètres!$A$1:$I$89,3,0)*0.475*44/12</f>
        <v>0.54768539664152438</v>
      </c>
      <c r="BS40" s="24">
        <f t="shared" si="9"/>
        <v>4.4722429870828924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10</v>
      </c>
      <c r="N41" s="14">
        <f>IF('Données projet'!$A$36&gt;35,N40+M41-V40,IF(A41&lt;'Données projet'!$A$36,$K$205^A41,IF(A41='Données projet'!$A$36,'Données projet'!$B$36,N40+M41-V40)))</f>
        <v>234.99999999999989</v>
      </c>
      <c r="O41" s="14">
        <f>N41*VLOOKUP('Données projet'!$B$9,Paramètres!$A$1:$I$89,3,0)*VLOOKUP('Données projet'!$B$9,Paramètres!$A$1:$I$89,5,0)</f>
        <v>109.97999999999995</v>
      </c>
      <c r="P41" s="14">
        <f t="shared" si="33"/>
        <v>29.326272366698234</v>
      </c>
      <c r="Q41" s="22">
        <f t="shared" si="53"/>
        <v>242.625091038666</v>
      </c>
      <c r="R41" s="62">
        <f t="shared" si="0"/>
        <v>535.95842437199929</v>
      </c>
      <c r="S41" s="62">
        <f ca="1">AVERAGE(OFFSET($R$3,0,0,'Données projet'!$E$9+1,1))-AVERAGE(OFFSET($H$3,0,0,'Données projet'!$E$9+1,1))</f>
        <v>193.05670375142864</v>
      </c>
      <c r="T41" s="62">
        <f t="shared" si="34"/>
        <v>259.12914184994344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14.750155390383892</v>
      </c>
      <c r="AA41" s="23">
        <f>EXP(-LN(2)/25)*AA40+(1-EXP(-LN(2)/25))/(LN(2)/25)*Calculateur!V41*Calculateur!X41*VLOOKUP('Données projet'!$B$9,Paramètres!$A$1:$I$89,3,0)*0.475*44/12</f>
        <v>4.9814932763559305</v>
      </c>
      <c r="AB41" s="23">
        <f>EXP(-LN(2)/2)*AB40+(1-EXP(-LN(2)/2))/(LN(2)/2)*V41*Y41*VLOOKUP('Données projet'!$B$9,Paramètres!$A$1:$I$89,3,0)*0.475*44/12</f>
        <v>0</v>
      </c>
      <c r="AC41" s="24">
        <f t="shared" si="3"/>
        <v>19.731648666739822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21.8</v>
      </c>
      <c r="AI41" s="14">
        <f>IF('Données projet'!$A$62&gt;35,AI40+AH41-AQ40,IF(A41&lt;'Données projet'!$A$62,$AF$205^A41,IF(A41='Données projet'!$A$62,'Données projet'!$B$62,AI40+AH41-AQ40)))</f>
        <v>563.40000000000009</v>
      </c>
      <c r="AJ41" s="14">
        <f>AI41*VLOOKUP('Données projet'!$B$10,Paramètres!$A$1:$I$89,3,0)*VLOOKUP('Données projet'!$B$10,Paramètres!$A$1:$I$89,5,0)</f>
        <v>314.94060000000007</v>
      </c>
      <c r="AK41" s="14">
        <f t="shared" si="35"/>
        <v>74.299672673282714</v>
      </c>
      <c r="AL41" s="22">
        <f t="shared" si="4"/>
        <v>677.92680823930084</v>
      </c>
      <c r="AM41" s="62">
        <f t="shared" si="5"/>
        <v>971.26014157263421</v>
      </c>
      <c r="AN41" s="62">
        <f ca="1">AVERAGE(OFFSET($AM$3,0,0,'Données projet'!$E$10+1,1))-AVERAGE(OFFSET($H$3,0,0,'Données projet'!$E$10+1,1))</f>
        <v>512.21337090113502</v>
      </c>
      <c r="AO41" s="62">
        <f t="shared" si="36"/>
        <v>621.03633124474163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5.1702440384489972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1.5488870166667899</v>
      </c>
      <c r="AX41" s="23">
        <f t="shared" si="6"/>
        <v>6.7191310551157866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12.4</v>
      </c>
      <c r="BD41" s="13">
        <f>IF('Données projet'!$A$88&gt;35,BD40+BC41-BL40,IF(A41&lt;'Données projet'!$A$88,$BA$205^A41,IF(A41='Données projet'!$A$88,'Données projet'!$B$88,BD40+BC41-BL40)))</f>
        <v>183.20000000000002</v>
      </c>
      <c r="BE41" s="14">
        <f>BD41*VLOOKUP('Données projet'!$B$11,Paramètres!$A$1:$I$89,3,0)*VLOOKUP('Données projet'!$B$11,Paramètres!$A$1:$I$89,5,0)</f>
        <v>109.55360000000002</v>
      </c>
      <c r="BF41" s="14">
        <f t="shared" si="37"/>
        <v>29.225784372214765</v>
      </c>
      <c r="BG41" s="22">
        <f t="shared" si="7"/>
        <v>241.70742778160744</v>
      </c>
      <c r="BH41" s="62">
        <f t="shared" si="8"/>
        <v>535.04076111494078</v>
      </c>
      <c r="BI41" s="62">
        <f ca="1">AVERAGE(OFFSET($BH$3,0,0,'Données projet'!$E$11+1,1))-AVERAGE(OFFSET($H$3,0,0,'Données projet'!$E$11+1,1))</f>
        <v>295.83974441964551</v>
      </c>
      <c r="BJ41" s="62">
        <f t="shared" si="38"/>
        <v>212.24900914818096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3.8172403567472353</v>
      </c>
      <c r="BR41" s="23">
        <f>EXP(-LN(2)/2)*BR40+(1-EXP(-LN(2)/2))/(LN(2)/2)*BL41*BO41*VLOOKUP('Données projet'!$B$11,Paramètres!$A$1:$I$89,3,0)*0.475*44/12</f>
        <v>0.38727205792206587</v>
      </c>
      <c r="BS41" s="24">
        <f t="shared" si="9"/>
        <v>4.2045124146693009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10</v>
      </c>
      <c r="N42" s="14">
        <f>IF('Données projet'!$A$36&gt;35,N41+M42-V41,IF(A42&lt;'Données projet'!$A$36,$K$205^A42,IF(A42='Données projet'!$A$36,'Données projet'!$B$36,N41+M42-V41)))</f>
        <v>244.99999999999989</v>
      </c>
      <c r="O42" s="14">
        <f>N42*VLOOKUP('Données projet'!$B$9,Paramètres!$A$1:$I$89,3,0)*VLOOKUP('Données projet'!$B$9,Paramètres!$A$1:$I$89,5,0)</f>
        <v>114.65999999999995</v>
      </c>
      <c r="P42" s="14">
        <f t="shared" si="33"/>
        <v>30.426251641117418</v>
      </c>
      <c r="Q42" s="22">
        <f t="shared" si="53"/>
        <v>252.69188827494608</v>
      </c>
      <c r="R42" s="62">
        <f t="shared" si="0"/>
        <v>546.02522160827937</v>
      </c>
      <c r="S42" s="62">
        <f ca="1">AVERAGE(OFFSET($R$3,0,0,'Données projet'!$E$9+1,1))-AVERAGE(OFFSET($H$3,0,0,'Données projet'!$E$9+1,1))</f>
        <v>193.05670375142864</v>
      </c>
      <c r="T42" s="62">
        <f t="shared" si="34"/>
        <v>259.12914184994344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14.460913839884901</v>
      </c>
      <c r="AA42" s="23">
        <f>EXP(-LN(2)/25)*AA41+(1-EXP(-LN(2)/25))/(LN(2)/25)*Calculateur!V42*Calculateur!X42*VLOOKUP('Données projet'!$B$9,Paramètres!$A$1:$I$89,3,0)*0.475*44/12</f>
        <v>4.8452740807486316</v>
      </c>
      <c r="AB42" s="23">
        <f>EXP(-LN(2)/2)*AB41+(1-EXP(-LN(2)/2))/(LN(2)/2)*V42*Y42*VLOOKUP('Données projet'!$B$9,Paramètres!$A$1:$I$89,3,0)*0.475*44/12</f>
        <v>0</v>
      </c>
      <c r="AC42" s="24">
        <f t="shared" si="3"/>
        <v>19.306187920633533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21.8</v>
      </c>
      <c r="AI42" s="14">
        <f>IF('Données projet'!$A$62&gt;35,AI41+AH42-AQ41,IF(A42&lt;'Données projet'!$A$62,$AF$205^A42,IF(A42='Données projet'!$A$62,'Données projet'!$B$62,AI41+AH42-AQ41)))</f>
        <v>585.20000000000005</v>
      </c>
      <c r="AJ42" s="14">
        <f>AI42*VLOOKUP('Données projet'!$B$10,Paramètres!$A$1:$I$89,3,0)*VLOOKUP('Données projet'!$B$10,Paramètres!$A$1:$I$89,5,0)</f>
        <v>327.12680000000006</v>
      </c>
      <c r="AK42" s="14">
        <f t="shared" si="35"/>
        <v>76.834316672603649</v>
      </c>
      <c r="AL42" s="22">
        <f t="shared" si="4"/>
        <v>703.56561153811811</v>
      </c>
      <c r="AM42" s="62">
        <f t="shared" si="5"/>
        <v>996.89894487145148</v>
      </c>
      <c r="AN42" s="62">
        <f ca="1">AVERAGE(OFFSET($AM$3,0,0,'Données projet'!$E$10+1,1))-AVERAGE(OFFSET($H$3,0,0,'Données projet'!$E$10+1,1))</f>
        <v>512.21337090113502</v>
      </c>
      <c r="AO42" s="62">
        <f t="shared" si="36"/>
        <v>621.03633124474163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5.0688587063924899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1.0952285127768882</v>
      </c>
      <c r="AX42" s="23">
        <f t="shared" si="6"/>
        <v>6.1640872191693781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12.4</v>
      </c>
      <c r="BD42" s="13">
        <f>IF('Données projet'!$A$88&gt;35,BD41+BC42-BL41,IF(A42&lt;'Données projet'!$A$88,$BA$205^A42,IF(A42='Données projet'!$A$88,'Données projet'!$B$88,BD41+BC42-BL41)))</f>
        <v>195.60000000000002</v>
      </c>
      <c r="BE42" s="14">
        <f>BD42*VLOOKUP('Données projet'!$B$11,Paramètres!$A$1:$I$89,3,0)*VLOOKUP('Données projet'!$B$11,Paramètres!$A$1:$I$89,5,0)</f>
        <v>116.96880000000002</v>
      </c>
      <c r="BF42" s="14">
        <f t="shared" si="37"/>
        <v>30.966972418998537</v>
      </c>
      <c r="BG42" s="22">
        <f t="shared" si="7"/>
        <v>257.6548036297558</v>
      </c>
      <c r="BH42" s="62">
        <f t="shared" si="8"/>
        <v>550.98813696308912</v>
      </c>
      <c r="BI42" s="62">
        <f ca="1">AVERAGE(OFFSET($BH$3,0,0,'Données projet'!$E$11+1,1))-AVERAGE(OFFSET($H$3,0,0,'Données projet'!$E$11+1,1))</f>
        <v>295.83974441964551</v>
      </c>
      <c r="BJ42" s="62">
        <f t="shared" si="38"/>
        <v>212.24900914818096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3.7128577184520362</v>
      </c>
      <c r="BR42" s="23">
        <f>EXP(-LN(2)/2)*BR41+(1-EXP(-LN(2)/2))/(LN(2)/2)*BL42*BO42*VLOOKUP('Données projet'!$B$11,Paramètres!$A$1:$I$89,3,0)*0.475*44/12</f>
        <v>0.27384269832076219</v>
      </c>
      <c r="BS42" s="24">
        <f t="shared" si="9"/>
        <v>3.9867004167727984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255</v>
      </c>
      <c r="L43" s="13">
        <f>VLOOKUP(A43,'Données projet'!$A$35:$I$55,9,0)</f>
        <v>10</v>
      </c>
      <c r="M43" s="13">
        <f t="array" ref="M43">INDEX(L:L,MIN(IF(ISNUMBER(L43:L239),ROW(L43:L239),"")))</f>
        <v>10</v>
      </c>
      <c r="N43" s="14">
        <f>IF('Données projet'!$A$36&gt;35,N42+M43-V42,IF(A43&lt;'Données projet'!$A$36,$K$205^A43,IF(A43='Données projet'!$A$36,'Données projet'!$B$36,N42+M43-V42)))</f>
        <v>254.99999999999989</v>
      </c>
      <c r="O43" s="14">
        <f>N43*VLOOKUP('Données projet'!$B$9,Paramètres!$A$1:$I$89,3,0)*VLOOKUP('Données projet'!$B$9,Paramètres!$A$1:$I$89,5,0)</f>
        <v>119.33999999999995</v>
      </c>
      <c r="P43" s="14">
        <f t="shared" si="33"/>
        <v>31.521015757082434</v>
      </c>
      <c r="Q43" s="22">
        <f t="shared" si="53"/>
        <v>262.74960244358516</v>
      </c>
      <c r="R43" s="62">
        <f t="shared" si="0"/>
        <v>556.08293577691848</v>
      </c>
      <c r="S43" s="62">
        <f ca="1">AVERAGE(OFFSET($R$3,0,0,'Données projet'!$E$9+1,1))-AVERAGE(OFFSET($H$3,0,0,'Données projet'!$E$9+1,1))</f>
        <v>193.05670375142864</v>
      </c>
      <c r="T43" s="62">
        <f t="shared" si="34"/>
        <v>259.12914184994344</v>
      </c>
      <c r="U43" s="16">
        <f>IF(ISNA(VLOOKUP(A43,'Données projet'!$A$35:$I$55,3,0)),0,VLOOKUP(A43,'Données projet'!$A$35:$I$55,3,0))</f>
        <v>3</v>
      </c>
      <c r="V43" s="16">
        <f>IF(ISNA(VLOOKUP(A43,'Données projet'!$A$35:$I$55,4,0)),0,VLOOKUP(A43,'Données projet'!$A$35:$I$55,4,0))</f>
        <v>70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14.17734413977127</v>
      </c>
      <c r="AA43" s="23">
        <f>EXP(-LN(2)/25)*AA42+(1-EXP(-LN(2)/25))/(LN(2)/25)*Calculateur!V43*Calculateur!X43*VLOOKUP('Données projet'!$B$9,Paramètres!$A$1:$I$89,3,0)*0.475*44/12</f>
        <v>4.7127798062086708</v>
      </c>
      <c r="AB43" s="23">
        <f>EXP(-LN(2)/2)*AB42+(1-EXP(-LN(2)/2))/(LN(2)/2)*V43*Y43*VLOOKUP('Données projet'!$B$9,Paramètres!$A$1:$I$89,3,0)*0.475*44/12</f>
        <v>0</v>
      </c>
      <c r="AC43" s="24">
        <f t="shared" si="3"/>
        <v>18.890123945979941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607</v>
      </c>
      <c r="AG43" s="13">
        <f>VLOOKUP(A43,'Données projet'!$A$61:$I$81,9,0)</f>
        <v>21.8</v>
      </c>
      <c r="AH43" s="13">
        <f t="array" ref="AH43">INDEX(AG:AG,MIN(IF(ISNUMBER(AG43:AG239),ROW(AG43:AG239),"")))</f>
        <v>21.8</v>
      </c>
      <c r="AI43" s="14">
        <f>IF('Données projet'!$A$62&gt;35,AI42+AH43-AQ42,IF(A43&lt;'Données projet'!$A$62,$AF$205^A43,IF(A43='Données projet'!$A$62,'Données projet'!$B$62,AI42+AH43-AQ42)))</f>
        <v>607</v>
      </c>
      <c r="AJ43" s="14">
        <f>AI43*VLOOKUP('Données projet'!$B$10,Paramètres!$A$1:$I$89,3,0)*VLOOKUP('Données projet'!$B$10,Paramètres!$A$1:$I$89,5,0)</f>
        <v>339.31299999999999</v>
      </c>
      <c r="AK43" s="14">
        <f t="shared" si="35"/>
        <v>79.357991167872044</v>
      </c>
      <c r="AL43" s="22">
        <f t="shared" si="4"/>
        <v>729.18530961737713</v>
      </c>
      <c r="AM43" s="62">
        <f t="shared" si="5"/>
        <v>1022.5186429507105</v>
      </c>
      <c r="AN43" s="62">
        <f ca="1">AVERAGE(OFFSET($AM$3,0,0,'Données projet'!$E$10+1,1))-AVERAGE(OFFSET($H$3,0,0,'Données projet'!$E$10+1,1))</f>
        <v>512.21337090113502</v>
      </c>
      <c r="AO43" s="62">
        <f t="shared" si="36"/>
        <v>621.03633124474163</v>
      </c>
      <c r="AP43" s="16">
        <f>IF(ISNA(VLOOKUP(A43,'Données projet'!$A$61:$I$81,3,0)),0,VLOOKUP(A43,'Données projet'!$A$61:$I$81,3,0))</f>
        <v>6</v>
      </c>
      <c r="AQ43" s="16">
        <f>IF(ISNA(VLOOKUP(A43,'Données projet'!$A$61:$I$81,4,0)),0,VLOOKUP(A43,'Données projet'!$A$61:$I$81,4,0))</f>
        <v>64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4.9694614788586646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0.77444350833339493</v>
      </c>
      <c r="AX43" s="23">
        <f t="shared" si="6"/>
        <v>5.7439049871920593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208</v>
      </c>
      <c r="BB43" s="13">
        <f>VLOOKUP(A43,'Données projet'!$A$87:$I$107,9,0)</f>
        <v>12.4</v>
      </c>
      <c r="BC43" s="13">
        <f t="array" ref="BC43">INDEX(BB:BB,MIN(IF(ISNUMBER(BB43:BB239),ROW(BB43:BB239),"")))</f>
        <v>12.4</v>
      </c>
      <c r="BD43" s="13">
        <f>IF('Données projet'!$A$88&gt;35,BD42+BC43-BL42,IF(A43&lt;'Données projet'!$A$88,$BA$205^A43,IF(A43='Données projet'!$A$88,'Données projet'!$B$88,BD42+BC43-BL42)))</f>
        <v>208.00000000000003</v>
      </c>
      <c r="BE43" s="14">
        <f>BD43*VLOOKUP('Données projet'!$B$11,Paramètres!$A$1:$I$89,3,0)*VLOOKUP('Données projet'!$B$11,Paramètres!$A$1:$I$89,5,0)</f>
        <v>124.38400000000003</v>
      </c>
      <c r="BF43" s="14">
        <f t="shared" si="37"/>
        <v>32.695350227217695</v>
      </c>
      <c r="BG43" s="22">
        <f t="shared" si="7"/>
        <v>273.57986831240419</v>
      </c>
      <c r="BH43" s="62">
        <f t="shared" si="8"/>
        <v>566.91320164573744</v>
      </c>
      <c r="BI43" s="62">
        <f ca="1">AVERAGE(OFFSET($BH$3,0,0,'Données projet'!$E$11+1,1))-AVERAGE(OFFSET($H$3,0,0,'Données projet'!$E$11+1,1))</f>
        <v>295.83974441964551</v>
      </c>
      <c r="BJ43" s="62">
        <f t="shared" si="38"/>
        <v>212.24900914818096</v>
      </c>
      <c r="BK43" s="16">
        <f>IF(ISNA(VLOOKUP(A43,'Données projet'!$A$87:$I$107,3,0)),0,VLOOKUP(A43,'Données projet'!$A$87:$I$107,3,0))</f>
        <v>4</v>
      </c>
      <c r="BL43" s="16">
        <f>IF(ISNA(VLOOKUP(A43,'Données projet'!$A$87:$I$107,4,0)),0,VLOOKUP(A43,'Données projet'!$A$87:$I$107,4,0))</f>
        <v>34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3.6113294288902638</v>
      </c>
      <c r="BR43" s="23">
        <f>EXP(-LN(2)/2)*BR42+(1-EXP(-LN(2)/2))/(LN(2)/2)*BL43*BO43*VLOOKUP('Données projet'!$B$11,Paramètres!$A$1:$I$89,3,0)*0.475*44/12</f>
        <v>0.19363602896103294</v>
      </c>
      <c r="BS43" s="24">
        <f t="shared" si="9"/>
        <v>3.8049654578512966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11.5</v>
      </c>
      <c r="N44" s="14">
        <f>IF('Données projet'!$A$36&gt;35,N43+M44-V43,IF(A44&lt;'Données projet'!$A$36,$K$205^A44,IF(A44='Données projet'!$A$36,'Données projet'!$B$36,N43+M44-V43)))</f>
        <v>196.49999999999989</v>
      </c>
      <c r="O44" s="14">
        <f>N44*VLOOKUP('Données projet'!$B$9,Paramètres!$A$1:$I$89,3,0)*VLOOKUP('Données projet'!$B$9,Paramètres!$A$1:$I$89,5,0)</f>
        <v>91.961999999999946</v>
      </c>
      <c r="P44" s="14">
        <f t="shared" si="33"/>
        <v>25.037816603121904</v>
      </c>
      <c r="Q44" s="22">
        <f t="shared" si="53"/>
        <v>203.77468058377053</v>
      </c>
      <c r="R44" s="62">
        <f t="shared" si="0"/>
        <v>497.10801391710385</v>
      </c>
      <c r="S44" s="62">
        <f ca="1">AVERAGE(OFFSET($R$3,0,0,'Données projet'!$E$9+1,1))-AVERAGE(OFFSET($H$3,0,0,'Données projet'!$E$9+1,1))</f>
        <v>193.05670375142864</v>
      </c>
      <c r="T44" s="62">
        <f t="shared" si="34"/>
        <v>259.12914184994344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13.899335068516429</v>
      </c>
      <c r="AA44" s="23">
        <f>EXP(-LN(2)/25)*AA43+(1-EXP(-LN(2)/25))/(LN(2)/25)*Calculateur!V44*Calculateur!X44*VLOOKUP('Données projet'!$B$9,Paramètres!$A$1:$I$89,3,0)*0.475*44/12</f>
        <v>4.5839085945735762</v>
      </c>
      <c r="AB44" s="23">
        <f>EXP(-LN(2)/2)*AB43+(1-EXP(-LN(2)/2))/(LN(2)/2)*V44*Y44*VLOOKUP('Données projet'!$B$9,Paramètres!$A$1:$I$89,3,0)*0.475*44/12</f>
        <v>0</v>
      </c>
      <c r="AC44" s="24">
        <f t="shared" si="3"/>
        <v>18.483243663090004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19.8</v>
      </c>
      <c r="AI44" s="14">
        <f>IF('Données projet'!$A$62&gt;35,AI43+AH44-AQ43,IF(A44&lt;'Données projet'!$A$62,$AF$205^A44,IF(A44='Données projet'!$A$62,'Données projet'!$B$62,AI43+AH44-AQ43)))</f>
        <v>562.79999999999995</v>
      </c>
      <c r="AJ44" s="14">
        <f>AI44*VLOOKUP('Données projet'!$B$10,Paramètres!$A$1:$I$89,3,0)*VLOOKUP('Données projet'!$B$10,Paramètres!$A$1:$I$89,5,0)</f>
        <v>314.60520000000002</v>
      </c>
      <c r="AK44" s="14">
        <f t="shared" si="35"/>
        <v>74.229752266996258</v>
      </c>
      <c r="AL44" s="22">
        <f t="shared" si="4"/>
        <v>677.22087519835191</v>
      </c>
      <c r="AM44" s="62">
        <f t="shared" si="5"/>
        <v>970.55420853168516</v>
      </c>
      <c r="AN44" s="62">
        <f ca="1">AVERAGE(OFFSET($AM$3,0,0,'Données projet'!$E$10+1,1))-AVERAGE(OFFSET($H$3,0,0,'Données projet'!$E$10+1,1))</f>
        <v>512.21337090113502</v>
      </c>
      <c r="AO44" s="62">
        <f t="shared" si="36"/>
        <v>621.03633124474163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4.8720133703304551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0.54761425638844408</v>
      </c>
      <c r="AX44" s="23">
        <f t="shared" si="6"/>
        <v>5.4196276267188992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14.1</v>
      </c>
      <c r="BD44" s="13">
        <f>IF('Données projet'!$A$88&gt;35,BD43+BC44-BL43,IF(A44&lt;'Données projet'!$A$88,$BA$205^A44,IF(A44='Données projet'!$A$88,'Données projet'!$B$88,BD43+BC44-BL43)))</f>
        <v>188.10000000000002</v>
      </c>
      <c r="BE44" s="14">
        <f>BD44*VLOOKUP('Données projet'!$B$11,Paramètres!$A$1:$I$89,3,0)*VLOOKUP('Données projet'!$B$11,Paramètres!$A$1:$I$89,5,0)</f>
        <v>112.48380000000002</v>
      </c>
      <c r="BF44" s="14">
        <f t="shared" si="37"/>
        <v>29.915424563902814</v>
      </c>
      <c r="BG44" s="22">
        <f t="shared" si="7"/>
        <v>248.01198278213079</v>
      </c>
      <c r="BH44" s="62">
        <f t="shared" si="8"/>
        <v>541.34531611546413</v>
      </c>
      <c r="BI44" s="62">
        <f ca="1">AVERAGE(OFFSET($BH$3,0,0,'Données projet'!$E$11+1,1))-AVERAGE(OFFSET($H$3,0,0,'Données projet'!$E$11+1,1))</f>
        <v>295.83974441964551</v>
      </c>
      <c r="BJ44" s="62">
        <f t="shared" si="38"/>
        <v>212.24900914818096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3.5125774357456985</v>
      </c>
      <c r="BR44" s="23">
        <f>EXP(-LN(2)/2)*BR43+(1-EXP(-LN(2)/2))/(LN(2)/2)*BL44*BO44*VLOOKUP('Données projet'!$B$11,Paramètres!$A$1:$I$89,3,0)*0.475*44/12</f>
        <v>0.1369213491603811</v>
      </c>
      <c r="BS44" s="24">
        <f t="shared" si="9"/>
        <v>3.6494987849060796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11.5</v>
      </c>
      <c r="N45" s="14">
        <f>IF('Données projet'!$A$36&gt;35,N44+M45-V44,IF(A45&lt;'Données projet'!$A$36,$K$205^A45,IF(A45='Données projet'!$A$36,'Données projet'!$B$36,N44+M45-V44)))</f>
        <v>207.99999999999989</v>
      </c>
      <c r="O45" s="14">
        <f>N45*VLOOKUP('Données projet'!$B$9,Paramètres!$A$1:$I$89,3,0)*VLOOKUP('Données projet'!$B$9,Paramètres!$A$1:$I$89,5,0)</f>
        <v>97.343999999999937</v>
      </c>
      <c r="P45" s="14">
        <f t="shared" si="33"/>
        <v>26.328254259866451</v>
      </c>
      <c r="Q45" s="22">
        <f t="shared" si="53"/>
        <v>215.39584283593396</v>
      </c>
      <c r="R45" s="62">
        <f t="shared" si="0"/>
        <v>508.72917616926725</v>
      </c>
      <c r="S45" s="62">
        <f ca="1">AVERAGE(OFFSET($R$3,0,0,'Données projet'!$E$9+1,1))-AVERAGE(OFFSET($H$3,0,0,'Données projet'!$E$9+1,1))</f>
        <v>193.05670375142864</v>
      </c>
      <c r="T45" s="62">
        <f t="shared" si="34"/>
        <v>259.12914184994344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13.626777585580104</v>
      </c>
      <c r="AA45" s="23">
        <f>EXP(-LN(2)/25)*AA44+(1-EXP(-LN(2)/25))/(LN(2)/25)*Calculateur!V45*Calculateur!X45*VLOOKUP('Données projet'!$B$9,Paramètres!$A$1:$I$89,3,0)*0.475*44/12</f>
        <v>4.4585613729976856</v>
      </c>
      <c r="AB45" s="23">
        <f>EXP(-LN(2)/2)*AB44+(1-EXP(-LN(2)/2))/(LN(2)/2)*V45*Y45*VLOOKUP('Données projet'!$B$9,Paramètres!$A$1:$I$89,3,0)*0.475*44/12</f>
        <v>0</v>
      </c>
      <c r="AC45" s="24">
        <f t="shared" si="3"/>
        <v>18.08533895857779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19.8</v>
      </c>
      <c r="AI45" s="14">
        <f>IF('Données projet'!$A$62&gt;35,AI44+AH45-AQ44,IF(A45&lt;'Données projet'!$A$62,$AF$205^A45,IF(A45='Données projet'!$A$62,'Données projet'!$B$62,AI44+AH45-AQ44)))</f>
        <v>582.59999999999991</v>
      </c>
      <c r="AJ45" s="14">
        <f>AI45*VLOOKUP('Données projet'!$B$10,Paramètres!$A$1:$I$89,3,0)*VLOOKUP('Données projet'!$B$10,Paramètres!$A$1:$I$89,5,0)</f>
        <v>325.67339999999996</v>
      </c>
      <c r="AK45" s="14">
        <f t="shared" si="35"/>
        <v>76.53260477134495</v>
      </c>
      <c r="AL45" s="22">
        <f t="shared" si="4"/>
        <v>700.50879164342575</v>
      </c>
      <c r="AM45" s="62">
        <f t="shared" si="5"/>
        <v>993.84212497675912</v>
      </c>
      <c r="AN45" s="62">
        <f ca="1">AVERAGE(OFFSET($AM$3,0,0,'Données projet'!$E$10+1,1))-AVERAGE(OFFSET($H$3,0,0,'Données projet'!$E$10+1,1))</f>
        <v>512.21337090113502</v>
      </c>
      <c r="AO45" s="62">
        <f t="shared" si="36"/>
        <v>621.03633124474163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4.7764761597730061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0.38722175416669746</v>
      </c>
      <c r="AX45" s="23">
        <f t="shared" si="6"/>
        <v>5.1636979139397035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14.1</v>
      </c>
      <c r="BD45" s="13">
        <f>IF('Données projet'!$A$88&gt;35,BD44+BC45-BL44,IF(A45&lt;'Données projet'!$A$88,$BA$205^A45,IF(A45='Données projet'!$A$88,'Données projet'!$B$88,BD44+BC45-BL44)))</f>
        <v>202.20000000000002</v>
      </c>
      <c r="BE45" s="14">
        <f>BD45*VLOOKUP('Données projet'!$B$11,Paramètres!$A$1:$I$89,3,0)*VLOOKUP('Données projet'!$B$11,Paramètres!$A$1:$I$89,5,0)</f>
        <v>120.91560000000003</v>
      </c>
      <c r="BF45" s="14">
        <f t="shared" si="37"/>
        <v>31.888453396738488</v>
      </c>
      <c r="BG45" s="22">
        <f t="shared" si="7"/>
        <v>266.13372633265288</v>
      </c>
      <c r="BH45" s="62">
        <f t="shared" si="8"/>
        <v>559.4670596659862</v>
      </c>
      <c r="BI45" s="62">
        <f ca="1">AVERAGE(OFFSET($BH$3,0,0,'Données projet'!$E$11+1,1))-AVERAGE(OFFSET($H$3,0,0,'Données projet'!$E$11+1,1))</f>
        <v>295.83974441964551</v>
      </c>
      <c r="BJ45" s="62">
        <f t="shared" si="38"/>
        <v>212.24900914818096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3.4165258210468132</v>
      </c>
      <c r="BR45" s="23">
        <f>EXP(-LN(2)/2)*BR44+(1-EXP(-LN(2)/2))/(LN(2)/2)*BL45*BO45*VLOOKUP('Données projet'!$B$11,Paramètres!$A$1:$I$89,3,0)*0.475*44/12</f>
        <v>9.6818014480516468E-2</v>
      </c>
      <c r="BS45" s="24">
        <f t="shared" si="9"/>
        <v>3.5133438355273299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11.5</v>
      </c>
      <c r="N46" s="14">
        <f>IF('Données projet'!$A$36&gt;35,N45+M46-V45,IF(A46&lt;'Données projet'!$A$36,$K$205^A46,IF(A46='Données projet'!$A$36,'Données projet'!$B$36,N45+M46-V45)))</f>
        <v>219.49999999999989</v>
      </c>
      <c r="O46" s="14">
        <f>N46*VLOOKUP('Données projet'!$B$9,Paramètres!$A$1:$I$89,3,0)*VLOOKUP('Données projet'!$B$9,Paramètres!$A$1:$I$89,5,0)</f>
        <v>102.72599999999994</v>
      </c>
      <c r="P46" s="14">
        <f t="shared" si="33"/>
        <v>27.610409417164195</v>
      </c>
      <c r="Q46" s="22">
        <f t="shared" si="53"/>
        <v>227.0025797348942</v>
      </c>
      <c r="R46" s="62">
        <f t="shared" si="0"/>
        <v>520.33591306822746</v>
      </c>
      <c r="S46" s="62">
        <f ca="1">AVERAGE(OFFSET($R$3,0,0,'Données projet'!$E$9+1,1))-AVERAGE(OFFSET($H$3,0,0,'Données projet'!$E$9+1,1))</f>
        <v>193.05670375142864</v>
      </c>
      <c r="T46" s="62">
        <f t="shared" si="34"/>
        <v>259.12914184994344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13.359564788640512</v>
      </c>
      <c r="AA46" s="23">
        <f>EXP(-LN(2)/25)*AA45+(1-EXP(-LN(2)/25))/(LN(2)/25)*Calculateur!V46*Calculateur!X46*VLOOKUP('Données projet'!$B$9,Paramètres!$A$1:$I$89,3,0)*0.475*44/12</f>
        <v>4.3366417777875119</v>
      </c>
      <c r="AB46" s="23">
        <f>EXP(-LN(2)/2)*AB45+(1-EXP(-LN(2)/2))/(LN(2)/2)*V46*Y46*VLOOKUP('Données projet'!$B$9,Paramètres!$A$1:$I$89,3,0)*0.475*44/12</f>
        <v>0</v>
      </c>
      <c r="AC46" s="24">
        <f t="shared" si="3"/>
        <v>17.696206566428025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19.8</v>
      </c>
      <c r="AI46" s="14">
        <f>IF('Données projet'!$A$62&gt;35,AI45+AH46-AQ45,IF(A46&lt;'Données projet'!$A$62,$AF$205^A46,IF(A46='Données projet'!$A$62,'Données projet'!$B$62,AI45+AH46-AQ45)))</f>
        <v>602.39999999999986</v>
      </c>
      <c r="AJ46" s="14">
        <f>AI46*VLOOKUP('Données projet'!$B$10,Paramètres!$A$1:$I$89,3,0)*VLOOKUP('Données projet'!$B$10,Paramètres!$A$1:$I$89,5,0)</f>
        <v>336.74159999999989</v>
      </c>
      <c r="AK46" s="14">
        <f t="shared" si="35"/>
        <v>78.826363517408936</v>
      </c>
      <c r="AL46" s="22">
        <f t="shared" si="4"/>
        <v>723.78086979282034</v>
      </c>
      <c r="AM46" s="62">
        <f t="shared" si="5"/>
        <v>1017.1142031261536</v>
      </c>
      <c r="AN46" s="62">
        <f ca="1">AVERAGE(OFFSET($AM$3,0,0,'Données projet'!$E$10+1,1))-AVERAGE(OFFSET($H$3,0,0,'Données projet'!$E$10+1,1))</f>
        <v>512.21337090113502</v>
      </c>
      <c r="AO46" s="62">
        <f t="shared" si="36"/>
        <v>621.03633124474163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4.6828123756426443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0.27380712819422204</v>
      </c>
      <c r="AX46" s="23">
        <f t="shared" si="6"/>
        <v>4.9566195038368663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14.1</v>
      </c>
      <c r="BD46" s="13">
        <f>IF('Données projet'!$A$88&gt;35,BD45+BC46-BL45,IF(A46&lt;'Données projet'!$A$88,$BA$205^A46,IF(A46='Données projet'!$A$88,'Données projet'!$B$88,BD45+BC46-BL45)))</f>
        <v>216.3</v>
      </c>
      <c r="BE46" s="14">
        <f>BD46*VLOOKUP('Données projet'!$B$11,Paramètres!$A$1:$I$89,3,0)*VLOOKUP('Données projet'!$B$11,Paramètres!$A$1:$I$89,5,0)</f>
        <v>129.34740000000002</v>
      </c>
      <c r="BF46" s="14">
        <f t="shared" si="37"/>
        <v>33.845518493267228</v>
      </c>
      <c r="BG46" s="22">
        <f t="shared" si="7"/>
        <v>284.22766637577377</v>
      </c>
      <c r="BH46" s="62">
        <f t="shared" si="8"/>
        <v>577.56099970910714</v>
      </c>
      <c r="BI46" s="62">
        <f ca="1">AVERAGE(OFFSET($BH$3,0,0,'Données projet'!$E$11+1,1))-AVERAGE(OFFSET($H$3,0,0,'Données projet'!$E$11+1,1))</f>
        <v>295.83974441964551</v>
      </c>
      <c r="BJ46" s="62">
        <f t="shared" si="38"/>
        <v>212.24900914818096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3.3231007428030037</v>
      </c>
      <c r="BR46" s="23">
        <f>EXP(-LN(2)/2)*BR45+(1-EXP(-LN(2)/2))/(LN(2)/2)*BL46*BO46*VLOOKUP('Données projet'!$B$11,Paramètres!$A$1:$I$89,3,0)*0.475*44/12</f>
        <v>6.8460674580190548E-2</v>
      </c>
      <c r="BS46" s="24">
        <f t="shared" si="9"/>
        <v>3.3915614173831941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11.5</v>
      </c>
      <c r="N47" s="14">
        <f>IF('Données projet'!$A$36&gt;35,N46+M47-V46,IF(A47&lt;'Données projet'!$A$36,$K$205^A47,IF(A47='Données projet'!$A$36,'Données projet'!$B$36,N46+M47-V46)))</f>
        <v>230.99999999999989</v>
      </c>
      <c r="O47" s="14">
        <f>N47*VLOOKUP('Données projet'!$B$9,Paramètres!$A$1:$I$89,3,0)*VLOOKUP('Données projet'!$B$9,Paramètres!$A$1:$I$89,5,0)</f>
        <v>108.10799999999995</v>
      </c>
      <c r="P47" s="14">
        <f t="shared" si="33"/>
        <v>28.884765499467136</v>
      </c>
      <c r="Q47" s="22">
        <f t="shared" si="53"/>
        <v>238.59573324490518</v>
      </c>
      <c r="R47" s="62">
        <f t="shared" si="0"/>
        <v>531.92906657823846</v>
      </c>
      <c r="S47" s="62">
        <f ca="1">AVERAGE(OFFSET($R$3,0,0,'Données projet'!$E$9+1,1))-AVERAGE(OFFSET($H$3,0,0,'Données projet'!$E$9+1,1))</f>
        <v>193.05670375142864</v>
      </c>
      <c r="T47" s="62">
        <f t="shared" si="34"/>
        <v>259.12914184994344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13.097591871665191</v>
      </c>
      <c r="AA47" s="23">
        <f>EXP(-LN(2)/25)*AA46+(1-EXP(-LN(2)/25))/(LN(2)/25)*Calculateur!V47*Calculateur!X47*VLOOKUP('Données projet'!$B$9,Paramètres!$A$1:$I$89,3,0)*0.475*44/12</f>
        <v>4.2180560803198333</v>
      </c>
      <c r="AB47" s="23">
        <f>EXP(-LN(2)/2)*AB46+(1-EXP(-LN(2)/2))/(LN(2)/2)*V47*Y47*VLOOKUP('Données projet'!$B$9,Paramètres!$A$1:$I$89,3,0)*0.475*44/12</f>
        <v>0</v>
      </c>
      <c r="AC47" s="24">
        <f t="shared" si="3"/>
        <v>17.315647951985024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19.8</v>
      </c>
      <c r="AI47" s="14">
        <f>IF('Données projet'!$A$62&gt;35,AI46+AH47-AQ46,IF(A47&lt;'Données projet'!$A$62,$AF$205^A47,IF(A47='Données projet'!$A$62,'Données projet'!$B$62,AI46+AH47-AQ46)))</f>
        <v>622.19999999999982</v>
      </c>
      <c r="AJ47" s="14">
        <f>AI47*VLOOKUP('Données projet'!$B$10,Paramètres!$A$1:$I$89,3,0)*VLOOKUP('Données projet'!$B$10,Paramètres!$A$1:$I$89,5,0)</f>
        <v>347.80979999999994</v>
      </c>
      <c r="AK47" s="14">
        <f t="shared" si="35"/>
        <v>81.111361679698661</v>
      </c>
      <c r="AL47" s="22">
        <f t="shared" si="4"/>
        <v>747.03768992547487</v>
      </c>
      <c r="AM47" s="62">
        <f t="shared" si="5"/>
        <v>1040.3710232588082</v>
      </c>
      <c r="AN47" s="62">
        <f ca="1">AVERAGE(OFFSET($AM$3,0,0,'Données projet'!$E$10+1,1))-AVERAGE(OFFSET($H$3,0,0,'Données projet'!$E$10+1,1))</f>
        <v>512.21337090113502</v>
      </c>
      <c r="AO47" s="62">
        <f t="shared" si="36"/>
        <v>621.03633124474163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4.5909852811898118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0.19361087708334873</v>
      </c>
      <c r="AX47" s="23">
        <f t="shared" si="6"/>
        <v>4.7845961582731604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14.1</v>
      </c>
      <c r="BD47" s="13">
        <f>IF('Données projet'!$A$88&gt;35,BD46+BC47-BL46,IF(A47&lt;'Données projet'!$A$88,$BA$205^A47,IF(A47='Données projet'!$A$88,'Données projet'!$B$88,BD46+BC47-BL46)))</f>
        <v>230.4</v>
      </c>
      <c r="BE47" s="14">
        <f>BD47*VLOOKUP('Données projet'!$B$11,Paramètres!$A$1:$I$89,3,0)*VLOOKUP('Données projet'!$B$11,Paramètres!$A$1:$I$89,5,0)</f>
        <v>137.7792</v>
      </c>
      <c r="BF47" s="14">
        <f t="shared" si="37"/>
        <v>35.787778913287674</v>
      </c>
      <c r="BG47" s="22">
        <f t="shared" si="7"/>
        <v>302.29582160730934</v>
      </c>
      <c r="BH47" s="62">
        <f t="shared" si="8"/>
        <v>595.62915494064259</v>
      </c>
      <c r="BI47" s="62">
        <f ca="1">AVERAGE(OFFSET($BH$3,0,0,'Données projet'!$E$11+1,1))-AVERAGE(OFFSET($H$3,0,0,'Données projet'!$E$11+1,1))</f>
        <v>295.83974441964551</v>
      </c>
      <c r="BJ47" s="62">
        <f t="shared" si="38"/>
        <v>212.24900914818096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3.2322303782367827</v>
      </c>
      <c r="BR47" s="23">
        <f>EXP(-LN(2)/2)*BR46+(1-EXP(-LN(2)/2))/(LN(2)/2)*BL47*BO47*VLOOKUP('Données projet'!$B$11,Paramètres!$A$1:$I$89,3,0)*0.475*44/12</f>
        <v>4.8409007240258234E-2</v>
      </c>
      <c r="BS47" s="24">
        <f t="shared" si="9"/>
        <v>3.2806393854770408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11.5</v>
      </c>
      <c r="N48" s="14">
        <f>IF('Données projet'!$A$36&gt;35,N47+M48-V47,IF(A48&lt;'Données projet'!$A$36,$K$205^A48,IF(A48='Données projet'!$A$36,'Données projet'!$B$36,N47+M48-V47)))</f>
        <v>242.49999999999989</v>
      </c>
      <c r="O48" s="14">
        <f>N48*VLOOKUP('Données projet'!$B$9,Paramètres!$A$1:$I$89,3,0)*VLOOKUP('Données projet'!$B$9,Paramètres!$A$1:$I$89,5,0)</f>
        <v>113.48999999999994</v>
      </c>
      <c r="P48" s="14">
        <f t="shared" si="33"/>
        <v>30.151755078981495</v>
      </c>
      <c r="Q48" s="22">
        <f t="shared" si="53"/>
        <v>250.17605676255928</v>
      </c>
      <c r="R48" s="62">
        <f t="shared" si="0"/>
        <v>543.50939009589263</v>
      </c>
      <c r="S48" s="62">
        <f ca="1">AVERAGE(OFFSET($R$3,0,0,'Données projet'!$E$9+1,1))-AVERAGE(OFFSET($H$3,0,0,'Données projet'!$E$9+1,1))</f>
        <v>193.05670375142864</v>
      </c>
      <c r="T48" s="62">
        <f t="shared" si="34"/>
        <v>259.12914184994344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12.840756083804056</v>
      </c>
      <c r="AA48" s="23">
        <f>EXP(-LN(2)/25)*AA47+(1-EXP(-LN(2)/25))/(LN(2)/25)*Calculateur!V48*Calculateur!X48*VLOOKUP('Données projet'!$B$9,Paramètres!$A$1:$I$89,3,0)*0.475*44/12</f>
        <v>4.1027131149855585</v>
      </c>
      <c r="AB48" s="23">
        <f>EXP(-LN(2)/2)*AB47+(1-EXP(-LN(2)/2))/(LN(2)/2)*V48*Y48*VLOOKUP('Données projet'!$B$9,Paramètres!$A$1:$I$89,3,0)*0.475*44/12</f>
        <v>0</v>
      </c>
      <c r="AC48" s="24">
        <f t="shared" si="3"/>
        <v>16.943469198789614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642</v>
      </c>
      <c r="AG48" s="13">
        <f>VLOOKUP(A48,'Données projet'!$A$61:$I$81,9,0)</f>
        <v>19.8</v>
      </c>
      <c r="AH48" s="13">
        <f t="array" ref="AH48">INDEX(AG:AG,MIN(IF(ISNUMBER(AG48:AG244),ROW(AG48:AG244),"")))</f>
        <v>19.8</v>
      </c>
      <c r="AI48" s="14">
        <f>IF('Données projet'!$A$62&gt;35,AI47+AH48-AQ47,IF(A48&lt;'Données projet'!$A$62,$AF$205^A48,IF(A48='Données projet'!$A$62,'Données projet'!$B$62,AI47+AH48-AQ47)))</f>
        <v>641.99999999999977</v>
      </c>
      <c r="AJ48" s="14">
        <f>AI48*VLOOKUP('Données projet'!$B$10,Paramètres!$A$1:$I$89,3,0)*VLOOKUP('Données projet'!$B$10,Paramètres!$A$1:$I$89,5,0)</f>
        <v>358.87799999999987</v>
      </c>
      <c r="AK48" s="14">
        <f t="shared" si="35"/>
        <v>83.3879100236867</v>
      </c>
      <c r="AL48" s="22">
        <f t="shared" si="4"/>
        <v>770.27979329125412</v>
      </c>
      <c r="AM48" s="62">
        <f t="shared" si="5"/>
        <v>1063.6131266245875</v>
      </c>
      <c r="AN48" s="62">
        <f ca="1">AVERAGE(OFFSET($AM$3,0,0,'Données projet'!$E$10+1,1))-AVERAGE(OFFSET($H$3,0,0,'Données projet'!$E$10+1,1))</f>
        <v>512.21337090113502</v>
      </c>
      <c r="AO48" s="62">
        <f t="shared" si="36"/>
        <v>621.03633124474163</v>
      </c>
      <c r="AP48" s="16">
        <f>IF(ISNA(VLOOKUP(A48,'Données projet'!$A$61:$I$81,3,0)),0,VLOOKUP(A48,'Données projet'!$A$61:$I$81,3,0))</f>
        <v>7</v>
      </c>
      <c r="AQ48" s="16">
        <f>IF(ISNA(VLOOKUP(A48,'Données projet'!$A$61:$I$81,4,0)),0,VLOOKUP(A48,'Données projet'!$A$61:$I$81,4,0))</f>
        <v>70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4.5009588600502015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0.13690356409711102</v>
      </c>
      <c r="AX48" s="23">
        <f t="shared" si="6"/>
        <v>4.637862424147313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14.1</v>
      </c>
      <c r="BD48" s="13">
        <f>IF('Données projet'!$A$88&gt;35,BD47+BC48-BL47,IF(A48&lt;'Données projet'!$A$88,$BA$205^A48,IF(A48='Données projet'!$A$88,'Données projet'!$B$88,BD47+BC48-BL47)))</f>
        <v>244.5</v>
      </c>
      <c r="BE48" s="14">
        <f>BD48*VLOOKUP('Données projet'!$B$11,Paramètres!$A$1:$I$89,3,0)*VLOOKUP('Données projet'!$B$11,Paramètres!$A$1:$I$89,5,0)</f>
        <v>146.21100000000001</v>
      </c>
      <c r="BF48" s="14">
        <f t="shared" si="37"/>
        <v>37.71624383608448</v>
      </c>
      <c r="BG48" s="22">
        <f t="shared" si="7"/>
        <v>320.33994968118049</v>
      </c>
      <c r="BH48" s="62">
        <f t="shared" si="8"/>
        <v>613.6732830145138</v>
      </c>
      <c r="BI48" s="62">
        <f ca="1">AVERAGE(OFFSET($BH$3,0,0,'Données projet'!$E$11+1,1))-AVERAGE(OFFSET($H$3,0,0,'Données projet'!$E$11+1,1))</f>
        <v>295.83974441964551</v>
      </c>
      <c r="BJ48" s="62">
        <f t="shared" si="38"/>
        <v>212.24900914818096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3.1438448685682898</v>
      </c>
      <c r="BR48" s="23">
        <f>EXP(-LN(2)/2)*BR47+(1-EXP(-LN(2)/2))/(LN(2)/2)*BL48*BO48*VLOOKUP('Données projet'!$B$11,Paramètres!$A$1:$I$89,3,0)*0.475*44/12</f>
        <v>3.4230337290095274E-2</v>
      </c>
      <c r="BS48" s="24">
        <f t="shared" si="9"/>
        <v>3.1780752058583852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11.5</v>
      </c>
      <c r="N49" s="14">
        <f>IF('Données projet'!$A$36&gt;35,N48+M49-V48,IF(A49&lt;'Données projet'!$A$36,$K$205^A49,IF(A49='Données projet'!$A$36,'Données projet'!$B$36,N48+M49-V48)))</f>
        <v>253.99999999999989</v>
      </c>
      <c r="O49" s="14">
        <f>N49*VLOOKUP('Données projet'!$B$9,Paramètres!$A$1:$I$89,3,0)*VLOOKUP('Données projet'!$B$9,Paramètres!$A$1:$I$89,5,0)</f>
        <v>118.87199999999994</v>
      </c>
      <c r="P49" s="14">
        <f t="shared" si="33"/>
        <v>31.411767382096219</v>
      </c>
      <c r="Q49" s="22">
        <f t="shared" si="53"/>
        <v>261.74422819048414</v>
      </c>
      <c r="R49" s="62">
        <f t="shared" si="0"/>
        <v>555.07756152381739</v>
      </c>
      <c r="S49" s="62">
        <f ca="1">AVERAGE(OFFSET($R$3,0,0,'Données projet'!$E$9+1,1))-AVERAGE(OFFSET($H$3,0,0,'Données projet'!$E$9+1,1))</f>
        <v>193.05670375142864</v>
      </c>
      <c r="T49" s="62">
        <f t="shared" si="34"/>
        <v>259.12914184994344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12.588956689088516</v>
      </c>
      <c r="AA49" s="23">
        <f>EXP(-LN(2)/25)*AA48+(1-EXP(-LN(2)/25))/(LN(2)/25)*Calculateur!V49*Calculateur!X49*VLOOKUP('Données projet'!$B$9,Paramètres!$A$1:$I$89,3,0)*0.475*44/12</f>
        <v>3.9905242091039725</v>
      </c>
      <c r="AB49" s="23">
        <f>EXP(-LN(2)/2)*AB48+(1-EXP(-LN(2)/2))/(LN(2)/2)*V49*Y49*VLOOKUP('Données projet'!$B$9,Paramètres!$A$1:$I$89,3,0)*0.475*44/12</f>
        <v>0</v>
      </c>
      <c r="AC49" s="24">
        <f t="shared" si="3"/>
        <v>16.579480898192489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18.2</v>
      </c>
      <c r="AI49" s="14">
        <f>IF('Données projet'!$A$62&gt;35,AI48+AH49-AQ48,IF(A49&lt;'Données projet'!$A$62,$AF$205^A49,IF(A49='Données projet'!$A$62,'Données projet'!$B$62,AI48+AH49-AQ48)))</f>
        <v>590.19999999999982</v>
      </c>
      <c r="AJ49" s="14">
        <f>AI49*VLOOKUP('Données projet'!$B$10,Paramètres!$A$1:$I$89,3,0)*VLOOKUP('Données projet'!$B$10,Paramètres!$A$1:$I$89,5,0)</f>
        <v>329.92179999999991</v>
      </c>
      <c r="AK49" s="14">
        <f t="shared" si="35"/>
        <v>77.414094093053606</v>
      </c>
      <c r="AL49" s="22">
        <f t="shared" si="4"/>
        <v>709.44334887873481</v>
      </c>
      <c r="AM49" s="62">
        <f t="shared" si="5"/>
        <v>1002.7766822120682</v>
      </c>
      <c r="AN49" s="62">
        <f ca="1">AVERAGE(OFFSET($AM$3,0,0,'Données projet'!$E$10+1,1))-AVERAGE(OFFSET($H$3,0,0,'Données projet'!$E$10+1,1))</f>
        <v>512.21337090113502</v>
      </c>
      <c r="AO49" s="62">
        <f t="shared" si="36"/>
        <v>621.03633124474163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4.4126978021184442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9.6805438541674366E-2</v>
      </c>
      <c r="AX49" s="23">
        <f t="shared" si="6"/>
        <v>4.509503240660119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14.1</v>
      </c>
      <c r="BD49" s="13">
        <f>IF('Données projet'!$A$88&gt;35,BD48+BC49-BL48,IF(A49&lt;'Données projet'!$A$88,$BA$205^A49,IF(A49='Données projet'!$A$88,'Données projet'!$B$88,BD48+BC49-BL48)))</f>
        <v>258.60000000000002</v>
      </c>
      <c r="BE49" s="14">
        <f>BD49*VLOOKUP('Données projet'!$B$11,Paramètres!$A$1:$I$89,3,0)*VLOOKUP('Données projet'!$B$11,Paramètres!$A$1:$I$89,5,0)</f>
        <v>154.64280000000002</v>
      </c>
      <c r="BF49" s="14">
        <f t="shared" si="37"/>
        <v>39.631799470164985</v>
      </c>
      <c r="BG49" s="22">
        <f t="shared" si="7"/>
        <v>338.36159407720407</v>
      </c>
      <c r="BH49" s="62">
        <f t="shared" si="8"/>
        <v>631.69492741053739</v>
      </c>
      <c r="BI49" s="62">
        <f ca="1">AVERAGE(OFFSET($BH$3,0,0,'Données projet'!$E$11+1,1))-AVERAGE(OFFSET($H$3,0,0,'Données projet'!$E$11+1,1))</f>
        <v>295.83974441964551</v>
      </c>
      <c r="BJ49" s="62">
        <f t="shared" si="38"/>
        <v>212.24900914818096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3.0578762653096736</v>
      </c>
      <c r="BR49" s="23">
        <f>EXP(-LN(2)/2)*BR48+(1-EXP(-LN(2)/2))/(LN(2)/2)*BL49*BO49*VLOOKUP('Données projet'!$B$11,Paramètres!$A$1:$I$89,3,0)*0.475*44/12</f>
        <v>2.4204503620129117E-2</v>
      </c>
      <c r="BS49" s="24">
        <f t="shared" si="9"/>
        <v>3.0820807689298029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11.5</v>
      </c>
      <c r="N50" s="14">
        <f>IF('Données projet'!$A$36&gt;35,N49+M50-V49,IF(A50&lt;'Données projet'!$A$36,$K$205^A50,IF(A50='Données projet'!$A$36,'Données projet'!$B$36,N49+M50-V49)))</f>
        <v>265.49999999999989</v>
      </c>
      <c r="O50" s="14">
        <f>N50*VLOOKUP('Données projet'!$B$9,Paramètres!$A$1:$I$89,3,0)*VLOOKUP('Données projet'!$B$9,Paramètres!$A$1:$I$89,5,0)</f>
        <v>124.25399999999995</v>
      </c>
      <c r="P50" s="14">
        <f t="shared" si="33"/>
        <v>32.665154397958723</v>
      </c>
      <c r="Q50" s="22">
        <f t="shared" si="53"/>
        <v>273.30086057644468</v>
      </c>
      <c r="R50" s="62">
        <f t="shared" si="0"/>
        <v>566.63419390977799</v>
      </c>
      <c r="S50" s="62">
        <f ca="1">AVERAGE(OFFSET($R$3,0,0,'Données projet'!$E$9+1,1))-AVERAGE(OFFSET($H$3,0,0,'Données projet'!$E$9+1,1))</f>
        <v>193.05670375142864</v>
      </c>
      <c r="T50" s="62">
        <f t="shared" si="34"/>
        <v>259.12914184994344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12.342094926920881</v>
      </c>
      <c r="AA50" s="23">
        <f>EXP(-LN(2)/25)*AA49+(1-EXP(-LN(2)/25))/(LN(2)/25)*Calculateur!V50*Calculateur!X50*VLOOKUP('Données projet'!$B$9,Paramètres!$A$1:$I$89,3,0)*0.475*44/12</f>
        <v>3.8814031147534767</v>
      </c>
      <c r="AB50" s="23">
        <f>EXP(-LN(2)/2)*AB49+(1-EXP(-LN(2)/2))/(LN(2)/2)*V50*Y50*VLOOKUP('Données projet'!$B$9,Paramètres!$A$1:$I$89,3,0)*0.475*44/12</f>
        <v>0</v>
      </c>
      <c r="AC50" s="24">
        <f t="shared" si="3"/>
        <v>16.223498041674357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18.2</v>
      </c>
      <c r="AI50" s="14">
        <f>IF('Données projet'!$A$62&gt;35,AI49+AH50-AQ49,IF(A50&lt;'Données projet'!$A$62,$AF$205^A50,IF(A50='Données projet'!$A$62,'Données projet'!$B$62,AI49+AH50-AQ49)))</f>
        <v>608.39999999999986</v>
      </c>
      <c r="AJ50" s="14">
        <f>AI50*VLOOKUP('Données projet'!$B$10,Paramètres!$A$1:$I$89,3,0)*VLOOKUP('Données projet'!$B$10,Paramètres!$A$1:$I$89,5,0)</f>
        <v>340.09559999999988</v>
      </c>
      <c r="AK50" s="14">
        <f t="shared" si="35"/>
        <v>79.519697663882184</v>
      </c>
      <c r="AL50" s="22">
        <f t="shared" si="4"/>
        <v>730.82997676459456</v>
      </c>
      <c r="AM50" s="62">
        <f t="shared" si="5"/>
        <v>1024.1633100979279</v>
      </c>
      <c r="AN50" s="62">
        <f ca="1">AVERAGE(OFFSET($AM$3,0,0,'Données projet'!$E$10+1,1))-AVERAGE(OFFSET($H$3,0,0,'Données projet'!$E$10+1,1))</f>
        <v>512.21337090113502</v>
      </c>
      <c r="AO50" s="62">
        <f t="shared" si="36"/>
        <v>621.03633124474163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4.3261674896987996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6.845178204855551E-2</v>
      </c>
      <c r="AX50" s="23">
        <f t="shared" si="6"/>
        <v>4.3946192717473549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14.1</v>
      </c>
      <c r="BD50" s="13">
        <f>IF('Données projet'!$A$88&gt;35,BD49+BC50-BL49,IF(A50&lt;'Données projet'!$A$88,$BA$205^A50,IF(A50='Données projet'!$A$88,'Données projet'!$B$88,BD49+BC50-BL49)))</f>
        <v>272.70000000000005</v>
      </c>
      <c r="BE50" s="14">
        <f>BD50*VLOOKUP('Données projet'!$B$11,Paramètres!$A$1:$I$89,3,0)*VLOOKUP('Données projet'!$B$11,Paramètres!$A$1:$I$89,5,0)</f>
        <v>163.07460000000003</v>
      </c>
      <c r="BF50" s="14">
        <f t="shared" si="37"/>
        <v>41.535229926099966</v>
      </c>
      <c r="BG50" s="22">
        <f t="shared" si="7"/>
        <v>356.36212045462412</v>
      </c>
      <c r="BH50" s="62">
        <f t="shared" si="8"/>
        <v>649.69545378795738</v>
      </c>
      <c r="BI50" s="62">
        <f ca="1">AVERAGE(OFFSET($BH$3,0,0,'Données projet'!$E$11+1,1))-AVERAGE(OFFSET($H$3,0,0,'Données projet'!$E$11+1,1))</f>
        <v>295.83974441964551</v>
      </c>
      <c r="BJ50" s="62">
        <f t="shared" si="38"/>
        <v>212.24900914818096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2.9742584780280565</v>
      </c>
      <c r="BR50" s="23">
        <f>EXP(-LN(2)/2)*BR49+(1-EXP(-LN(2)/2))/(LN(2)/2)*BL50*BO50*VLOOKUP('Données projet'!$B$11,Paramètres!$A$1:$I$89,3,0)*0.475*44/12</f>
        <v>1.7115168645047637E-2</v>
      </c>
      <c r="BS50" s="24">
        <f t="shared" si="9"/>
        <v>2.9913736466731042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11.5</v>
      </c>
      <c r="N51" s="14">
        <f>IF('Données projet'!$A$36&gt;35,N50+M51-V50,IF(A51&lt;'Données projet'!$A$36,$K$205^A51,IF(A51='Données projet'!$A$36,'Données projet'!$B$36,N50+M51-V50)))</f>
        <v>276.99999999999989</v>
      </c>
      <c r="O51" s="14">
        <f>N51*VLOOKUP('Données projet'!$B$9,Paramètres!$A$1:$I$89,3,0)*VLOOKUP('Données projet'!$B$9,Paramètres!$A$1:$I$89,5,0)</f>
        <v>129.63599999999994</v>
      </c>
      <c r="P51" s="14">
        <f t="shared" si="33"/>
        <v>33.912235898830978</v>
      </c>
      <c r="Q51" s="22">
        <f t="shared" si="53"/>
        <v>284.84651085713051</v>
      </c>
      <c r="R51" s="62">
        <f t="shared" si="0"/>
        <v>578.17984419046388</v>
      </c>
      <c r="S51" s="62">
        <f ca="1">AVERAGE(OFFSET($R$3,0,0,'Données projet'!$E$9+1,1))-AVERAGE(OFFSET($H$3,0,0,'Données projet'!$E$9+1,1))</f>
        <v>193.05670375142864</v>
      </c>
      <c r="T51" s="62">
        <f t="shared" si="34"/>
        <v>259.12914184994344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12.100073973338546</v>
      </c>
      <c r="AA51" s="23">
        <f>EXP(-LN(2)/25)*AA50+(1-EXP(-LN(2)/25))/(LN(2)/25)*Calculateur!V51*Calculateur!X51*VLOOKUP('Données projet'!$B$9,Paramètres!$A$1:$I$89,3,0)*0.475*44/12</f>
        <v>3.7752659424664241</v>
      </c>
      <c r="AB51" s="23">
        <f>EXP(-LN(2)/2)*AB50+(1-EXP(-LN(2)/2))/(LN(2)/2)*V51*Y51*VLOOKUP('Données projet'!$B$9,Paramètres!$A$1:$I$89,3,0)*0.475*44/12</f>
        <v>0</v>
      </c>
      <c r="AC51" s="24">
        <f t="shared" si="3"/>
        <v>15.87533991580497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18.2</v>
      </c>
      <c r="AI51" s="14">
        <f>IF('Données projet'!$A$62&gt;35,AI50+AH51-AQ50,IF(A51&lt;'Données projet'!$A$62,$AF$205^A51,IF(A51='Données projet'!$A$62,'Données projet'!$B$62,AI50+AH51-AQ50)))</f>
        <v>626.59999999999991</v>
      </c>
      <c r="AJ51" s="14">
        <f>AI51*VLOOKUP('Données projet'!$B$10,Paramètres!$A$1:$I$89,3,0)*VLOOKUP('Données projet'!$B$10,Paramètres!$A$1:$I$89,5,0)</f>
        <v>350.26939999999991</v>
      </c>
      <c r="AK51" s="14">
        <f t="shared" si="35"/>
        <v>81.617981011612585</v>
      </c>
      <c r="AL51" s="22">
        <f t="shared" si="4"/>
        <v>752.20385526189159</v>
      </c>
      <c r="AM51" s="62">
        <f t="shared" si="5"/>
        <v>1045.537188595225</v>
      </c>
      <c r="AN51" s="62">
        <f ca="1">AVERAGE(OFFSET($AM$3,0,0,'Données projet'!$E$10+1,1))-AVERAGE(OFFSET($H$3,0,0,'Données projet'!$E$10+1,1))</f>
        <v>512.21337090113502</v>
      </c>
      <c r="AO51" s="62">
        <f t="shared" si="36"/>
        <v>621.03633124474163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4.2413339839274249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4.8402719270837183E-2</v>
      </c>
      <c r="AX51" s="23">
        <f t="shared" si="6"/>
        <v>4.2897367031982618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14.1</v>
      </c>
      <c r="BD51" s="13">
        <f>IF('Données projet'!$A$88&gt;35,BD50+BC51-BL50,IF(A51&lt;'Données projet'!$A$88,$BA$205^A51,IF(A51='Données projet'!$A$88,'Données projet'!$B$88,BD50+BC51-BL50)))</f>
        <v>286.80000000000007</v>
      </c>
      <c r="BE51" s="14">
        <f>BD51*VLOOKUP('Données projet'!$B$11,Paramètres!$A$1:$I$89,3,0)*VLOOKUP('Données projet'!$B$11,Paramètres!$A$1:$I$89,5,0)</f>
        <v>171.50640000000004</v>
      </c>
      <c r="BF51" s="14">
        <f t="shared" si="37"/>
        <v>43.427233649451665</v>
      </c>
      <c r="BG51" s="22">
        <f t="shared" si="7"/>
        <v>374.34274527279507</v>
      </c>
      <c r="BH51" s="62">
        <f t="shared" si="8"/>
        <v>667.67607860612839</v>
      </c>
      <c r="BI51" s="62">
        <f ca="1">AVERAGE(OFFSET($BH$3,0,0,'Données projet'!$E$11+1,1))-AVERAGE(OFFSET($H$3,0,0,'Données projet'!$E$11+1,1))</f>
        <v>295.83974441964551</v>
      </c>
      <c r="BJ51" s="62">
        <f t="shared" si="38"/>
        <v>212.24900914818096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2.8929272235369239</v>
      </c>
      <c r="BR51" s="23">
        <f>EXP(-LN(2)/2)*BR50+(1-EXP(-LN(2)/2))/(LN(2)/2)*BL51*BO51*VLOOKUP('Données projet'!$B$11,Paramètres!$A$1:$I$89,3,0)*0.475*44/12</f>
        <v>1.2102251810064558E-2</v>
      </c>
      <c r="BS51" s="24">
        <f t="shared" si="9"/>
        <v>2.9050294753469883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11.5</v>
      </c>
      <c r="N52" s="14">
        <f>IF('Données projet'!$A$36&gt;35,N51+M52-V51,IF(A52&lt;'Données projet'!$A$36,$K$205^A52,IF(A52='Données projet'!$A$36,'Données projet'!$B$36,N51+M52-V51)))</f>
        <v>288.49999999999989</v>
      </c>
      <c r="O52" s="14">
        <f>N52*VLOOKUP('Données projet'!$B$9,Paramètres!$A$1:$I$89,3,0)*VLOOKUP('Données projet'!$B$9,Paramètres!$A$1:$I$89,5,0)</f>
        <v>135.01799999999994</v>
      </c>
      <c r="P52" s="14">
        <f t="shared" si="33"/>
        <v>35.153303603250578</v>
      </c>
      <c r="Q52" s="22">
        <f t="shared" si="53"/>
        <v>296.38168710899464</v>
      </c>
      <c r="R52" s="62">
        <f t="shared" si="0"/>
        <v>589.71502044232795</v>
      </c>
      <c r="S52" s="62">
        <f ca="1">AVERAGE(OFFSET($R$3,0,0,'Données projet'!$E$9+1,1))-AVERAGE(OFFSET($H$3,0,0,'Données projet'!$E$9+1,1))</f>
        <v>193.05670375142864</v>
      </c>
      <c r="T52" s="62">
        <f t="shared" si="34"/>
        <v>259.12914184994344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11.862798903037755</v>
      </c>
      <c r="AA52" s="23">
        <f>EXP(-LN(2)/25)*AA51+(1-EXP(-LN(2)/25))/(LN(2)/25)*Calculateur!V52*Calculateur!X52*VLOOKUP('Données projet'!$B$9,Paramètres!$A$1:$I$89,3,0)*0.475*44/12</f>
        <v>3.6720310967370722</v>
      </c>
      <c r="AB52" s="23">
        <f>EXP(-LN(2)/2)*AB51+(1-EXP(-LN(2)/2))/(LN(2)/2)*V52*Y52*VLOOKUP('Données projet'!$B$9,Paramètres!$A$1:$I$89,3,0)*0.475*44/12</f>
        <v>0</v>
      </c>
      <c r="AC52" s="24">
        <f t="shared" si="3"/>
        <v>15.534829999774827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18.2</v>
      </c>
      <c r="AI52" s="14">
        <f>IF('Données projet'!$A$62&gt;35,AI51+AH52-AQ51,IF(A52&lt;'Données projet'!$A$62,$AF$205^A52,IF(A52='Données projet'!$A$62,'Données projet'!$B$62,AI51+AH52-AQ51)))</f>
        <v>644.79999999999995</v>
      </c>
      <c r="AJ52" s="14">
        <f>AI52*VLOOKUP('Données projet'!$B$10,Paramètres!$A$1:$I$89,3,0)*VLOOKUP('Données projet'!$B$10,Paramètres!$A$1:$I$89,5,0)</f>
        <v>360.44319999999993</v>
      </c>
      <c r="AK52" s="14">
        <f t="shared" si="35"/>
        <v>83.709181172614507</v>
      </c>
      <c r="AL52" s="22">
        <f t="shared" si="4"/>
        <v>773.56539720897001</v>
      </c>
      <c r="AM52" s="62">
        <f t="shared" si="5"/>
        <v>1066.8987305423034</v>
      </c>
      <c r="AN52" s="62">
        <f ca="1">AVERAGE(OFFSET($AM$3,0,0,'Données projet'!$E$10+1,1))-AVERAGE(OFFSET($H$3,0,0,'Données projet'!$E$10+1,1))</f>
        <v>512.21337090113502</v>
      </c>
      <c r="AO52" s="62">
        <f t="shared" si="36"/>
        <v>621.03633124474163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4.1581640114608973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3.4225891024277755E-2</v>
      </c>
      <c r="AX52" s="23">
        <f t="shared" si="6"/>
        <v>4.192389902485175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14.1</v>
      </c>
      <c r="BD52" s="13">
        <f>IF('Données projet'!$A$88&gt;35,BD51+BC52-BL51,IF(A52&lt;'Données projet'!$A$88,$BA$205^A52,IF(A52='Données projet'!$A$88,'Données projet'!$B$88,BD51+BC52-BL51)))</f>
        <v>300.90000000000009</v>
      </c>
      <c r="BE52" s="14">
        <f>BD52*VLOOKUP('Données projet'!$B$11,Paramètres!$A$1:$I$89,3,0)*VLOOKUP('Données projet'!$B$11,Paramètres!$A$1:$I$89,5,0)</f>
        <v>179.93820000000005</v>
      </c>
      <c r="BF52" s="14">
        <f t="shared" si="37"/>
        <v>45.308436530386629</v>
      </c>
      <c r="BG52" s="22">
        <f t="shared" si="7"/>
        <v>392.30455862375675</v>
      </c>
      <c r="BH52" s="62">
        <f t="shared" si="8"/>
        <v>685.63789195709001</v>
      </c>
      <c r="BI52" s="62">
        <f ca="1">AVERAGE(OFFSET($BH$3,0,0,'Données projet'!$E$11+1,1))-AVERAGE(OFFSET($H$3,0,0,'Données projet'!$E$11+1,1))</f>
        <v>295.83974441964551</v>
      </c>
      <c r="BJ52" s="62">
        <f t="shared" si="38"/>
        <v>212.24900914818096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2.8138199764768759</v>
      </c>
      <c r="BR52" s="23">
        <f>EXP(-LN(2)/2)*BR51+(1-EXP(-LN(2)/2))/(LN(2)/2)*BL52*BO52*VLOOKUP('Données projet'!$B$11,Paramètres!$A$1:$I$89,3,0)*0.475*44/12</f>
        <v>8.5575843225238184E-3</v>
      </c>
      <c r="BS52" s="24">
        <f t="shared" si="9"/>
        <v>2.8223775607993997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300</v>
      </c>
      <c r="L53" s="13">
        <f>VLOOKUP(A53,'Données projet'!$A$35:$I$55,9,0)</f>
        <v>11.5</v>
      </c>
      <c r="M53" s="13">
        <f t="array" ref="M53">INDEX(L:L,MIN(IF(ISNUMBER(L53:L249),ROW(L53:L249),"")))</f>
        <v>11.5</v>
      </c>
      <c r="N53" s="14">
        <f>IF('Données projet'!$A$36&gt;35,N52+M53-V52,IF(A53&lt;'Données projet'!$A$36,$K$205^A53,IF(A53='Données projet'!$A$36,'Données projet'!$B$36,N52+M53-V52)))</f>
        <v>299.99999999999989</v>
      </c>
      <c r="O53" s="14">
        <f>N53*VLOOKUP('Données projet'!$B$9,Paramètres!$A$1:$I$89,3,0)*VLOOKUP('Données projet'!$B$9,Paramètres!$A$1:$I$89,5,0)</f>
        <v>140.39999999999995</v>
      </c>
      <c r="P53" s="14">
        <f t="shared" si="33"/>
        <v>36.388624656711166</v>
      </c>
      <c r="Q53" s="22">
        <f t="shared" si="53"/>
        <v>307.90685461043853</v>
      </c>
      <c r="R53" s="62">
        <f t="shared" si="0"/>
        <v>601.24018794377184</v>
      </c>
      <c r="S53" s="62">
        <f ca="1">AVERAGE(OFFSET($R$3,0,0,'Données projet'!$E$9+1,1))-AVERAGE(OFFSET($H$3,0,0,'Données projet'!$E$9+1,1))</f>
        <v>193.05670375142864</v>
      </c>
      <c r="T53" s="62">
        <f t="shared" si="34"/>
        <v>259.12914184994344</v>
      </c>
      <c r="U53" s="16">
        <f>IF(ISNA(VLOOKUP(A53,'Données projet'!$A$35:$I$55,3,0)),0,VLOOKUP(A53,'Données projet'!$A$35:$I$55,3,0))</f>
        <v>4</v>
      </c>
      <c r="V53" s="16">
        <f>IF(ISNA(VLOOKUP(A53,'Données projet'!$A$35:$I$55,4,0)),0,VLOOKUP(A53,'Données projet'!$A$35:$I$55,4,0))</f>
        <v>100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11.63017665214206</v>
      </c>
      <c r="AA53" s="23">
        <f>EXP(-LN(2)/25)*AA52+(1-EXP(-LN(2)/25))/(LN(2)/25)*Calculateur!V53*Calculateur!X53*VLOOKUP('Données projet'!$B$9,Paramètres!$A$1:$I$89,3,0)*0.475*44/12</f>
        <v>3.571619213293074</v>
      </c>
      <c r="AB53" s="23">
        <f>EXP(-LN(2)/2)*AB52+(1-EXP(-LN(2)/2))/(LN(2)/2)*V53*Y53*VLOOKUP('Données projet'!$B$9,Paramètres!$A$1:$I$89,3,0)*0.475*44/12</f>
        <v>0</v>
      </c>
      <c r="AC53" s="24">
        <f t="shared" si="3"/>
        <v>15.201795865435134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663</v>
      </c>
      <c r="AG53" s="13">
        <f>VLOOKUP(A53,'Données projet'!$A$61:$I$81,9,0)</f>
        <v>18.2</v>
      </c>
      <c r="AH53" s="13">
        <f t="array" ref="AH53">INDEX(AG:AG,MIN(IF(ISNUMBER(AG53:AG249),ROW(AG53:AG249),"")))</f>
        <v>18.2</v>
      </c>
      <c r="AI53" s="14">
        <f>IF('Données projet'!$A$62&gt;35,AI52+AH53-AQ52,IF(A53&lt;'Données projet'!$A$62,$AF$205^A53,IF(A53='Données projet'!$A$62,'Données projet'!$B$62,AI52+AH53-AQ52)))</f>
        <v>663</v>
      </c>
      <c r="AJ53" s="14">
        <f>AI53*VLOOKUP('Données projet'!$B$10,Paramètres!$A$1:$I$89,3,0)*VLOOKUP('Données projet'!$B$10,Paramètres!$A$1:$I$89,5,0)</f>
        <v>370.61699999999996</v>
      </c>
      <c r="AK53" s="14">
        <f t="shared" si="35"/>
        <v>85.793521040948463</v>
      </c>
      <c r="AL53" s="22">
        <f t="shared" si="4"/>
        <v>794.91499081298514</v>
      </c>
      <c r="AM53" s="62">
        <f t="shared" si="5"/>
        <v>1088.2483241463185</v>
      </c>
      <c r="AN53" s="62">
        <f ca="1">AVERAGE(OFFSET($AM$3,0,0,'Données projet'!$E$10+1,1))-AVERAGE(OFFSET($H$3,0,0,'Données projet'!$E$10+1,1))</f>
        <v>512.21337090113502</v>
      </c>
      <c r="AO53" s="62">
        <f t="shared" si="36"/>
        <v>621.03633124474163</v>
      </c>
      <c r="AP53" s="16">
        <f>IF(ISNA(VLOOKUP(A53,'Données projet'!$A$61:$I$81,3,0)),0,VLOOKUP(A53,'Données projet'!$A$61:$I$81,3,0))</f>
        <v>8</v>
      </c>
      <c r="AQ53" s="16">
        <f>IF(ISNA(VLOOKUP(A53,'Données projet'!$A$61:$I$81,4,0)),0,VLOOKUP(A53,'Données projet'!$A$61:$I$81,4,0))</f>
        <v>73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4.0766249514257646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2.4201359635418591E-2</v>
      </c>
      <c r="AX53" s="23">
        <f t="shared" si="6"/>
        <v>4.1008263110611836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315</v>
      </c>
      <c r="BB53" s="13">
        <f>VLOOKUP(A53,'Données projet'!$A$87:$I$107,9,0)</f>
        <v>14.1</v>
      </c>
      <c r="BC53" s="13">
        <f t="array" ref="BC53">INDEX(BB:BB,MIN(IF(ISNUMBER(BB53:BB249),ROW(BB53:BB249),"")))</f>
        <v>14.1</v>
      </c>
      <c r="BD53" s="13">
        <f>IF('Données projet'!$A$88&gt;35,BD52+BC53-BL52,IF(A53&lt;'Données projet'!$A$88,$BA$205^A53,IF(A53='Données projet'!$A$88,'Données projet'!$B$88,BD52+BC53-BL52)))</f>
        <v>315.00000000000011</v>
      </c>
      <c r="BE53" s="14">
        <f>BD53*VLOOKUP('Données projet'!$B$11,Paramètres!$A$1:$I$89,3,0)*VLOOKUP('Données projet'!$B$11,Paramètres!$A$1:$I$89,5,0)</f>
        <v>188.37000000000009</v>
      </c>
      <c r="BF53" s="14">
        <f t="shared" si="37"/>
        <v>47.179402486491341</v>
      </c>
      <c r="BG53" s="22">
        <f t="shared" si="7"/>
        <v>410.24854266397256</v>
      </c>
      <c r="BH53" s="62">
        <f t="shared" si="8"/>
        <v>703.58187599730581</v>
      </c>
      <c r="BI53" s="62">
        <f ca="1">AVERAGE(OFFSET($BH$3,0,0,'Données projet'!$E$11+1,1))-AVERAGE(OFFSET($H$3,0,0,'Données projet'!$E$11+1,1))</f>
        <v>295.83974441964551</v>
      </c>
      <c r="BJ53" s="62">
        <f t="shared" si="38"/>
        <v>212.24900914818096</v>
      </c>
      <c r="BK53" s="16">
        <f>IF(ISNA(VLOOKUP(A53,'Données projet'!$A$87:$I$107,3,0)),0,VLOOKUP(A53,'Données projet'!$A$87:$I$107,3,0))</f>
        <v>5</v>
      </c>
      <c r="BL53" s="16">
        <f>IF(ISNA(VLOOKUP(A53,'Données projet'!$A$87:$I$107,4,0)),0,VLOOKUP(A53,'Données projet'!$A$87:$I$107,4,0))</f>
        <v>79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2.736875921247754</v>
      </c>
      <c r="BR53" s="23">
        <f>EXP(-LN(2)/2)*BR52+(1-EXP(-LN(2)/2))/(LN(2)/2)*BL53*BO53*VLOOKUP('Données projet'!$B$11,Paramètres!$A$1:$I$89,3,0)*0.475*44/12</f>
        <v>6.0511259050322792E-3</v>
      </c>
      <c r="BS53" s="24">
        <f t="shared" si="9"/>
        <v>2.7429270471527865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13.5</v>
      </c>
      <c r="N54" s="14">
        <f>IF('Données projet'!$A$36&gt;35,N53+M54-V53,IF(A54&lt;'Données projet'!$A$36,$K$205^A54,IF(A54='Données projet'!$A$36,'Données projet'!$B$36,N53+M54-V53)))</f>
        <v>213.49999999999989</v>
      </c>
      <c r="O54" s="14">
        <f>N54*VLOOKUP('Données projet'!$B$9,Paramètres!$A$1:$I$89,3,0)*VLOOKUP('Données projet'!$B$9,Paramètres!$A$1:$I$89,5,0)</f>
        <v>99.91799999999995</v>
      </c>
      <c r="P54" s="14">
        <f t="shared" si="33"/>
        <v>26.942461246512746</v>
      </c>
      <c r="Q54" s="22">
        <f t="shared" si="53"/>
        <v>220.94863667100961</v>
      </c>
      <c r="R54" s="62">
        <f t="shared" si="0"/>
        <v>514.28197000434295</v>
      </c>
      <c r="S54" s="62">
        <f ca="1">AVERAGE(OFFSET($R$3,0,0,'Données projet'!$E$9+1,1))-AVERAGE(OFFSET($H$3,0,0,'Données projet'!$E$9+1,1))</f>
        <v>193.05670375142864</v>
      </c>
      <c r="T54" s="62">
        <f t="shared" si="34"/>
        <v>259.12914184994344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11.402115981700867</v>
      </c>
      <c r="AA54" s="23">
        <f>EXP(-LN(2)/25)*AA53+(1-EXP(-LN(2)/25))/(LN(2)/25)*Calculateur!V54*Calculateur!X54*VLOOKUP('Données projet'!$B$9,Paramètres!$A$1:$I$89,3,0)*0.475*44/12</f>
        <v>3.4739530980822835</v>
      </c>
      <c r="AB54" s="23">
        <f>EXP(-LN(2)/2)*AB53+(1-EXP(-LN(2)/2))/(LN(2)/2)*V54*Y54*VLOOKUP('Données projet'!$B$9,Paramètres!$A$1:$I$89,3,0)*0.475*44/12</f>
        <v>0</v>
      </c>
      <c r="AC54" s="24">
        <f t="shared" si="3"/>
        <v>14.87606907978315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17</v>
      </c>
      <c r="AI54" s="14">
        <f>IF('Données projet'!$A$62&gt;35,AI53+AH54-AQ53,IF(A54&lt;'Données projet'!$A$62,$AF$205^A54,IF(A54='Données projet'!$A$62,'Données projet'!$B$62,AI53+AH54-AQ53)))</f>
        <v>607</v>
      </c>
      <c r="AJ54" s="14">
        <f>AI54*VLOOKUP('Données projet'!$B$10,Paramètres!$A$1:$I$89,3,0)*VLOOKUP('Données projet'!$B$10,Paramètres!$A$1:$I$89,5,0)</f>
        <v>339.31299999999999</v>
      </c>
      <c r="AK54" s="14">
        <f t="shared" si="35"/>
        <v>79.357991167872044</v>
      </c>
      <c r="AL54" s="22">
        <f t="shared" si="4"/>
        <v>729.18530961737713</v>
      </c>
      <c r="AM54" s="62">
        <f t="shared" si="5"/>
        <v>1022.5186429507105</v>
      </c>
      <c r="AN54" s="62">
        <f ca="1">AVERAGE(OFFSET($AM$3,0,0,'Données projet'!$E$10+1,1))-AVERAGE(OFFSET($H$3,0,0,'Données projet'!$E$10+1,1))</f>
        <v>512.21337090113502</v>
      </c>
      <c r="AO54" s="62">
        <f t="shared" si="36"/>
        <v>621.03633124474163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3.9966848226240046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1.7112945512138877E-2</v>
      </c>
      <c r="AX54" s="23">
        <f t="shared" si="6"/>
        <v>4.0137977681361434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15.7</v>
      </c>
      <c r="BD54" s="13">
        <f>IF('Données projet'!$A$88&gt;35,BD53+BC54-BL53,IF(A54&lt;'Données projet'!$A$88,$BA$205^A54,IF(A54='Données projet'!$A$88,'Données projet'!$B$88,BD53+BC54-BL53)))</f>
        <v>251.7000000000001</v>
      </c>
      <c r="BE54" s="14">
        <f>BD54*VLOOKUP('Données projet'!$B$11,Paramètres!$A$1:$I$89,3,0)*VLOOKUP('Données projet'!$B$11,Paramètres!$A$1:$I$89,5,0)</f>
        <v>150.51660000000007</v>
      </c>
      <c r="BF54" s="14">
        <f t="shared" si="37"/>
        <v>38.695961323116059</v>
      </c>
      <c r="BG54" s="22">
        <f t="shared" si="7"/>
        <v>329.54521097109392</v>
      </c>
      <c r="BH54" s="62">
        <f t="shared" si="8"/>
        <v>622.87854430442724</v>
      </c>
      <c r="BI54" s="62">
        <f ca="1">AVERAGE(OFFSET($BH$3,0,0,'Données projet'!$E$11+1,1))-AVERAGE(OFFSET($H$3,0,0,'Données projet'!$E$11+1,1))</f>
        <v>295.83974441964551</v>
      </c>
      <c r="BJ54" s="62">
        <f t="shared" si="38"/>
        <v>212.24900914818096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2.6620359052551845</v>
      </c>
      <c r="BR54" s="23">
        <f>EXP(-LN(2)/2)*BR53+(1-EXP(-LN(2)/2))/(LN(2)/2)*BL54*BO54*VLOOKUP('Données projet'!$B$11,Paramètres!$A$1:$I$89,3,0)*0.475*44/12</f>
        <v>4.2787921612619092E-3</v>
      </c>
      <c r="BS54" s="24">
        <f t="shared" si="9"/>
        <v>2.6663146974164462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13.5</v>
      </c>
      <c r="N55" s="14">
        <f>IF('Données projet'!$A$36&gt;35,N54+M55-V54,IF(A55&lt;'Données projet'!$A$36,$K$205^A55,IF(A55='Données projet'!$A$36,'Données projet'!$B$36,N54+M55-V54)))</f>
        <v>226.99999999999989</v>
      </c>
      <c r="O55" s="14">
        <f>N55*VLOOKUP('Données projet'!$B$9,Paramètres!$A$1:$I$89,3,0)*VLOOKUP('Données projet'!$B$9,Paramètres!$A$1:$I$89,5,0)</f>
        <v>106.23599999999995</v>
      </c>
      <c r="P55" s="14">
        <f t="shared" si="33"/>
        <v>28.442367793282852</v>
      </c>
      <c r="Q55" s="22">
        <f t="shared" si="53"/>
        <v>234.56482390663419</v>
      </c>
      <c r="R55" s="62">
        <f t="shared" si="0"/>
        <v>527.89815723996753</v>
      </c>
      <c r="S55" s="62">
        <f ca="1">AVERAGE(OFFSET($R$3,0,0,'Données projet'!$E$9+1,1))-AVERAGE(OFFSET($H$3,0,0,'Données projet'!$E$9+1,1))</f>
        <v>193.05670375142864</v>
      </c>
      <c r="T55" s="62">
        <f t="shared" si="34"/>
        <v>259.12914184994344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11.178527441903752</v>
      </c>
      <c r="AA55" s="23">
        <f>EXP(-LN(2)/25)*AA54+(1-EXP(-LN(2)/25))/(LN(2)/25)*Calculateur!V55*Calculateur!X55*VLOOKUP('Données projet'!$B$9,Paramètres!$A$1:$I$89,3,0)*0.475*44/12</f>
        <v>3.37895766792797</v>
      </c>
      <c r="AB55" s="23">
        <f>EXP(-LN(2)/2)*AB54+(1-EXP(-LN(2)/2))/(LN(2)/2)*V55*Y55*VLOOKUP('Données projet'!$B$9,Paramètres!$A$1:$I$89,3,0)*0.475*44/12</f>
        <v>0</v>
      </c>
      <c r="AC55" s="24">
        <f t="shared" si="3"/>
        <v>14.557485109831722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17</v>
      </c>
      <c r="AI55" s="14">
        <f>IF('Données projet'!$A$62&gt;35,AI54+AH55-AQ54,IF(A55&lt;'Données projet'!$A$62,$AF$205^A55,IF(A55='Données projet'!$A$62,'Données projet'!$B$62,AI54+AH55-AQ54)))</f>
        <v>624</v>
      </c>
      <c r="AJ55" s="14">
        <f>AI55*VLOOKUP('Données projet'!$B$10,Paramètres!$A$1:$I$89,3,0)*VLOOKUP('Données projet'!$B$10,Paramètres!$A$1:$I$89,5,0)</f>
        <v>348.81600000000003</v>
      </c>
      <c r="AK55" s="14">
        <f t="shared" si="35"/>
        <v>81.318665281585453</v>
      </c>
      <c r="AL55" s="22">
        <f t="shared" si="4"/>
        <v>749.15120869876137</v>
      </c>
      <c r="AM55" s="62">
        <f t="shared" si="5"/>
        <v>1042.4845420320946</v>
      </c>
      <c r="AN55" s="62">
        <f ca="1">AVERAGE(OFFSET($AM$3,0,0,'Données projet'!$E$10+1,1))-AVERAGE(OFFSET($H$3,0,0,'Données projet'!$E$10+1,1))</f>
        <v>512.21337090113502</v>
      </c>
      <c r="AO55" s="62">
        <f t="shared" si="36"/>
        <v>621.03633124474163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3.9183122709893832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1.2100679817709296E-2</v>
      </c>
      <c r="AX55" s="23">
        <f t="shared" si="6"/>
        <v>3.9304129508070926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15.7</v>
      </c>
      <c r="BD55" s="13">
        <f>IF('Données projet'!$A$88&gt;35,BD54+BC55-BL54,IF(A55&lt;'Données projet'!$A$88,$BA$205^A55,IF(A55='Données projet'!$A$88,'Données projet'!$B$88,BD54+BC55-BL54)))</f>
        <v>267.40000000000009</v>
      </c>
      <c r="BE55" s="14">
        <f>BD55*VLOOKUP('Données projet'!$B$11,Paramètres!$A$1:$I$89,3,0)*VLOOKUP('Données projet'!$B$11,Paramètres!$A$1:$I$89,5,0)</f>
        <v>159.90520000000006</v>
      </c>
      <c r="BF55" s="14">
        <f t="shared" si="37"/>
        <v>40.821132264574658</v>
      </c>
      <c r="BG55" s="22">
        <f t="shared" si="7"/>
        <v>349.59836202746766</v>
      </c>
      <c r="BH55" s="62">
        <f t="shared" si="8"/>
        <v>642.93169536080097</v>
      </c>
      <c r="BI55" s="62">
        <f ca="1">AVERAGE(OFFSET($BH$3,0,0,'Données projet'!$E$11+1,1))-AVERAGE(OFFSET($H$3,0,0,'Données projet'!$E$11+1,1))</f>
        <v>295.83974441964551</v>
      </c>
      <c r="BJ55" s="62">
        <f t="shared" si="38"/>
        <v>212.24900914818096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2.5892423934355975</v>
      </c>
      <c r="BR55" s="23">
        <f>EXP(-LN(2)/2)*BR54+(1-EXP(-LN(2)/2))/(LN(2)/2)*BL55*BO55*VLOOKUP('Données projet'!$B$11,Paramètres!$A$1:$I$89,3,0)*0.475*44/12</f>
        <v>3.0255629525161396E-3</v>
      </c>
      <c r="BS55" s="24">
        <f t="shared" si="9"/>
        <v>2.5922679563881137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13.5</v>
      </c>
      <c r="N56" s="14">
        <f>IF('Données projet'!$A$36&gt;35,N55+M56-V55,IF(A56&lt;'Données projet'!$A$36,$K$205^A56,IF(A56='Données projet'!$A$36,'Données projet'!$B$36,N55+M56-V55)))</f>
        <v>240.49999999999989</v>
      </c>
      <c r="O56" s="14">
        <f>N56*VLOOKUP('Données projet'!$B$9,Paramètres!$A$1:$I$89,3,0)*VLOOKUP('Données projet'!$B$9,Paramètres!$A$1:$I$89,5,0)</f>
        <v>112.55399999999995</v>
      </c>
      <c r="P56" s="14">
        <f t="shared" si="33"/>
        <v>29.931920700323165</v>
      </c>
      <c r="Q56" s="22">
        <f t="shared" si="53"/>
        <v>248.16297855306274</v>
      </c>
      <c r="R56" s="62">
        <f t="shared" si="0"/>
        <v>541.49631188639603</v>
      </c>
      <c r="S56" s="62">
        <f ca="1">AVERAGE(OFFSET($R$3,0,0,'Données projet'!$E$9+1,1))-AVERAGE(OFFSET($H$3,0,0,'Données projet'!$E$9+1,1))</f>
        <v>193.05670375142864</v>
      </c>
      <c r="T56" s="62">
        <f t="shared" si="34"/>
        <v>259.12914184994344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10.959323336996514</v>
      </c>
      <c r="AA56" s="23">
        <f>EXP(-LN(2)/25)*AA55+(1-EXP(-LN(2)/25))/(LN(2)/25)*Calculateur!V56*Calculateur!X56*VLOOKUP('Données projet'!$B$9,Paramètres!$A$1:$I$89,3,0)*0.475*44/12</f>
        <v>3.2865598928068187</v>
      </c>
      <c r="AB56" s="23">
        <f>EXP(-LN(2)/2)*AB55+(1-EXP(-LN(2)/2))/(LN(2)/2)*V56*Y56*VLOOKUP('Données projet'!$B$9,Paramètres!$A$1:$I$89,3,0)*0.475*44/12</f>
        <v>0</v>
      </c>
      <c r="AC56" s="24">
        <f t="shared" si="3"/>
        <v>14.245883229803333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17</v>
      </c>
      <c r="AI56" s="14">
        <f>IF('Données projet'!$A$62&gt;35,AI55+AH56-AQ55,IF(A56&lt;'Données projet'!$A$62,$AF$205^A56,IF(A56='Données projet'!$A$62,'Données projet'!$B$62,AI55+AH56-AQ55)))</f>
        <v>641</v>
      </c>
      <c r="AJ56" s="14">
        <f>AI56*VLOOKUP('Données projet'!$B$10,Paramètres!$A$1:$I$89,3,0)*VLOOKUP('Données projet'!$B$10,Paramètres!$A$1:$I$89,5,0)</f>
        <v>358.31900000000002</v>
      </c>
      <c r="AK56" s="14">
        <f t="shared" si="35"/>
        <v>83.273130832542009</v>
      </c>
      <c r="AL56" s="22">
        <f t="shared" si="4"/>
        <v>769.10629453334388</v>
      </c>
      <c r="AM56" s="62">
        <f t="shared" si="5"/>
        <v>1062.4396278666773</v>
      </c>
      <c r="AN56" s="62">
        <f ca="1">AVERAGE(OFFSET($AM$3,0,0,'Données projet'!$E$10+1,1))-AVERAGE(OFFSET($H$3,0,0,'Données projet'!$E$10+1,1))</f>
        <v>512.21337090113502</v>
      </c>
      <c r="AO56" s="62">
        <f t="shared" si="36"/>
        <v>621.03633124474163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3.8414765572897802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8.5564727560694387E-3</v>
      </c>
      <c r="AX56" s="23">
        <f t="shared" si="6"/>
        <v>3.8500330300458496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15.7</v>
      </c>
      <c r="BD56" s="13">
        <f>IF('Données projet'!$A$88&gt;35,BD55+BC56-BL55,IF(A56&lt;'Données projet'!$A$88,$BA$205^A56,IF(A56='Données projet'!$A$88,'Données projet'!$B$88,BD55+BC56-BL55)))</f>
        <v>283.10000000000008</v>
      </c>
      <c r="BE56" s="14">
        <f>BD56*VLOOKUP('Données projet'!$B$11,Paramètres!$A$1:$I$89,3,0)*VLOOKUP('Données projet'!$B$11,Paramètres!$A$1:$I$89,5,0)</f>
        <v>169.29380000000009</v>
      </c>
      <c r="BF56" s="14">
        <f t="shared" si="37"/>
        <v>42.931819978697277</v>
      </c>
      <c r="BG56" s="22">
        <f t="shared" si="7"/>
        <v>369.6262881295645</v>
      </c>
      <c r="BH56" s="62">
        <f t="shared" si="8"/>
        <v>662.95962146289776</v>
      </c>
      <c r="BI56" s="62">
        <f ca="1">AVERAGE(OFFSET($BH$3,0,0,'Données projet'!$E$11+1,1))-AVERAGE(OFFSET($H$3,0,0,'Données projet'!$E$11+1,1))</f>
        <v>295.83974441964551</v>
      </c>
      <c r="BJ56" s="62">
        <f t="shared" si="38"/>
        <v>212.24900914818096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2.5184394240247614</v>
      </c>
      <c r="BR56" s="23">
        <f>EXP(-LN(2)/2)*BR55+(1-EXP(-LN(2)/2))/(LN(2)/2)*BL56*BO56*VLOOKUP('Données projet'!$B$11,Paramètres!$A$1:$I$89,3,0)*0.475*44/12</f>
        <v>2.1393960806309546E-3</v>
      </c>
      <c r="BS56" s="24">
        <f t="shared" si="9"/>
        <v>2.5205788201053925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13.5</v>
      </c>
      <c r="N57" s="14">
        <f>IF('Données projet'!$A$36&gt;35,N56+M57-V56,IF(A57&lt;'Données projet'!$A$36,$K$205^A57,IF(A57='Données projet'!$A$36,'Données projet'!$B$36,N56+M57-V56)))</f>
        <v>253.99999999999989</v>
      </c>
      <c r="O57" s="14">
        <f>N57*VLOOKUP('Données projet'!$B$9,Paramètres!$A$1:$I$89,3,0)*VLOOKUP('Données projet'!$B$9,Paramètres!$A$1:$I$89,5,0)</f>
        <v>118.87199999999994</v>
      </c>
      <c r="P57" s="14">
        <f t="shared" si="33"/>
        <v>31.411767382096219</v>
      </c>
      <c r="Q57" s="22">
        <f t="shared" si="53"/>
        <v>261.74422819048414</v>
      </c>
      <c r="R57" s="62">
        <f t="shared" si="0"/>
        <v>555.07756152381739</v>
      </c>
      <c r="S57" s="62">
        <f ca="1">AVERAGE(OFFSET($R$3,0,0,'Données projet'!$E$9+1,1))-AVERAGE(OFFSET($H$3,0,0,'Données projet'!$E$9+1,1))</f>
        <v>193.05670375142864</v>
      </c>
      <c r="T57" s="62">
        <f t="shared" si="34"/>
        <v>259.12914184994344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10.744417690885205</v>
      </c>
      <c r="AA57" s="23">
        <f>EXP(-LN(2)/25)*AA56+(1-EXP(-LN(2)/25))/(LN(2)/25)*Calculateur!V57*Calculateur!X57*VLOOKUP('Données projet'!$B$9,Paramètres!$A$1:$I$89,3,0)*0.475*44/12</f>
        <v>3.1966887397053432</v>
      </c>
      <c r="AB57" s="23">
        <f>EXP(-LN(2)/2)*AB56+(1-EXP(-LN(2)/2))/(LN(2)/2)*V57*Y57*VLOOKUP('Données projet'!$B$9,Paramètres!$A$1:$I$89,3,0)*0.475*44/12</f>
        <v>0</v>
      </c>
      <c r="AC57" s="24">
        <f t="shared" si="3"/>
        <v>13.941106430590548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17</v>
      </c>
      <c r="AI57" s="14">
        <f>IF('Données projet'!$A$62&gt;35,AI56+AH57-AQ56,IF(A57&lt;'Données projet'!$A$62,$AF$205^A57,IF(A57='Données projet'!$A$62,'Données projet'!$B$62,AI56+AH57-AQ56)))</f>
        <v>658</v>
      </c>
      <c r="AJ57" s="14">
        <f>AI57*VLOOKUP('Données projet'!$B$10,Paramètres!$A$1:$I$89,3,0)*VLOOKUP('Données projet'!$B$10,Paramètres!$A$1:$I$89,5,0)</f>
        <v>367.822</v>
      </c>
      <c r="AK57" s="14">
        <f t="shared" si="35"/>
        <v>85.221571404689442</v>
      </c>
      <c r="AL57" s="22">
        <f t="shared" si="4"/>
        <v>789.05088686316742</v>
      </c>
      <c r="AM57" s="62">
        <f t="shared" si="5"/>
        <v>1082.3842201965008</v>
      </c>
      <c r="AN57" s="62">
        <f ca="1">AVERAGE(OFFSET($AM$3,0,0,'Données projet'!$E$10+1,1))-AVERAGE(OFFSET($H$3,0,0,'Données projet'!$E$10+1,1))</f>
        <v>512.21337090113502</v>
      </c>
      <c r="AO57" s="62">
        <f t="shared" si="36"/>
        <v>621.03633124474163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3.7661475450706687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6.0503399088546479E-3</v>
      </c>
      <c r="AX57" s="23">
        <f t="shared" si="6"/>
        <v>3.7721978849795232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15.7</v>
      </c>
      <c r="BD57" s="13">
        <f>IF('Données projet'!$A$88&gt;35,BD56+BC57-BL56,IF(A57&lt;'Données projet'!$A$88,$BA$205^A57,IF(A57='Données projet'!$A$88,'Données projet'!$B$88,BD56+BC57-BL56)))</f>
        <v>298.80000000000007</v>
      </c>
      <c r="BE57" s="14">
        <f>BD57*VLOOKUP('Données projet'!$B$11,Paramètres!$A$1:$I$89,3,0)*VLOOKUP('Données projet'!$B$11,Paramètres!$A$1:$I$89,5,0)</f>
        <v>178.68240000000006</v>
      </c>
      <c r="BF57" s="14">
        <f t="shared" si="37"/>
        <v>45.028919214980071</v>
      </c>
      <c r="BG57" s="22">
        <f t="shared" si="7"/>
        <v>389.63054763275704</v>
      </c>
      <c r="BH57" s="62">
        <f t="shared" si="8"/>
        <v>682.9638809660903</v>
      </c>
      <c r="BI57" s="62">
        <f ca="1">AVERAGE(OFFSET($BH$3,0,0,'Données projet'!$E$11+1,1))-AVERAGE(OFFSET($H$3,0,0,'Données projet'!$E$11+1,1))</f>
        <v>295.83974441964551</v>
      </c>
      <c r="BJ57" s="62">
        <f t="shared" si="38"/>
        <v>212.24900914818096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2.4495725655358309</v>
      </c>
      <c r="BR57" s="23">
        <f>EXP(-LN(2)/2)*BR56+(1-EXP(-LN(2)/2))/(LN(2)/2)*BL57*BO57*VLOOKUP('Données projet'!$B$11,Paramètres!$A$1:$I$89,3,0)*0.475*44/12</f>
        <v>1.5127814762580698E-3</v>
      </c>
      <c r="BS57" s="24">
        <f t="shared" si="9"/>
        <v>2.4510853470120888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13.5</v>
      </c>
      <c r="N58" s="14">
        <f>IF('Données projet'!$A$36&gt;35,N57+M58-V57,IF(A58&lt;'Données projet'!$A$36,$K$205^A58,IF(A58='Données projet'!$A$36,'Données projet'!$B$36,N57+M58-V57)))</f>
        <v>267.49999999999989</v>
      </c>
      <c r="O58" s="14">
        <f>N58*VLOOKUP('Données projet'!$B$9,Paramètres!$A$1:$I$89,3,0)*VLOOKUP('Données projet'!$B$9,Paramètres!$A$1:$I$89,5,0)</f>
        <v>125.18999999999994</v>
      </c>
      <c r="P58" s="14">
        <f t="shared" si="33"/>
        <v>32.882482546564304</v>
      </c>
      <c r="Q58" s="22">
        <f t="shared" si="53"/>
        <v>275.30957376859936</v>
      </c>
      <c r="R58" s="62">
        <f t="shared" si="0"/>
        <v>568.64290710193268</v>
      </c>
      <c r="S58" s="62">
        <f ca="1">AVERAGE(OFFSET($R$3,0,0,'Données projet'!$E$9+1,1))-AVERAGE(OFFSET($H$3,0,0,'Données projet'!$E$9+1,1))</f>
        <v>193.05670375142864</v>
      </c>
      <c r="T58" s="62">
        <f t="shared" si="34"/>
        <v>259.12914184994344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10.533726213414639</v>
      </c>
      <c r="AA58" s="23">
        <f>EXP(-LN(2)/25)*AA57+(1-EXP(-LN(2)/25))/(LN(2)/25)*Calculateur!V58*Calculateur!X58*VLOOKUP('Données projet'!$B$9,Paramètres!$A$1:$I$89,3,0)*0.475*44/12</f>
        <v>3.1092751180115457</v>
      </c>
      <c r="AB58" s="23">
        <f>EXP(-LN(2)/2)*AB57+(1-EXP(-LN(2)/2))/(LN(2)/2)*V58*Y58*VLOOKUP('Données projet'!$B$9,Paramètres!$A$1:$I$89,3,0)*0.475*44/12</f>
        <v>0</v>
      </c>
      <c r="AC58" s="24">
        <f t="shared" si="3"/>
        <v>13.643001331426184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675</v>
      </c>
      <c r="AG58" s="13">
        <f>VLOOKUP(A58,'Données projet'!$A$61:$I$81,9,0)</f>
        <v>17</v>
      </c>
      <c r="AH58" s="13">
        <f t="array" ref="AH58">INDEX(AG:AG,MIN(IF(ISNUMBER(AG58:AG254),ROW(AG58:AG254),"")))</f>
        <v>17</v>
      </c>
      <c r="AI58" s="14">
        <f>IF('Données projet'!$A$62&gt;35,AI57+AH58-AQ57,IF(A58&lt;'Données projet'!$A$62,$AF$205^A58,IF(A58='Données projet'!$A$62,'Données projet'!$B$62,AI57+AH58-AQ57)))</f>
        <v>675</v>
      </c>
      <c r="AJ58" s="14">
        <f>AI58*VLOOKUP('Données projet'!$B$10,Paramètres!$A$1:$I$89,3,0)*VLOOKUP('Données projet'!$B$10,Paramètres!$A$1:$I$89,5,0)</f>
        <v>377.32499999999999</v>
      </c>
      <c r="AK58" s="14">
        <f t="shared" si="35"/>
        <v>87.164160555496878</v>
      </c>
      <c r="AL58" s="22">
        <f t="shared" si="4"/>
        <v>808.98528796749042</v>
      </c>
      <c r="AM58" s="62">
        <f t="shared" si="5"/>
        <v>1102.3186213008237</v>
      </c>
      <c r="AN58" s="62">
        <f ca="1">AVERAGE(OFFSET($AM$3,0,0,'Données projet'!$E$10+1,1))-AVERAGE(OFFSET($H$3,0,0,'Données projet'!$E$10+1,1))</f>
        <v>512.21337090113502</v>
      </c>
      <c r="AO58" s="62">
        <f t="shared" si="36"/>
        <v>621.03633124474163</v>
      </c>
      <c r="AP58" s="16">
        <f>IF(ISNA(VLOOKUP(A58,'Données projet'!$A$61:$I$81,3,0)),0,VLOOKUP(A58,'Données projet'!$A$61:$I$81,3,0))</f>
        <v>9</v>
      </c>
      <c r="AQ58" s="16">
        <f>IF(ISNA(VLOOKUP(A58,'Données projet'!$A$61:$I$81,4,0)),0,VLOOKUP(A58,'Données projet'!$A$61:$I$81,4,0))</f>
        <v>67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3.6922956888350131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4.2782363780347193E-3</v>
      </c>
      <c r="AX58" s="23">
        <f t="shared" si="6"/>
        <v>3.6965739252130478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15.7</v>
      </c>
      <c r="BD58" s="13">
        <f>IF('Données projet'!$A$88&gt;35,BD57+BC58-BL57,IF(A58&lt;'Données projet'!$A$88,$BA$205^A58,IF(A58='Données projet'!$A$88,'Données projet'!$B$88,BD57+BC58-BL57)))</f>
        <v>314.50000000000006</v>
      </c>
      <c r="BE58" s="14">
        <f>BD58*VLOOKUP('Données projet'!$B$11,Paramètres!$A$1:$I$89,3,0)*VLOOKUP('Données projet'!$B$11,Paramètres!$A$1:$I$89,5,0)</f>
        <v>188.07100000000005</v>
      </c>
      <c r="BF58" s="14">
        <f t="shared" si="37"/>
        <v>47.113225385753083</v>
      </c>
      <c r="BG58" s="22">
        <f t="shared" si="7"/>
        <v>409.61252588018669</v>
      </c>
      <c r="BH58" s="62">
        <f t="shared" si="8"/>
        <v>702.94585921351995</v>
      </c>
      <c r="BI58" s="62">
        <f ca="1">AVERAGE(OFFSET($BH$3,0,0,'Données projet'!$E$11+1,1))-AVERAGE(OFFSET($H$3,0,0,'Données projet'!$E$11+1,1))</f>
        <v>295.83974441964551</v>
      </c>
      <c r="BJ58" s="62">
        <f t="shared" si="38"/>
        <v>212.24900914818096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2.3825888749138309</v>
      </c>
      <c r="BR58" s="23">
        <f>EXP(-LN(2)/2)*BR57+(1-EXP(-LN(2)/2))/(LN(2)/2)*BL58*BO58*VLOOKUP('Données projet'!$B$11,Paramètres!$A$1:$I$89,3,0)*0.475*44/12</f>
        <v>1.0696980403154773E-3</v>
      </c>
      <c r="BS58" s="24">
        <f t="shared" si="9"/>
        <v>2.3836585729541464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13.5</v>
      </c>
      <c r="N59" s="14">
        <f>IF('Données projet'!$A$36&gt;35,N58+M59-V58,IF(A59&lt;'Données projet'!$A$36,$K$205^A59,IF(A59='Données projet'!$A$36,'Données projet'!$B$36,N58+M59-V58)))</f>
        <v>280.99999999999989</v>
      </c>
      <c r="O59" s="14">
        <f>N59*VLOOKUP('Données projet'!$B$9,Paramètres!$A$1:$I$89,3,0)*VLOOKUP('Données projet'!$B$9,Paramètres!$A$1:$I$89,5,0)</f>
        <v>131.50799999999995</v>
      </c>
      <c r="P59" s="14">
        <f t="shared" si="33"/>
        <v>34.344579617082481</v>
      </c>
      <c r="Q59" s="22">
        <f t="shared" si="53"/>
        <v>288.85990949975189</v>
      </c>
      <c r="R59" s="62">
        <f t="shared" si="0"/>
        <v>582.19324283308515</v>
      </c>
      <c r="S59" s="62">
        <f ca="1">AVERAGE(OFFSET($R$3,0,0,'Données projet'!$E$9+1,1))-AVERAGE(OFFSET($H$3,0,0,'Données projet'!$E$9+1,1))</f>
        <v>193.05670375142864</v>
      </c>
      <c r="T59" s="62">
        <f t="shared" si="34"/>
        <v>259.12914184994344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10.327166267308158</v>
      </c>
      <c r="AA59" s="23">
        <f>EXP(-LN(2)/25)*AA58+(1-EXP(-LN(2)/25))/(LN(2)/25)*Calculateur!V59*Calculateur!X59*VLOOKUP('Données projet'!$B$9,Paramètres!$A$1:$I$89,3,0)*0.475*44/12</f>
        <v>3.0242518263998477</v>
      </c>
      <c r="AB59" s="23">
        <f>EXP(-LN(2)/2)*AB58+(1-EXP(-LN(2)/2))/(LN(2)/2)*V59*Y59*VLOOKUP('Données projet'!$B$9,Paramètres!$A$1:$I$89,3,0)*0.475*44/12</f>
        <v>0</v>
      </c>
      <c r="AC59" s="24">
        <f t="shared" si="3"/>
        <v>13.351418093708006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15.8</v>
      </c>
      <c r="AI59" s="14">
        <f>IF('Données projet'!$A$62&gt;35,AI58+AH59-AQ58,IF(A59&lt;'Données projet'!$A$62,$AF$205^A59,IF(A59='Données projet'!$A$62,'Données projet'!$B$62,AI58+AH59-AQ58)))</f>
        <v>623.79999999999995</v>
      </c>
      <c r="AJ59" s="14">
        <f>AI59*VLOOKUP('Données projet'!$B$10,Paramètres!$A$1:$I$89,3,0)*VLOOKUP('Données projet'!$B$10,Paramètres!$A$1:$I$89,5,0)</f>
        <v>348.70420000000001</v>
      </c>
      <c r="AK59" s="14">
        <f t="shared" si="35"/>
        <v>81.295634988912099</v>
      </c>
      <c r="AL59" s="22">
        <f t="shared" si="4"/>
        <v>748.91637927235524</v>
      </c>
      <c r="AM59" s="62">
        <f t="shared" si="5"/>
        <v>1042.2497126056885</v>
      </c>
      <c r="AN59" s="62">
        <f ca="1">AVERAGE(OFFSET($AM$3,0,0,'Données projet'!$E$10+1,1))-AVERAGE(OFFSET($H$3,0,0,'Données projet'!$E$10+1,1))</f>
        <v>512.21337090113502</v>
      </c>
      <c r="AO59" s="62">
        <f t="shared" si="36"/>
        <v>621.03633124474163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3.6198920224549544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3.0251699544273239E-3</v>
      </c>
      <c r="AX59" s="23">
        <f t="shared" si="6"/>
        <v>3.6229171924093819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15.7</v>
      </c>
      <c r="BD59" s="13">
        <f>IF('Données projet'!$A$88&gt;35,BD58+BC59-BL58,IF(A59&lt;'Données projet'!$A$88,$BA$205^A59,IF(A59='Données projet'!$A$88,'Données projet'!$B$88,BD58+BC59-BL58)))</f>
        <v>330.20000000000005</v>
      </c>
      <c r="BE59" s="14">
        <f>BD59*VLOOKUP('Données projet'!$B$11,Paramètres!$A$1:$I$89,3,0)*VLOOKUP('Données projet'!$B$11,Paramètres!$A$1:$I$89,5,0)</f>
        <v>197.45960000000005</v>
      </c>
      <c r="BF59" s="14">
        <f t="shared" si="37"/>
        <v>49.185450002435452</v>
      </c>
      <c r="BG59" s="22">
        <f t="shared" si="7"/>
        <v>429.57346208757514</v>
      </c>
      <c r="BH59" s="62">
        <f t="shared" si="8"/>
        <v>722.90679542090845</v>
      </c>
      <c r="BI59" s="62">
        <f ca="1">AVERAGE(OFFSET($BH$3,0,0,'Données projet'!$E$11+1,1))-AVERAGE(OFFSET($H$3,0,0,'Données projet'!$E$11+1,1))</f>
        <v>295.83974441964551</v>
      </c>
      <c r="BJ59" s="62">
        <f t="shared" si="38"/>
        <v>212.24900914818096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2.3174368568344086</v>
      </c>
      <c r="BR59" s="23">
        <f>EXP(-LN(2)/2)*BR58+(1-EXP(-LN(2)/2))/(LN(2)/2)*BL59*BO59*VLOOKUP('Données projet'!$B$11,Paramètres!$A$1:$I$89,3,0)*0.475*44/12</f>
        <v>7.563907381290349E-4</v>
      </c>
      <c r="BS59" s="24">
        <f t="shared" si="9"/>
        <v>2.3181932475725375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13.5</v>
      </c>
      <c r="N60" s="14">
        <f>IF('Données projet'!$A$36&gt;35,N59+M60-V59,IF(A60&lt;'Données projet'!$A$36,$K$205^A60,IF(A60='Données projet'!$A$36,'Données projet'!$B$36,N59+M60-V59)))</f>
        <v>294.49999999999989</v>
      </c>
      <c r="O60" s="14">
        <f>N60*VLOOKUP('Données projet'!$B$9,Paramètres!$A$1:$I$89,3,0)*VLOOKUP('Données projet'!$B$9,Paramètres!$A$1:$I$89,5,0)</f>
        <v>137.82599999999994</v>
      </c>
      <c r="P60" s="14">
        <f t="shared" si="33"/>
        <v>35.798519897115497</v>
      </c>
      <c r="Q60" s="22">
        <f t="shared" si="53"/>
        <v>302.39603882080934</v>
      </c>
      <c r="R60" s="62">
        <f t="shared" si="0"/>
        <v>595.72937215414265</v>
      </c>
      <c r="S60" s="62">
        <f ca="1">AVERAGE(OFFSET($R$3,0,0,'Données projet'!$E$9+1,1))-AVERAGE(OFFSET($H$3,0,0,'Données projet'!$E$9+1,1))</f>
        <v>193.05670375142864</v>
      </c>
      <c r="T60" s="62">
        <f t="shared" si="34"/>
        <v>259.12914184994344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10.124656835755699</v>
      </c>
      <c r="AA60" s="23">
        <f>EXP(-LN(2)/25)*AA59+(1-EXP(-LN(2)/25))/(LN(2)/25)*Calculateur!V60*Calculateur!X60*VLOOKUP('Données projet'!$B$9,Paramètres!$A$1:$I$89,3,0)*0.475*44/12</f>
        <v>2.9415535011684524</v>
      </c>
      <c r="AB60" s="23">
        <f>EXP(-LN(2)/2)*AB59+(1-EXP(-LN(2)/2))/(LN(2)/2)*V60*Y60*VLOOKUP('Données projet'!$B$9,Paramètres!$A$1:$I$89,3,0)*0.475*44/12</f>
        <v>0</v>
      </c>
      <c r="AC60" s="24">
        <f t="shared" si="3"/>
        <v>13.066210336924151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15.8</v>
      </c>
      <c r="AI60" s="14">
        <f>IF('Données projet'!$A$62&gt;35,AI59+AH60-AQ59,IF(A60&lt;'Données projet'!$A$62,$AF$205^A60,IF(A60='Données projet'!$A$62,'Données projet'!$B$62,AI59+AH60-AQ59)))</f>
        <v>639.59999999999991</v>
      </c>
      <c r="AJ60" s="14">
        <f>AI60*VLOOKUP('Données projet'!$B$10,Paramètres!$A$1:$I$89,3,0)*VLOOKUP('Données projet'!$B$10,Paramètres!$A$1:$I$89,5,0)</f>
        <v>357.53639999999996</v>
      </c>
      <c r="AK60" s="14">
        <f t="shared" si="35"/>
        <v>83.112404937533981</v>
      </c>
      <c r="AL60" s="22">
        <f t="shared" si="4"/>
        <v>767.46333526620492</v>
      </c>
      <c r="AM60" s="62">
        <f t="shared" si="5"/>
        <v>1060.7966685995382</v>
      </c>
      <c r="AN60" s="62">
        <f ca="1">AVERAGE(OFFSET($AM$3,0,0,'Données projet'!$E$10+1,1))-AVERAGE(OFFSET($H$3,0,0,'Données projet'!$E$10+1,1))</f>
        <v>512.21337090113502</v>
      </c>
      <c r="AO60" s="62">
        <f t="shared" si="36"/>
        <v>621.03633124474163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3.5489081478107329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2.1391181890173597E-3</v>
      </c>
      <c r="AX60" s="23">
        <f t="shared" si="6"/>
        <v>3.5510472659997503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15.7</v>
      </c>
      <c r="BD60" s="13">
        <f>IF('Données projet'!$A$88&gt;35,BD59+BC60-BL59,IF(A60&lt;'Données projet'!$A$88,$BA$205^A60,IF(A60='Données projet'!$A$88,'Données projet'!$B$88,BD59+BC60-BL59)))</f>
        <v>345.90000000000003</v>
      </c>
      <c r="BE60" s="14">
        <f>BD60*VLOOKUP('Données projet'!$B$11,Paramètres!$A$1:$I$89,3,0)*VLOOKUP('Données projet'!$B$11,Paramètres!$A$1:$I$89,5,0)</f>
        <v>206.84820000000005</v>
      </c>
      <c r="BF60" s="14">
        <f t="shared" si="37"/>
        <v>51.246233092829954</v>
      </c>
      <c r="BG60" s="22">
        <f t="shared" si="7"/>
        <v>449.51447097001227</v>
      </c>
      <c r="BH60" s="62">
        <f t="shared" si="8"/>
        <v>742.84780430334558</v>
      </c>
      <c r="BI60" s="62">
        <f ca="1">AVERAGE(OFFSET($BH$3,0,0,'Données projet'!$E$11+1,1))-AVERAGE(OFFSET($H$3,0,0,'Données projet'!$E$11+1,1))</f>
        <v>295.83974441964551</v>
      </c>
      <c r="BJ60" s="62">
        <f t="shared" si="38"/>
        <v>212.24900914818096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2.2540664241155639</v>
      </c>
      <c r="BR60" s="23">
        <f>EXP(-LN(2)/2)*BR59+(1-EXP(-LN(2)/2))/(LN(2)/2)*BL60*BO60*VLOOKUP('Données projet'!$B$11,Paramètres!$A$1:$I$89,3,0)*0.475*44/12</f>
        <v>5.3484902015773865E-4</v>
      </c>
      <c r="BS60" s="24">
        <f t="shared" si="9"/>
        <v>2.2546012731357217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13.5</v>
      </c>
      <c r="N61" s="14">
        <f>IF('Données projet'!$A$36&gt;35,N60+M61-V60,IF(A61&lt;'Données projet'!$A$36,$K$205^A61,IF(A61='Données projet'!$A$36,'Données projet'!$B$36,N60+M61-V60)))</f>
        <v>307.99999999999989</v>
      </c>
      <c r="O61" s="14">
        <f>N61*VLOOKUP('Données projet'!$B$9,Paramètres!$A$1:$I$89,3,0)*VLOOKUP('Données projet'!$B$9,Paramètres!$A$1:$I$89,5,0)</f>
        <v>144.14399999999995</v>
      </c>
      <c r="P61" s="14">
        <f t="shared" si="33"/>
        <v>37.244720006976216</v>
      </c>
      <c r="Q61" s="22">
        <f t="shared" si="53"/>
        <v>315.91868734548348</v>
      </c>
      <c r="R61" s="62">
        <f t="shared" si="0"/>
        <v>609.25202067881673</v>
      </c>
      <c r="S61" s="62">
        <f ca="1">AVERAGE(OFFSET($R$3,0,0,'Données projet'!$E$9+1,1))-AVERAGE(OFFSET($H$3,0,0,'Données projet'!$E$9+1,1))</f>
        <v>193.05670375142864</v>
      </c>
      <c r="T61" s="62">
        <f t="shared" si="34"/>
        <v>259.12914184994344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9.9261184906374265</v>
      </c>
      <c r="AA61" s="23">
        <f>EXP(-LN(2)/25)*AA60+(1-EXP(-LN(2)/25))/(LN(2)/25)*Calculateur!V61*Calculateur!X61*VLOOKUP('Données projet'!$B$9,Paramètres!$A$1:$I$89,3,0)*0.475*44/12</f>
        <v>2.8611165659894255</v>
      </c>
      <c r="AB61" s="23">
        <f>EXP(-LN(2)/2)*AB60+(1-EXP(-LN(2)/2))/(LN(2)/2)*V61*Y61*VLOOKUP('Données projet'!$B$9,Paramètres!$A$1:$I$89,3,0)*0.475*44/12</f>
        <v>0</v>
      </c>
      <c r="AC61" s="24">
        <f t="shared" si="3"/>
        <v>12.787235056626852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15.8</v>
      </c>
      <c r="AI61" s="14">
        <f>IF('Données projet'!$A$62&gt;35,AI60+AH61-AQ60,IF(A61&lt;'Données projet'!$A$62,$AF$205^A61,IF(A61='Données projet'!$A$62,'Données projet'!$B$62,AI60+AH61-AQ60)))</f>
        <v>655.39999999999986</v>
      </c>
      <c r="AJ61" s="14">
        <f>AI61*VLOOKUP('Données projet'!$B$10,Paramètres!$A$1:$I$89,3,0)*VLOOKUP('Données projet'!$B$10,Paramètres!$A$1:$I$89,5,0)</f>
        <v>366.36859999999996</v>
      </c>
      <c r="AK61" s="14">
        <f t="shared" si="35"/>
        <v>84.923957848244868</v>
      </c>
      <c r="AL61" s="22">
        <f t="shared" si="4"/>
        <v>786.00120491902635</v>
      </c>
      <c r="AM61" s="62">
        <f t="shared" si="5"/>
        <v>1079.3345382523596</v>
      </c>
      <c r="AN61" s="62">
        <f ca="1">AVERAGE(OFFSET($AM$3,0,0,'Données projet'!$E$10+1,1))-AVERAGE(OFFSET($H$3,0,0,'Données projet'!$E$10+1,1))</f>
        <v>512.21337090113502</v>
      </c>
      <c r="AO61" s="62">
        <f t="shared" si="36"/>
        <v>621.03633124474163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3.479316223652396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1.512584977213662E-3</v>
      </c>
      <c r="AX61" s="23">
        <f t="shared" si="6"/>
        <v>3.4808288086296097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15.7</v>
      </c>
      <c r="BD61" s="13">
        <f>IF('Données projet'!$A$88&gt;35,BD60+BC61-BL60,IF(A61&lt;'Données projet'!$A$88,$BA$205^A61,IF(A61='Données projet'!$A$88,'Données projet'!$B$88,BD60+BC61-BL60)))</f>
        <v>361.6</v>
      </c>
      <c r="BE61" s="14">
        <f>BD61*VLOOKUP('Données projet'!$B$11,Paramètres!$A$1:$I$89,3,0)*VLOOKUP('Données projet'!$B$11,Paramètres!$A$1:$I$89,5,0)</f>
        <v>216.23680000000002</v>
      </c>
      <c r="BF61" s="14">
        <f t="shared" si="37"/>
        <v>53.296153300267918</v>
      </c>
      <c r="BG61" s="22">
        <f t="shared" si="7"/>
        <v>469.43656033129997</v>
      </c>
      <c r="BH61" s="62">
        <f t="shared" si="8"/>
        <v>762.76989366463329</v>
      </c>
      <c r="BI61" s="62">
        <f ca="1">AVERAGE(OFFSET($BH$3,0,0,'Données projet'!$E$11+1,1))-AVERAGE(OFFSET($H$3,0,0,'Données projet'!$E$11+1,1))</f>
        <v>295.83974441964551</v>
      </c>
      <c r="BJ61" s="62">
        <f t="shared" si="38"/>
        <v>212.24900914818096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2.1924288592119221</v>
      </c>
      <c r="BR61" s="23">
        <f>EXP(-LN(2)/2)*BR60+(1-EXP(-LN(2)/2))/(LN(2)/2)*BL61*BO61*VLOOKUP('Données projet'!$B$11,Paramètres!$A$1:$I$89,3,0)*0.475*44/12</f>
        <v>3.7819536906451745E-4</v>
      </c>
      <c r="BS61" s="24">
        <f t="shared" si="9"/>
        <v>2.1928070545809866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13.5</v>
      </c>
      <c r="N62" s="14">
        <f>IF('Données projet'!$A$36&gt;35,N61+M62-V61,IF(A62&lt;'Données projet'!$A$36,$K$205^A62,IF(A62='Données projet'!$A$36,'Données projet'!$B$36,N61+M62-V61)))</f>
        <v>321.49999999999989</v>
      </c>
      <c r="O62" s="14">
        <f>N62*VLOOKUP('Données projet'!$B$9,Paramètres!$A$1:$I$89,3,0)*VLOOKUP('Données projet'!$B$9,Paramètres!$A$1:$I$89,5,0)</f>
        <v>150.46199999999993</v>
      </c>
      <c r="P62" s="14">
        <f t="shared" si="33"/>
        <v>38.683557979918994</v>
      </c>
      <c r="Q62" s="22">
        <f t="shared" si="53"/>
        <v>329.42851348169211</v>
      </c>
      <c r="R62" s="62">
        <f t="shared" si="0"/>
        <v>622.76184681502536</v>
      </c>
      <c r="S62" s="62">
        <f ca="1">AVERAGE(OFFSET($R$3,0,0,'Données projet'!$E$9+1,1))-AVERAGE(OFFSET($H$3,0,0,'Données projet'!$E$9+1,1))</f>
        <v>193.05670375142864</v>
      </c>
      <c r="T62" s="62">
        <f t="shared" si="34"/>
        <v>259.12914184994344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9.7314733613704902</v>
      </c>
      <c r="AA62" s="23">
        <f>EXP(-LN(2)/25)*AA61+(1-EXP(-LN(2)/25))/(LN(2)/25)*Calculateur!V62*Calculateur!X62*VLOOKUP('Données projet'!$B$9,Paramètres!$A$1:$I$89,3,0)*0.475*44/12</f>
        <v>2.7828791830328639</v>
      </c>
      <c r="AB62" s="23">
        <f>EXP(-LN(2)/2)*AB61+(1-EXP(-LN(2)/2))/(LN(2)/2)*V62*Y62*VLOOKUP('Données projet'!$B$9,Paramètres!$A$1:$I$89,3,0)*0.475*44/12</f>
        <v>0</v>
      </c>
      <c r="AC62" s="24">
        <f t="shared" si="3"/>
        <v>12.514352544403355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15.8</v>
      </c>
      <c r="AI62" s="14">
        <f>IF('Données projet'!$A$62&gt;35,AI61+AH62-AQ61,IF(A62&lt;'Données projet'!$A$62,$AF$205^A62,IF(A62='Données projet'!$A$62,'Données projet'!$B$62,AI61+AH62-AQ61)))</f>
        <v>671.19999999999982</v>
      </c>
      <c r="AJ62" s="14">
        <f>AI62*VLOOKUP('Données projet'!$B$10,Paramètres!$A$1:$I$89,3,0)*VLOOKUP('Données projet'!$B$10,Paramètres!$A$1:$I$89,5,0)</f>
        <v>375.2007999999999</v>
      </c>
      <c r="AK62" s="14">
        <f t="shared" si="35"/>
        <v>86.730433960542896</v>
      </c>
      <c r="AL62" s="22">
        <f t="shared" si="4"/>
        <v>804.53023248127863</v>
      </c>
      <c r="AM62" s="62">
        <f t="shared" si="5"/>
        <v>1097.863565814612</v>
      </c>
      <c r="AN62" s="62">
        <f ca="1">AVERAGE(OFFSET($AM$3,0,0,'Données projet'!$E$10+1,1))-AVERAGE(OFFSET($H$3,0,0,'Données projet'!$E$10+1,1))</f>
        <v>512.21337090113502</v>
      </c>
      <c r="AO62" s="62">
        <f t="shared" si="36"/>
        <v>621.03633124474163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3.4110889546799217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1.0695590945086798E-3</v>
      </c>
      <c r="AX62" s="23">
        <f t="shared" si="6"/>
        <v>3.4121585137744304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15.7</v>
      </c>
      <c r="BD62" s="13">
        <f>IF('Données projet'!$A$88&gt;35,BD61+BC62-BL61,IF(A62&lt;'Données projet'!$A$88,$BA$205^A62,IF(A62='Données projet'!$A$88,'Données projet'!$B$88,BD61+BC62-BL61)))</f>
        <v>377.3</v>
      </c>
      <c r="BE62" s="14">
        <f>BD62*VLOOKUP('Données projet'!$B$11,Paramètres!$A$1:$I$89,3,0)*VLOOKUP('Données projet'!$B$11,Paramètres!$A$1:$I$89,5,0)</f>
        <v>225.62540000000004</v>
      </c>
      <c r="BF62" s="14">
        <f t="shared" si="37"/>
        <v>55.335736179321074</v>
      </c>
      <c r="BG62" s="22">
        <f t="shared" si="7"/>
        <v>489.34064551231751</v>
      </c>
      <c r="BH62" s="62">
        <f t="shared" si="8"/>
        <v>782.67397884565082</v>
      </c>
      <c r="BI62" s="62">
        <f ca="1">AVERAGE(OFFSET($BH$3,0,0,'Données projet'!$E$11+1,1))-AVERAGE(OFFSET($H$3,0,0,'Données projet'!$E$11+1,1))</f>
        <v>295.83974441964551</v>
      </c>
      <c r="BJ62" s="62">
        <f t="shared" si="38"/>
        <v>212.24900914818096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2.1324767767619495</v>
      </c>
      <c r="BR62" s="23">
        <f>EXP(-LN(2)/2)*BR61+(1-EXP(-LN(2)/2))/(LN(2)/2)*BL62*BO62*VLOOKUP('Données projet'!$B$11,Paramètres!$A$1:$I$89,3,0)*0.475*44/12</f>
        <v>2.6742451007886933E-4</v>
      </c>
      <c r="BS62" s="24">
        <f t="shared" si="9"/>
        <v>2.1327442012720281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335</v>
      </c>
      <c r="L63" s="13">
        <f>VLOOKUP(A63,'Données projet'!$A$35:$I$55,9,0)</f>
        <v>13.5</v>
      </c>
      <c r="M63" s="13">
        <f t="array" ref="M63">INDEX(L:L,MIN(IF(ISNUMBER(L63:L259),ROW(L63:L259),"")))</f>
        <v>13.5</v>
      </c>
      <c r="N63" s="14">
        <f>IF('Données projet'!$A$36&gt;35,N62+M63-V62,IF(A63&lt;'Données projet'!$A$36,$K$205^A63,IF(A63='Données projet'!$A$36,'Données projet'!$B$36,N62+M63-V62)))</f>
        <v>334.99999999999989</v>
      </c>
      <c r="O63" s="14">
        <f>N63*VLOOKUP('Données projet'!$B$9,Paramètres!$A$1:$I$89,3,0)*VLOOKUP('Données projet'!$B$9,Paramètres!$A$1:$I$89,5,0)</f>
        <v>156.77999999999994</v>
      </c>
      <c r="P63" s="14">
        <f t="shared" si="33"/>
        <v>40.115378305457938</v>
      </c>
      <c r="Q63" s="22">
        <f t="shared" si="53"/>
        <v>342.92611721533916</v>
      </c>
      <c r="R63" s="62">
        <f t="shared" si="0"/>
        <v>636.25945054867248</v>
      </c>
      <c r="S63" s="62">
        <f ca="1">AVERAGE(OFFSET($R$3,0,0,'Données projet'!$E$9+1,1))-AVERAGE(OFFSET($H$3,0,0,'Données projet'!$E$9+1,1))</f>
        <v>193.05670375142864</v>
      </c>
      <c r="T63" s="62">
        <f t="shared" si="34"/>
        <v>259.12914184994344</v>
      </c>
      <c r="U63" s="16">
        <f>IF(ISNA(VLOOKUP(A63,'Données projet'!$A$35:$I$55,3,0)),0,VLOOKUP(A63,'Données projet'!$A$35:$I$55,3,0))</f>
        <v>5</v>
      </c>
      <c r="V63" s="16">
        <f>IF(ISNA(VLOOKUP(A63,'Données projet'!$A$35:$I$55,4,0)),0,VLOOKUP(A63,'Données projet'!$A$35:$I$55,4,0))</f>
        <v>335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9.5406451043666731</v>
      </c>
      <c r="AA63" s="23">
        <f>EXP(-LN(2)/25)*AA62+(1-EXP(-LN(2)/25))/(LN(2)/25)*Calculateur!V63*Calculateur!X63*VLOOKUP('Données projet'!$B$9,Paramètres!$A$1:$I$89,3,0)*0.475*44/12</f>
        <v>2.7067812054275744</v>
      </c>
      <c r="AB63" s="23">
        <f>EXP(-LN(2)/2)*AB62+(1-EXP(-LN(2)/2))/(LN(2)/2)*V63*Y63*VLOOKUP('Données projet'!$B$9,Paramètres!$A$1:$I$89,3,0)*0.475*44/12</f>
        <v>0</v>
      </c>
      <c r="AC63" s="24">
        <f t="shared" si="3"/>
        <v>12.247426309794248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687</v>
      </c>
      <c r="AG63" s="13">
        <f>VLOOKUP(A63,'Données projet'!$A$61:$I$81,9,0)</f>
        <v>15.8</v>
      </c>
      <c r="AH63" s="13">
        <f t="array" ref="AH63">INDEX(AG:AG,MIN(IF(ISNUMBER(AG63:AG259),ROW(AG63:AG259),"")))</f>
        <v>15.8</v>
      </c>
      <c r="AI63" s="14">
        <f>IF('Données projet'!$A$62&gt;35,AI62+AH63-AQ62,IF(A63&lt;'Données projet'!$A$62,$AF$205^A63,IF(A63='Données projet'!$A$62,'Données projet'!$B$62,AI62+AH63-AQ62)))</f>
        <v>686.99999999999977</v>
      </c>
      <c r="AJ63" s="14">
        <f>AI63*VLOOKUP('Données projet'!$B$10,Paramètres!$A$1:$I$89,3,0)*VLOOKUP('Données projet'!$B$10,Paramètres!$A$1:$I$89,5,0)</f>
        <v>384.0329999999999</v>
      </c>
      <c r="AK63" s="14">
        <f t="shared" si="35"/>
        <v>88.531966534830488</v>
      </c>
      <c r="AL63" s="22">
        <f t="shared" si="4"/>
        <v>823.05065004816288</v>
      </c>
      <c r="AM63" s="62">
        <f t="shared" si="5"/>
        <v>1116.3839833814961</v>
      </c>
      <c r="AN63" s="62">
        <f ca="1">AVERAGE(OFFSET($AM$3,0,0,'Données projet'!$E$10+1,1))-AVERAGE(OFFSET($H$3,0,0,'Données projet'!$E$10+1,1))</f>
        <v>512.21337090113502</v>
      </c>
      <c r="AO63" s="62">
        <f t="shared" si="36"/>
        <v>621.03633124474163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61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3.3441995808374725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7.5629248860683098E-4</v>
      </c>
      <c r="AX63" s="23">
        <f t="shared" si="6"/>
        <v>3.3449558733260791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393</v>
      </c>
      <c r="BB63" s="13">
        <f>VLOOKUP(A63,'Données projet'!$A$87:$I$107,9,0)</f>
        <v>15.7</v>
      </c>
      <c r="BC63" s="13">
        <f t="array" ref="BC63">INDEX(BB:BB,MIN(IF(ISNUMBER(BB63:BB259),ROW(BB63:BB259),"")))</f>
        <v>15.7</v>
      </c>
      <c r="BD63" s="13">
        <f>IF('Données projet'!$A$88&gt;35,BD62+BC63-BL62,IF(A63&lt;'Données projet'!$A$88,$BA$205^A63,IF(A63='Données projet'!$A$88,'Données projet'!$B$88,BD62+BC63-BL62)))</f>
        <v>393</v>
      </c>
      <c r="BE63" s="14">
        <f>BD63*VLOOKUP('Données projet'!$B$11,Paramètres!$A$1:$I$89,3,0)*VLOOKUP('Données projet'!$B$11,Paramètres!$A$1:$I$89,5,0)</f>
        <v>235.01400000000001</v>
      </c>
      <c r="BF63" s="14">
        <f t="shared" si="37"/>
        <v>57.365461071820548</v>
      </c>
      <c r="BG63" s="22">
        <f t="shared" si="7"/>
        <v>509.22756136675412</v>
      </c>
      <c r="BH63" s="62">
        <f t="shared" si="8"/>
        <v>802.56089470008737</v>
      </c>
      <c r="BI63" s="62">
        <f ca="1">AVERAGE(OFFSET($BH$3,0,0,'Données projet'!$E$11+1,1))-AVERAGE(OFFSET($H$3,0,0,'Données projet'!$E$11+1,1))</f>
        <v>295.83974441964551</v>
      </c>
      <c r="BJ63" s="62">
        <f t="shared" si="38"/>
        <v>212.24900914818096</v>
      </c>
      <c r="BK63" s="16">
        <f>IF(ISNA(VLOOKUP(A63,'Données projet'!$A$87:$I$107,3,0)),0,VLOOKUP(A63,'Données projet'!$A$87:$I$107,3,0))</f>
        <v>6</v>
      </c>
      <c r="BL63" s="16">
        <f>IF(ISNA(VLOOKUP(A63,'Données projet'!$A$87:$I$107,4,0)),0,VLOOKUP(A63,'Données projet'!$A$87:$I$107,4,0))</f>
        <v>88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2.0741640871593141</v>
      </c>
      <c r="BR63" s="23">
        <f>EXP(-LN(2)/2)*BR62+(1-EXP(-LN(2)/2))/(LN(2)/2)*BL63*BO63*VLOOKUP('Données projet'!$B$11,Paramètres!$A$1:$I$89,3,0)*0.475*44/12</f>
        <v>1.8909768453225873E-4</v>
      </c>
      <c r="BS63" s="24">
        <f t="shared" si="9"/>
        <v>2.0743531848438463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-1.1368683772161603E-13</v>
      </c>
      <c r="O64" s="14">
        <f>N64*VLOOKUP('Données projet'!$B$9,Paramètres!$A$1:$I$89,3,0)*VLOOKUP('Données projet'!$B$9,Paramètres!$A$1:$I$89,5,0)</f>
        <v>-5.3205440053716299E-14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193.05670375142864</v>
      </c>
      <c r="T64" s="62">
        <f t="shared" si="34"/>
        <v>259.12914184994344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9.3535588730889554</v>
      </c>
      <c r="AA64" s="23">
        <f>EXP(-LN(2)/25)*AA63+(1-EXP(-LN(2)/25))/(LN(2)/25)*Calculateur!V64*Calculateur!X64*VLOOKUP('Données projet'!$B$9,Paramètres!$A$1:$I$89,3,0)*0.475*44/12</f>
        <v>2.63276413102172</v>
      </c>
      <c r="AB64" s="23">
        <f>EXP(-LN(2)/2)*AB63+(1-EXP(-LN(2)/2))/(LN(2)/2)*V64*Y64*VLOOKUP('Données projet'!$B$9,Paramètres!$A$1:$I$89,3,0)*0.475*44/12</f>
        <v>0</v>
      </c>
      <c r="AC64" s="24">
        <f t="shared" si="3"/>
        <v>11.986323004110675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14.8</v>
      </c>
      <c r="AI64" s="14">
        <f>IF('Données projet'!$A$62&gt;35,AI63+AH64-AQ63,IF(A64&lt;'Données projet'!$A$62,$AF$205^A64,IF(A64='Données projet'!$A$62,'Données projet'!$B$62,AI63+AH64-AQ63)))</f>
        <v>640.79999999999973</v>
      </c>
      <c r="AJ64" s="14">
        <f>AI64*VLOOKUP('Données projet'!$B$10,Paramètres!$A$1:$I$89,3,0)*VLOOKUP('Données projet'!$B$10,Paramètres!$A$1:$I$89,5,0)</f>
        <v>358.20719999999983</v>
      </c>
      <c r="AK64" s="14">
        <f t="shared" si="35"/>
        <v>83.25017249409899</v>
      </c>
      <c r="AL64" s="22">
        <f t="shared" si="4"/>
        <v>768.87159042722215</v>
      </c>
      <c r="AM64" s="62">
        <f t="shared" si="5"/>
        <v>1062.2049237605554</v>
      </c>
      <c r="AN64" s="62">
        <f ca="1">AVERAGE(OFFSET($AM$3,0,0,'Données projet'!$E$10+1,1))-AVERAGE(OFFSET($H$3,0,0,'Données projet'!$E$10+1,1))</f>
        <v>512.21337090113502</v>
      </c>
      <c r="AO64" s="62">
        <f t="shared" si="36"/>
        <v>621.03633124474163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3.2786218668175842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5.3477954725433992E-4</v>
      </c>
      <c r="AX64" s="23">
        <f t="shared" si="6"/>
        <v>3.2791566463648385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14.3</v>
      </c>
      <c r="BD64" s="13">
        <f>IF('Données projet'!$A$88&gt;35,BD63+BC64-BL63,IF(A64&lt;'Données projet'!$A$88,$BA$205^A64,IF(A64='Données projet'!$A$88,'Données projet'!$B$88,BD63+BC64-BL63)))</f>
        <v>319.3</v>
      </c>
      <c r="BE64" s="14">
        <f>BD64*VLOOKUP('Données projet'!$B$11,Paramètres!$A$1:$I$89,3,0)*VLOOKUP('Données projet'!$B$11,Paramètres!$A$1:$I$89,5,0)</f>
        <v>190.94140000000002</v>
      </c>
      <c r="BF64" s="14">
        <f t="shared" si="37"/>
        <v>47.748023117802013</v>
      </c>
      <c r="BG64" s="22">
        <f t="shared" si="7"/>
        <v>415.71741193017186</v>
      </c>
      <c r="BH64" s="62">
        <f t="shared" si="8"/>
        <v>709.05074526350518</v>
      </c>
      <c r="BI64" s="62">
        <f ca="1">AVERAGE(OFFSET($BH$3,0,0,'Données projet'!$E$11+1,1))-AVERAGE(OFFSET($H$3,0,0,'Données projet'!$E$11+1,1))</f>
        <v>295.83974441964551</v>
      </c>
      <c r="BJ64" s="62">
        <f t="shared" si="38"/>
        <v>212.24900914818096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2.0174459611203939</v>
      </c>
      <c r="BR64" s="23">
        <f>EXP(-LN(2)/2)*BR63+(1-EXP(-LN(2)/2))/(LN(2)/2)*BL64*BO64*VLOOKUP('Données projet'!$B$11,Paramètres!$A$1:$I$89,3,0)*0.475*44/12</f>
        <v>1.3371225503943466E-4</v>
      </c>
      <c r="BS64" s="24">
        <f t="shared" si="9"/>
        <v>2.0175796733754332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-1.1368683772161603E-13</v>
      </c>
      <c r="O65" s="14">
        <f>N65*VLOOKUP('Données projet'!$B$9,Paramètres!$A$1:$I$89,3,0)*VLOOKUP('Données projet'!$B$9,Paramètres!$A$1:$I$89,5,0)</f>
        <v>-5.3205440053716299E-14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193.05670375142864</v>
      </c>
      <c r="T65" s="62">
        <f t="shared" si="34"/>
        <v>259.12914184994344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9.1701412886952607</v>
      </c>
      <c r="AA65" s="23">
        <f>EXP(-LN(2)/25)*AA64+(1-EXP(-LN(2)/25))/(LN(2)/25)*Calculateur!V65*Calculateur!X65*VLOOKUP('Données projet'!$B$9,Paramètres!$A$1:$I$89,3,0)*0.475*44/12</f>
        <v>2.5607710574078828</v>
      </c>
      <c r="AB65" s="23">
        <f>EXP(-LN(2)/2)*AB64+(1-EXP(-LN(2)/2))/(LN(2)/2)*V65*Y65*VLOOKUP('Données projet'!$B$9,Paramètres!$A$1:$I$89,3,0)*0.475*44/12</f>
        <v>0</v>
      </c>
      <c r="AC65" s="24">
        <f t="shared" si="3"/>
        <v>11.730912346103143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14.8</v>
      </c>
      <c r="AI65" s="14">
        <f>IF('Données projet'!$A$62&gt;35,AI64+AH65-AQ64,IF(A65&lt;'Données projet'!$A$62,$AF$205^A65,IF(A65='Données projet'!$A$62,'Données projet'!$B$62,AI64+AH65-AQ64)))</f>
        <v>655.59999999999968</v>
      </c>
      <c r="AJ65" s="14">
        <f>AI65*VLOOKUP('Données projet'!$B$10,Paramètres!$A$1:$I$89,3,0)*VLOOKUP('Données projet'!$B$10,Paramètres!$A$1:$I$89,5,0)</f>
        <v>366.4803999999998</v>
      </c>
      <c r="AK65" s="14">
        <f t="shared" si="35"/>
        <v>84.946856071194404</v>
      </c>
      <c r="AL65" s="22">
        <f t="shared" si="4"/>
        <v>786.23580432399649</v>
      </c>
      <c r="AM65" s="62">
        <f t="shared" si="5"/>
        <v>1079.5691376573297</v>
      </c>
      <c r="AN65" s="62">
        <f ca="1">AVERAGE(OFFSET($AM$3,0,0,'Données projet'!$E$10+1,1))-AVERAGE(OFFSET($H$3,0,0,'Données projet'!$E$10+1,1))</f>
        <v>512.21337090113502</v>
      </c>
      <c r="AO65" s="62">
        <f t="shared" si="36"/>
        <v>621.03633124474163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3.2143300917711701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3.7814624430341549E-4</v>
      </c>
      <c r="AX65" s="23">
        <f t="shared" si="6"/>
        <v>3.2147082380154735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14.3</v>
      </c>
      <c r="BD65" s="13">
        <f>IF('Données projet'!$A$88&gt;35,BD64+BC65-BL64,IF(A65&lt;'Données projet'!$A$88,$BA$205^A65,IF(A65='Données projet'!$A$88,'Données projet'!$B$88,BD64+BC65-BL64)))</f>
        <v>333.6</v>
      </c>
      <c r="BE65" s="14">
        <f>BD65*VLOOKUP('Données projet'!$B$11,Paramètres!$A$1:$I$89,3,0)*VLOOKUP('Données projet'!$B$11,Paramètres!$A$1:$I$89,5,0)</f>
        <v>199.49280000000002</v>
      </c>
      <c r="BF65" s="14">
        <f t="shared" si="37"/>
        <v>49.632684049228061</v>
      </c>
      <c r="BG65" s="22">
        <f t="shared" si="7"/>
        <v>433.89355138573887</v>
      </c>
      <c r="BH65" s="62">
        <f t="shared" si="8"/>
        <v>727.22688471907213</v>
      </c>
      <c r="BI65" s="62">
        <f ca="1">AVERAGE(OFFSET($BH$3,0,0,'Données projet'!$E$11+1,1))-AVERAGE(OFFSET($H$3,0,0,'Données projet'!$E$11+1,1))</f>
        <v>295.83974441964551</v>
      </c>
      <c r="BJ65" s="62">
        <f t="shared" si="38"/>
        <v>212.24900914818096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1.9622787952206846</v>
      </c>
      <c r="BR65" s="23">
        <f>EXP(-LN(2)/2)*BR64+(1-EXP(-LN(2)/2))/(LN(2)/2)*BL65*BO65*VLOOKUP('Données projet'!$B$11,Paramètres!$A$1:$I$89,3,0)*0.475*44/12</f>
        <v>9.4548842266129363E-5</v>
      </c>
      <c r="BS65" s="24">
        <f t="shared" si="9"/>
        <v>1.9623733440629507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-1.1368683772161603E-13</v>
      </c>
      <c r="O66" s="14">
        <f>N66*VLOOKUP('Données projet'!$B$9,Paramètres!$A$1:$I$89,3,0)*VLOOKUP('Données projet'!$B$9,Paramètres!$A$1:$I$89,5,0)</f>
        <v>-5.3205440053716299E-14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193.05670375142864</v>
      </c>
      <c r="T66" s="62">
        <f t="shared" si="34"/>
        <v>259.12914184994344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8.9903204112578461</v>
      </c>
      <c r="AA66" s="23">
        <f>EXP(-LN(2)/25)*AA65+(1-EXP(-LN(2)/25))/(LN(2)/25)*Calculateur!V66*Calculateur!X66*VLOOKUP('Données projet'!$B$9,Paramètres!$A$1:$I$89,3,0)*0.475*44/12</f>
        <v>2.490746638177967</v>
      </c>
      <c r="AB66" s="23">
        <f>EXP(-LN(2)/2)*AB65+(1-EXP(-LN(2)/2))/(LN(2)/2)*V66*Y66*VLOOKUP('Données projet'!$B$9,Paramètres!$A$1:$I$89,3,0)*0.475*44/12</f>
        <v>0</v>
      </c>
      <c r="AC66" s="24">
        <f t="shared" si="3"/>
        <v>11.481067049435813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14.8</v>
      </c>
      <c r="AI66" s="14">
        <f>IF('Données projet'!$A$62&gt;35,AI65+AH66-AQ65,IF(A66&lt;'Données projet'!$A$62,$AF$205^A66,IF(A66='Données projet'!$A$62,'Données projet'!$B$62,AI65+AH66-AQ65)))</f>
        <v>670.39999999999964</v>
      </c>
      <c r="AJ66" s="14">
        <f>AI66*VLOOKUP('Données projet'!$B$10,Paramètres!$A$1:$I$89,3,0)*VLOOKUP('Données projet'!$B$10,Paramètres!$A$1:$I$89,5,0)</f>
        <v>374.75359999999978</v>
      </c>
      <c r="AK66" s="14">
        <f t="shared" si="35"/>
        <v>86.6390867259218</v>
      </c>
      <c r="AL66" s="22">
        <f t="shared" si="4"/>
        <v>803.59226271431351</v>
      </c>
      <c r="AM66" s="62">
        <f t="shared" si="5"/>
        <v>1096.9255960476469</v>
      </c>
      <c r="AN66" s="62">
        <f ca="1">AVERAGE(OFFSET($AM$3,0,0,'Données projet'!$E$10+1,1))-AVERAGE(OFFSET($H$3,0,0,'Données projet'!$E$10+1,1))</f>
        <v>512.21337090113502</v>
      </c>
      <c r="AO66" s="62">
        <f t="shared" si="36"/>
        <v>621.03633124474163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3.1512990392193054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2.6738977362716996E-4</v>
      </c>
      <c r="AX66" s="23">
        <f t="shared" si="6"/>
        <v>3.1515664289929326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14.3</v>
      </c>
      <c r="BD66" s="13">
        <f>IF('Données projet'!$A$88&gt;35,BD65+BC66-BL65,IF(A66&lt;'Données projet'!$A$88,$BA$205^A66,IF(A66='Données projet'!$A$88,'Données projet'!$B$88,BD65+BC66-BL65)))</f>
        <v>347.90000000000003</v>
      </c>
      <c r="BE66" s="14">
        <f>BD66*VLOOKUP('Données projet'!$B$11,Paramètres!$A$1:$I$89,3,0)*VLOOKUP('Données projet'!$B$11,Paramètres!$A$1:$I$89,5,0)</f>
        <v>208.04420000000005</v>
      </c>
      <c r="BF66" s="14">
        <f t="shared" si="37"/>
        <v>51.507961722634242</v>
      </c>
      <c r="BG66" s="22">
        <f t="shared" si="7"/>
        <v>452.05334833358802</v>
      </c>
      <c r="BH66" s="62">
        <f t="shared" si="8"/>
        <v>745.38668166692128</v>
      </c>
      <c r="BI66" s="62">
        <f ca="1">AVERAGE(OFFSET($BH$3,0,0,'Données projet'!$E$11+1,1))-AVERAGE(OFFSET($H$3,0,0,'Données projet'!$E$11+1,1))</f>
        <v>295.83974441964551</v>
      </c>
      <c r="BJ66" s="62">
        <f t="shared" si="38"/>
        <v>212.24900914818096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1.9086201783736181</v>
      </c>
      <c r="BR66" s="23">
        <f>EXP(-LN(2)/2)*BR65+(1-EXP(-LN(2)/2))/(LN(2)/2)*BL66*BO66*VLOOKUP('Données projet'!$B$11,Paramètres!$A$1:$I$89,3,0)*0.475*44/12</f>
        <v>6.6856127519717332E-5</v>
      </c>
      <c r="BS66" s="24">
        <f t="shared" si="9"/>
        <v>1.9086870345011377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-1.1368683772161603E-13</v>
      </c>
      <c r="O67" s="14">
        <f>N67*VLOOKUP('Données projet'!$B$9,Paramètres!$A$1:$I$89,3,0)*VLOOKUP('Données projet'!$B$9,Paramètres!$A$1:$I$89,5,0)</f>
        <v>-5.3205440053716299E-14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193.05670375142864</v>
      </c>
      <c r="T67" s="62">
        <f t="shared" si="34"/>
        <v>259.12914184994344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8.8140257115470746</v>
      </c>
      <c r="AA67" s="23">
        <f>EXP(-LN(2)/25)*AA66+(1-EXP(-LN(2)/25))/(LN(2)/25)*Calculateur!V67*Calculateur!X67*VLOOKUP('Données projet'!$B$9,Paramètres!$A$1:$I$89,3,0)*0.475*44/12</f>
        <v>2.4226370403743176</v>
      </c>
      <c r="AB67" s="23">
        <f>EXP(-LN(2)/2)*AB66+(1-EXP(-LN(2)/2))/(LN(2)/2)*V67*Y67*VLOOKUP('Données projet'!$B$9,Paramètres!$A$1:$I$89,3,0)*0.475*44/12</f>
        <v>0</v>
      </c>
      <c r="AC67" s="24">
        <f t="shared" si="3"/>
        <v>11.236662751921392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14.8</v>
      </c>
      <c r="AI67" s="14">
        <f>IF('Données projet'!$A$62&gt;35,AI66+AH67-AQ66,IF(A67&lt;'Données projet'!$A$62,$AF$205^A67,IF(A67='Données projet'!$A$62,'Données projet'!$B$62,AI66+AH67-AQ66)))</f>
        <v>685.19999999999959</v>
      </c>
      <c r="AJ67" s="14">
        <f>AI67*VLOOKUP('Données projet'!$B$10,Paramètres!$A$1:$I$89,3,0)*VLOOKUP('Données projet'!$B$10,Paramètres!$A$1:$I$89,5,0)</f>
        <v>383.02679999999975</v>
      </c>
      <c r="AK67" s="14">
        <f t="shared" si="35"/>
        <v>88.326974082383998</v>
      </c>
      <c r="AL67" s="22">
        <f t="shared" si="4"/>
        <v>820.9411565268183</v>
      </c>
      <c r="AM67" s="62">
        <f t="shared" si="5"/>
        <v>1114.2744898601516</v>
      </c>
      <c r="AN67" s="62">
        <f ca="1">AVERAGE(OFFSET($AM$3,0,0,'Données projet'!$E$10+1,1))-AVERAGE(OFFSET($H$3,0,0,'Données projet'!$E$10+1,1))</f>
        <v>512.21337090113502</v>
      </c>
      <c r="AO67" s="62">
        <f t="shared" si="36"/>
        <v>621.03633124474163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3.0895039871628369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1.8907312215170775E-4</v>
      </c>
      <c r="AX67" s="23">
        <f t="shared" si="6"/>
        <v>3.0896930602849886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14.3</v>
      </c>
      <c r="BD67" s="13">
        <f>IF('Données projet'!$A$88&gt;35,BD66+BC67-BL66,IF(A67&lt;'Données projet'!$A$88,$BA$205^A67,IF(A67='Données projet'!$A$88,'Données projet'!$B$88,BD66+BC67-BL66)))</f>
        <v>362.20000000000005</v>
      </c>
      <c r="BE67" s="14">
        <f>BD67*VLOOKUP('Données projet'!$B$11,Paramètres!$A$1:$I$89,3,0)*VLOOKUP('Données projet'!$B$11,Paramètres!$A$1:$I$89,5,0)</f>
        <v>216.59560000000005</v>
      </c>
      <c r="BF67" s="14">
        <f t="shared" si="37"/>
        <v>53.374285937607603</v>
      </c>
      <c r="BG67" s="22">
        <f t="shared" si="7"/>
        <v>470.19755134133334</v>
      </c>
      <c r="BH67" s="62">
        <f t="shared" si="8"/>
        <v>763.53088467466659</v>
      </c>
      <c r="BI67" s="62">
        <f ca="1">AVERAGE(OFFSET($BH$3,0,0,'Données projet'!$E$11+1,1))-AVERAGE(OFFSET($H$3,0,0,'Données projet'!$E$11+1,1))</f>
        <v>295.83974441964551</v>
      </c>
      <c r="BJ67" s="62">
        <f t="shared" si="38"/>
        <v>212.24900914818096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1.8564288592260185</v>
      </c>
      <c r="BR67" s="23">
        <f>EXP(-LN(2)/2)*BR66+(1-EXP(-LN(2)/2))/(LN(2)/2)*BL67*BO67*VLOOKUP('Données projet'!$B$11,Paramètres!$A$1:$I$89,3,0)*0.475*44/12</f>
        <v>4.7274421133064682E-5</v>
      </c>
      <c r="BS67" s="24">
        <f t="shared" si="9"/>
        <v>1.8564761336471516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-1.1368683772161603E-13</v>
      </c>
      <c r="O68" s="14">
        <f>N68*VLOOKUP('Données projet'!$B$9,Paramètres!$A$1:$I$89,3,0)*VLOOKUP('Données projet'!$B$9,Paramètres!$A$1:$I$89,5,0)</f>
        <v>-5.3205440053716299E-14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193.05670375142864</v>
      </c>
      <c r="T68" s="62">
        <f t="shared" si="34"/>
        <v>259.12914184994344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8.6411880433684818</v>
      </c>
      <c r="AA68" s="23">
        <f>EXP(-LN(2)/25)*AA67+(1-EXP(-LN(2)/25))/(LN(2)/25)*Calculateur!V68*Calculateur!X68*VLOOKUP('Données projet'!$B$9,Paramètres!$A$1:$I$89,3,0)*0.475*44/12</f>
        <v>2.3563899031043372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10.99757794647282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700</v>
      </c>
      <c r="AG68" s="13">
        <f>VLOOKUP(A68,'Données projet'!$A$61:$I$81,9,0)</f>
        <v>14.8</v>
      </c>
      <c r="AH68" s="13">
        <f t="array" ref="AH68">INDEX(AG:AG,MIN(IF(ISNUMBER(AG68:AG264),ROW(AG68:AG264),"")))</f>
        <v>14.8</v>
      </c>
      <c r="AI68" s="14">
        <f>IF('Données projet'!$A$62&gt;35,AI67+AH68-AQ67,IF(A68&lt;'Données projet'!$A$62,$AF$205^A68,IF(A68='Données projet'!$A$62,'Données projet'!$B$62,AI67+AH68-AQ67)))</f>
        <v>699.99999999999955</v>
      </c>
      <c r="AJ68" s="14">
        <f>AI68*VLOOKUP('Données projet'!$B$10,Paramètres!$A$1:$I$89,3,0)*VLOOKUP('Données projet'!$B$10,Paramètres!$A$1:$I$89,5,0)</f>
        <v>391.29999999999973</v>
      </c>
      <c r="AK68" s="14">
        <f t="shared" si="35"/>
        <v>90.010622758534623</v>
      </c>
      <c r="AL68" s="22">
        <f t="shared" ref="AL68:AL131" si="58">(AJ68+AK68)*0.475*44/12</f>
        <v>838.28266797111394</v>
      </c>
      <c r="AM68" s="62">
        <f t="shared" ref="AM68:AM131" si="59">AL68+(AD68+AE68)*44/12</f>
        <v>1131.6160013044473</v>
      </c>
      <c r="AN68" s="62">
        <f ca="1">AVERAGE(OFFSET($AM$3,0,0,'Données projet'!$E$10+1,1))-AVERAGE(OFFSET($H$3,0,0,'Données projet'!$E$10+1,1))</f>
        <v>512.21337090113502</v>
      </c>
      <c r="AO68" s="62">
        <f t="shared" si="36"/>
        <v>621.03633124474163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54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3.0289206983859356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1.3369488681358498E-4</v>
      </c>
      <c r="AX68" s="23">
        <f t="shared" ref="AX68:AX131" si="60">SUM(AU68:AW68)</f>
        <v>3.0290543932727494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14.3</v>
      </c>
      <c r="BD68" s="13">
        <f>IF('Données projet'!$A$88&gt;35,BD67+BC68-BL67,IF(A68&lt;'Données projet'!$A$88,$BA$205^A68,IF(A68='Données projet'!$A$88,'Données projet'!$B$88,BD67+BC68-BL67)))</f>
        <v>376.50000000000006</v>
      </c>
      <c r="BE68" s="14">
        <f>BD68*VLOOKUP('Données projet'!$B$11,Paramètres!$A$1:$I$89,3,0)*VLOOKUP('Données projet'!$B$11,Paramètres!$A$1:$I$89,5,0)</f>
        <v>225.14700000000005</v>
      </c>
      <c r="BF68" s="14">
        <f t="shared" si="37"/>
        <v>55.232050634645063</v>
      </c>
      <c r="BG68" s="22">
        <f t="shared" ref="BG68:BG131" si="61">(BE68+BF68)*0.475*44/12</f>
        <v>488.32684652200686</v>
      </c>
      <c r="BH68" s="62">
        <f t="shared" ref="BH68:BH131" si="62">BG68+(AY68+AZ68)*44/12</f>
        <v>781.66017985534017</v>
      </c>
      <c r="BI68" s="62">
        <f ca="1">AVERAGE(OFFSET($BH$3,0,0,'Données projet'!$E$11+1,1))-AVERAGE(OFFSET($H$3,0,0,'Données projet'!$E$11+1,1))</f>
        <v>295.83974441964551</v>
      </c>
      <c r="BJ68" s="62">
        <f t="shared" si="38"/>
        <v>212.24900914818096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1.8056647144451323</v>
      </c>
      <c r="BR68" s="23">
        <f>EXP(-LN(2)/2)*BR67+(1-EXP(-LN(2)/2))/(LN(2)/2)*BL68*BO68*VLOOKUP('Données projet'!$B$11,Paramètres!$A$1:$I$89,3,0)*0.475*44/12</f>
        <v>3.3428063759858666E-5</v>
      </c>
      <c r="BS68" s="24">
        <f t="shared" ref="BS68:BS131" si="63">SUM(BP68:BR68)</f>
        <v>1.8056981425088923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-1.1368683772161603E-13</v>
      </c>
      <c r="O69" s="14">
        <f>N69*VLOOKUP('Données projet'!$B$9,Paramètres!$A$1:$I$89,3,0)*VLOOKUP('Données projet'!$B$9,Paramètres!$A$1:$I$89,5,0)</f>
        <v>-5.3205440053716299E-14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193.05670375142864</v>
      </c>
      <c r="T69" s="62">
        <f t="shared" ref="T69:T132" si="88">$T$3</f>
        <v>259.12914184994344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8.4717396164423029</v>
      </c>
      <c r="AA69" s="23">
        <f>EXP(-LN(2)/25)*AA68+(1-EXP(-LN(2)/25))/(LN(2)/25)*Calculateur!V69*Calculateur!X69*VLOOKUP('Données projet'!$B$9,Paramètres!$A$1:$I$89,3,0)*0.475*44/12</f>
        <v>2.2919542972867895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10.763693913729092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645.99999999999955</v>
      </c>
      <c r="AJ69" s="14">
        <f>AI69*VLOOKUP('Données projet'!$B$10,Paramètres!$A$1:$I$89,3,0)*VLOOKUP('Données projet'!$B$10,Paramètres!$A$1:$I$89,5,0)</f>
        <v>361.11399999999975</v>
      </c>
      <c r="AK69" s="14">
        <f t="shared" ref="AK69:AK132" si="89">EXP(-1.0587+0.8836*LN(AJ69)+0.284)</f>
        <v>83.846819063373673</v>
      </c>
      <c r="AL69" s="22">
        <f t="shared" si="58"/>
        <v>774.97342653537532</v>
      </c>
      <c r="AM69" s="62">
        <f t="shared" si="59"/>
        <v>1068.3067598687087</v>
      </c>
      <c r="AN69" s="62">
        <f ca="1">AVERAGE(OFFSET($AM$3,0,0,'Données projet'!$E$10+1,1))-AVERAGE(OFFSET($H$3,0,0,'Données projet'!$E$10+1,1))</f>
        <v>512.21337090113502</v>
      </c>
      <c r="AO69" s="62">
        <f t="shared" ref="AO69:AO132" si="90">$AO$3</f>
        <v>621.03633124474163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2.9695254109497919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9.4536561075853873E-5</v>
      </c>
      <c r="AX69" s="23">
        <f t="shared" si="60"/>
        <v>2.9696199475108678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14.3</v>
      </c>
      <c r="BD69" s="13">
        <f>IF('Données projet'!$A$88&gt;35,BD68+BC69-BL68,IF(A69&lt;'Données projet'!$A$88,$BA$205^A69,IF(A69='Données projet'!$A$88,'Données projet'!$B$88,BD68+BC69-BL68)))</f>
        <v>390.80000000000007</v>
      </c>
      <c r="BE69" s="14">
        <f>BD69*VLOOKUP('Données projet'!$B$11,Paramètres!$A$1:$I$89,3,0)*VLOOKUP('Données projet'!$B$11,Paramètres!$A$1:$I$89,5,0)</f>
        <v>233.69840000000005</v>
      </c>
      <c r="BF69" s="14">
        <f t="shared" ref="BF69:BF132" si="91">EXP(-1.0587+0.8836*LN(BE69)+0.284)</f>
        <v>57.081618134454175</v>
      </c>
      <c r="BG69" s="22">
        <f t="shared" si="61"/>
        <v>506.44186491750776</v>
      </c>
      <c r="BH69" s="62">
        <f t="shared" si="62"/>
        <v>799.77519825084107</v>
      </c>
      <c r="BI69" s="62">
        <f ca="1">AVERAGE(OFFSET($BH$3,0,0,'Données projet'!$E$11+1,1))-AVERAGE(OFFSET($H$3,0,0,'Données projet'!$E$11+1,1))</f>
        <v>295.83974441964551</v>
      </c>
      <c r="BJ69" s="62">
        <f t="shared" ref="BJ69:BJ132" si="92">$BJ$3</f>
        <v>212.24900914818096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1.7562887178728497</v>
      </c>
      <c r="BR69" s="23">
        <f>EXP(-LN(2)/2)*BR68+(1-EXP(-LN(2)/2))/(LN(2)/2)*BL69*BO69*VLOOKUP('Données projet'!$B$11,Paramètres!$A$1:$I$89,3,0)*0.475*44/12</f>
        <v>2.3637210566532341E-5</v>
      </c>
      <c r="BS69" s="24">
        <f t="shared" si="63"/>
        <v>1.7563123550834163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-1.1368683772161603E-13</v>
      </c>
      <c r="O70" s="14">
        <f>N70*VLOOKUP('Données projet'!$B$9,Paramètres!$A$1:$I$89,3,0)*VLOOKUP('Données projet'!$B$9,Paramètres!$A$1:$I$89,5,0)</f>
        <v>-5.3205440053716299E-14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193.05670375142864</v>
      </c>
      <c r="T70" s="62">
        <f t="shared" si="88"/>
        <v>259.12914184994344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8.3056139698148126</v>
      </c>
      <c r="AA70" s="23">
        <f>EXP(-LN(2)/25)*AA69+(1-EXP(-LN(2)/25))/(LN(2)/25)*Calculateur!V70*Calculateur!X70*VLOOKUP('Données projet'!$B$9,Paramètres!$A$1:$I$89,3,0)*0.475*44/12</f>
        <v>2.2292806864988441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10.534894656313657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645.99999999999955</v>
      </c>
      <c r="AJ70" s="14">
        <f>AI70*VLOOKUP('Données projet'!$B$10,Paramètres!$A$1:$I$89,3,0)*VLOOKUP('Données projet'!$B$10,Paramètres!$A$1:$I$89,5,0)</f>
        <v>361.11399999999975</v>
      </c>
      <c r="AK70" s="14">
        <f t="shared" si="89"/>
        <v>83.846819063373673</v>
      </c>
      <c r="AL70" s="22">
        <f t="shared" si="58"/>
        <v>774.97342653537532</v>
      </c>
      <c r="AM70" s="62">
        <f t="shared" si="59"/>
        <v>1068.3067598687087</v>
      </c>
      <c r="AN70" s="62">
        <f ca="1">AVERAGE(OFFSET($AM$3,0,0,'Données projet'!$E$10+1,1))-AVERAGE(OFFSET($H$3,0,0,'Données projet'!$E$10+1,1))</f>
        <v>512.21337090113502</v>
      </c>
      <c r="AO70" s="62">
        <f t="shared" si="90"/>
        <v>621.03633124474163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2.9112948288727227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6.684744340679249E-5</v>
      </c>
      <c r="AX70" s="23">
        <f t="shared" si="60"/>
        <v>2.9113616763161296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14.3</v>
      </c>
      <c r="BD70" s="13">
        <f>IF('Données projet'!$A$88&gt;35,BD69+BC70-BL69,IF(A70&lt;'Données projet'!$A$88,$BA$205^A70,IF(A70='Données projet'!$A$88,'Données projet'!$B$88,BD69+BC70-BL69)))</f>
        <v>405.10000000000008</v>
      </c>
      <c r="BE70" s="14">
        <f>BD70*VLOOKUP('Données projet'!$B$11,Paramètres!$A$1:$I$89,3,0)*VLOOKUP('Données projet'!$B$11,Paramètres!$A$1:$I$89,5,0)</f>
        <v>242.24980000000005</v>
      </c>
      <c r="BF70" s="14">
        <f t="shared" si="91"/>
        <v>58.923322739321947</v>
      </c>
      <c r="BG70" s="22">
        <f t="shared" si="61"/>
        <v>524.54318877098581</v>
      </c>
      <c r="BH70" s="62">
        <f t="shared" si="62"/>
        <v>817.87652210431906</v>
      </c>
      <c r="BI70" s="62">
        <f ca="1">AVERAGE(OFFSET($BH$3,0,0,'Données projet'!$E$11+1,1))-AVERAGE(OFFSET($H$3,0,0,'Données projet'!$E$11+1,1))</f>
        <v>295.83974441964551</v>
      </c>
      <c r="BJ70" s="62">
        <f t="shared" si="92"/>
        <v>212.24900914818096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1.7082629105234071</v>
      </c>
      <c r="BR70" s="23">
        <f>EXP(-LN(2)/2)*BR69+(1-EXP(-LN(2)/2))/(LN(2)/2)*BL70*BO70*VLOOKUP('Données projet'!$B$11,Paramètres!$A$1:$I$89,3,0)*0.475*44/12</f>
        <v>1.6714031879929333E-5</v>
      </c>
      <c r="BS70" s="24">
        <f t="shared" si="63"/>
        <v>1.7082796245552869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-1.1368683772161603E-13</v>
      </c>
      <c r="O71" s="14">
        <f>N71*VLOOKUP('Données projet'!$B$9,Paramètres!$A$1:$I$89,3,0)*VLOOKUP('Données projet'!$B$9,Paramètres!$A$1:$I$89,5,0)</f>
        <v>-5.3205440053716299E-14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193.05670375142864</v>
      </c>
      <c r="T71" s="62">
        <f t="shared" si="88"/>
        <v>259.12914184994344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8.1427459457910469</v>
      </c>
      <c r="AA71" s="23">
        <f>EXP(-LN(2)/25)*AA70+(1-EXP(-LN(2)/25))/(LN(2)/25)*Calculateur!V71*Calculateur!X71*VLOOKUP('Données projet'!$B$9,Paramètres!$A$1:$I$89,3,0)*0.475*44/12</f>
        <v>2.1683208888937568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10.311066834684803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645.99999999999955</v>
      </c>
      <c r="AJ71" s="14">
        <f>AI71*VLOOKUP('Données projet'!$B$10,Paramètres!$A$1:$I$89,3,0)*VLOOKUP('Données projet'!$B$10,Paramètres!$A$1:$I$89,5,0)</f>
        <v>361.11399999999975</v>
      </c>
      <c r="AK71" s="14">
        <f t="shared" si="89"/>
        <v>83.846819063373673</v>
      </c>
      <c r="AL71" s="22">
        <f t="shared" si="58"/>
        <v>774.97342653537532</v>
      </c>
      <c r="AM71" s="62">
        <f t="shared" si="59"/>
        <v>1068.3067598687087</v>
      </c>
      <c r="AN71" s="62">
        <f ca="1">AVERAGE(OFFSET($AM$3,0,0,'Données projet'!$E$10+1,1))-AVERAGE(OFFSET($H$3,0,0,'Données projet'!$E$10+1,1))</f>
        <v>512.21337090113502</v>
      </c>
      <c r="AO71" s="62">
        <f t="shared" si="90"/>
        <v>621.03633124474163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2.8542061129930372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4.7268280537926936E-5</v>
      </c>
      <c r="AX71" s="23">
        <f t="shared" si="60"/>
        <v>2.8542533812735753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14.3</v>
      </c>
      <c r="BD71" s="13">
        <f>IF('Données projet'!$A$88&gt;35,BD70+BC71-BL70,IF(A71&lt;'Données projet'!$A$88,$BA$205^A71,IF(A71='Données projet'!$A$88,'Données projet'!$B$88,BD70+BC71-BL70)))</f>
        <v>419.40000000000009</v>
      </c>
      <c r="BE71" s="14">
        <f>BD71*VLOOKUP('Données projet'!$B$11,Paramètres!$A$1:$I$89,3,0)*VLOOKUP('Données projet'!$B$11,Paramètres!$A$1:$I$89,5,0)</f>
        <v>250.80120000000008</v>
      </c>
      <c r="BF71" s="14">
        <f t="shared" si="91"/>
        <v>60.757473811682686</v>
      </c>
      <c r="BG71" s="22">
        <f t="shared" si="61"/>
        <v>542.63135688868078</v>
      </c>
      <c r="BH71" s="62">
        <f t="shared" si="62"/>
        <v>835.96469022201404</v>
      </c>
      <c r="BI71" s="62">
        <f ca="1">AVERAGE(OFFSET($BH$3,0,0,'Données projet'!$E$11+1,1))-AVERAGE(OFFSET($H$3,0,0,'Données projet'!$E$11+1,1))</f>
        <v>295.83974441964551</v>
      </c>
      <c r="BJ71" s="62">
        <f t="shared" si="92"/>
        <v>212.24900914818096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1.6615503714015023</v>
      </c>
      <c r="BR71" s="23">
        <f>EXP(-LN(2)/2)*BR70+(1-EXP(-LN(2)/2))/(LN(2)/2)*BL71*BO71*VLOOKUP('Données projet'!$B$11,Paramètres!$A$1:$I$89,3,0)*0.475*44/12</f>
        <v>1.181860528326617E-5</v>
      </c>
      <c r="BS71" s="24">
        <f t="shared" si="63"/>
        <v>1.6615621900067856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-1.1368683772161603E-13</v>
      </c>
      <c r="O72" s="14">
        <f>N72*VLOOKUP('Données projet'!$B$9,Paramètres!$A$1:$I$89,3,0)*VLOOKUP('Données projet'!$B$9,Paramètres!$A$1:$I$89,5,0)</f>
        <v>-5.3205440053716299E-14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193.05670375142864</v>
      </c>
      <c r="T72" s="62">
        <f t="shared" si="88"/>
        <v>259.12914184994344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7.9830716643787021</v>
      </c>
      <c r="AA72" s="23">
        <f>EXP(-LN(2)/25)*AA71+(1-EXP(-LN(2)/25))/(LN(2)/25)*Calculateur!V72*Calculateur!X72*VLOOKUP('Données projet'!$B$9,Paramètres!$A$1:$I$89,3,0)*0.475*44/12</f>
        <v>2.1090280401599171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10.092099704538619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645.99999999999955</v>
      </c>
      <c r="AJ72" s="14">
        <f>AI72*VLOOKUP('Données projet'!$B$10,Paramètres!$A$1:$I$89,3,0)*VLOOKUP('Données projet'!$B$10,Paramètres!$A$1:$I$89,5,0)</f>
        <v>361.11399999999975</v>
      </c>
      <c r="AK72" s="14">
        <f t="shared" si="89"/>
        <v>83.846819063373673</v>
      </c>
      <c r="AL72" s="22">
        <f t="shared" si="58"/>
        <v>774.97342653537532</v>
      </c>
      <c r="AM72" s="62">
        <f t="shared" si="59"/>
        <v>1068.3067598687087</v>
      </c>
      <c r="AN72" s="62">
        <f ca="1">AVERAGE(OFFSET($AM$3,0,0,'Données projet'!$E$10+1,1))-AVERAGE(OFFSET($H$3,0,0,'Données projet'!$E$10+1,1))</f>
        <v>512.21337090113502</v>
      </c>
      <c r="AO72" s="62">
        <f t="shared" si="90"/>
        <v>621.03633124474163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2.7982368720110737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3.3423721703396245E-5</v>
      </c>
      <c r="AX72" s="23">
        <f t="shared" si="60"/>
        <v>2.798270295732777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14.3</v>
      </c>
      <c r="BD72" s="13">
        <f>IF('Données projet'!$A$88&gt;35,BD71+BC72-BL71,IF(A72&lt;'Données projet'!$A$88,$BA$205^A72,IF(A72='Données projet'!$A$88,'Données projet'!$B$88,BD71+BC72-BL71)))</f>
        <v>433.7000000000001</v>
      </c>
      <c r="BE72" s="14">
        <f>BD72*VLOOKUP('Données projet'!$B$11,Paramètres!$A$1:$I$89,3,0)*VLOOKUP('Données projet'!$B$11,Paramètres!$A$1:$I$89,5,0)</f>
        <v>259.35260000000011</v>
      </c>
      <c r="BF72" s="14">
        <f t="shared" si="91"/>
        <v>62.58435842101963</v>
      </c>
      <c r="BG72" s="22">
        <f t="shared" si="61"/>
        <v>560.70686924994277</v>
      </c>
      <c r="BH72" s="62">
        <f t="shared" si="62"/>
        <v>854.04020258327614</v>
      </c>
      <c r="BI72" s="62">
        <f ca="1">AVERAGE(OFFSET($BH$3,0,0,'Données projet'!$E$11+1,1))-AVERAGE(OFFSET($H$3,0,0,'Données projet'!$E$11+1,1))</f>
        <v>295.83974441964551</v>
      </c>
      <c r="BJ72" s="62">
        <f t="shared" si="92"/>
        <v>212.24900914818096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1.6161151891183918</v>
      </c>
      <c r="BR72" s="23">
        <f>EXP(-LN(2)/2)*BR71+(1-EXP(-LN(2)/2))/(LN(2)/2)*BL72*BO72*VLOOKUP('Données projet'!$B$11,Paramètres!$A$1:$I$89,3,0)*0.475*44/12</f>
        <v>8.3570159399646664E-6</v>
      </c>
      <c r="BS72" s="24">
        <f t="shared" si="63"/>
        <v>1.6161235461343317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-1.1368683772161603E-13</v>
      </c>
      <c r="O73" s="14">
        <f>N73*VLOOKUP('Données projet'!$B$9,Paramètres!$A$1:$I$89,3,0)*VLOOKUP('Données projet'!$B$9,Paramètres!$A$1:$I$89,5,0)</f>
        <v>-5.3205440053716299E-14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193.05670375142864</v>
      </c>
      <c r="T73" s="62">
        <f t="shared" si="88"/>
        <v>259.12914184994344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7.8265284982331584</v>
      </c>
      <c r="AA73" s="23">
        <f>EXP(-LN(2)/25)*AA72+(1-EXP(-LN(2)/25))/(LN(2)/25)*Calculateur!V73*Calculateur!X73*VLOOKUP('Données projet'!$B$9,Paramètres!$A$1:$I$89,3,0)*0.475*44/12</f>
        <v>2.0513565574927797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9.8778850557259386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645.99999999999955</v>
      </c>
      <c r="AJ73" s="14">
        <f>AI73*VLOOKUP('Données projet'!$B$10,Paramètres!$A$1:$I$89,3,0)*VLOOKUP('Données projet'!$B$10,Paramètres!$A$1:$I$89,5,0)</f>
        <v>361.11399999999975</v>
      </c>
      <c r="AK73" s="14">
        <f t="shared" si="89"/>
        <v>83.846819063373673</v>
      </c>
      <c r="AL73" s="22">
        <f t="shared" si="58"/>
        <v>774.97342653537532</v>
      </c>
      <c r="AM73" s="62">
        <f t="shared" si="59"/>
        <v>1068.3067598687087</v>
      </c>
      <c r="AN73" s="62">
        <f ca="1">AVERAGE(OFFSET($AM$3,0,0,'Données projet'!$E$10+1,1))-AVERAGE(OFFSET($H$3,0,0,'Données projet'!$E$10+1,1))</f>
        <v>512.21337090113502</v>
      </c>
      <c r="AO73" s="62">
        <f t="shared" si="90"/>
        <v>621.03633124474163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2.7433651537069004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2.3634140268963468E-5</v>
      </c>
      <c r="AX73" s="23">
        <f t="shared" si="60"/>
        <v>2.7433887878471692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448</v>
      </c>
      <c r="BB73" s="13">
        <f>VLOOKUP(A73,'Données projet'!$A$87:$I$107,9,0)</f>
        <v>14.3</v>
      </c>
      <c r="BC73" s="13">
        <f t="array" ref="BC73">INDEX(BB:BB,MIN(IF(ISNUMBER(BB73:BB269),ROW(BB73:BB269),"")))</f>
        <v>14.3</v>
      </c>
      <c r="BD73" s="13">
        <f>IF('Données projet'!$A$88&gt;35,BD72+BC73-BL72,IF(A73&lt;'Données projet'!$A$88,$BA$205^A73,IF(A73='Données projet'!$A$88,'Données projet'!$B$88,BD72+BC73-BL72)))</f>
        <v>448.00000000000011</v>
      </c>
      <c r="BE73" s="14">
        <f>BD73*VLOOKUP('Données projet'!$B$11,Paramètres!$A$1:$I$89,3,0)*VLOOKUP('Données projet'!$B$11,Paramètres!$A$1:$I$89,5,0)</f>
        <v>267.90400000000011</v>
      </c>
      <c r="BF73" s="14">
        <f t="shared" si="91"/>
        <v>64.404243631863267</v>
      </c>
      <c r="BG73" s="22">
        <f t="shared" si="61"/>
        <v>578.77019099216204</v>
      </c>
      <c r="BH73" s="62">
        <f t="shared" si="62"/>
        <v>872.1035243254953</v>
      </c>
      <c r="BI73" s="62">
        <f ca="1">AVERAGE(OFFSET($BH$3,0,0,'Données projet'!$E$11+1,1))-AVERAGE(OFFSET($H$3,0,0,'Données projet'!$E$11+1,1))</f>
        <v>295.83974441964551</v>
      </c>
      <c r="BJ73" s="62">
        <f t="shared" si="92"/>
        <v>212.24900914818096</v>
      </c>
      <c r="BK73" s="16">
        <f>IF(ISNA(VLOOKUP(A73,'Données projet'!$A$87:$I$107,3,0)),0,VLOOKUP(A73,'Données projet'!$A$87:$I$107,3,0))</f>
        <v>7</v>
      </c>
      <c r="BL73" s="16">
        <f>IF(ISNA(VLOOKUP(A73,'Données projet'!$A$87:$I$107,4,0)),0,VLOOKUP(A73,'Données projet'!$A$87:$I$107,4,0))</f>
        <v>78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1.5719224342841454</v>
      </c>
      <c r="BR73" s="23">
        <f>EXP(-LN(2)/2)*BR72+(1-EXP(-LN(2)/2))/(LN(2)/2)*BL73*BO73*VLOOKUP('Données projet'!$B$11,Paramètres!$A$1:$I$89,3,0)*0.475*44/12</f>
        <v>5.9093026416330852E-6</v>
      </c>
      <c r="BS73" s="24">
        <f t="shared" si="63"/>
        <v>1.571928343586787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-1.1368683772161603E-13</v>
      </c>
      <c r="O74" s="14">
        <f>N74*VLOOKUP('Données projet'!$B$9,Paramètres!$A$1:$I$89,3,0)*VLOOKUP('Données projet'!$B$9,Paramètres!$A$1:$I$89,5,0)</f>
        <v>-5.3205440053716299E-14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193.05670375142864</v>
      </c>
      <c r="T74" s="62">
        <f t="shared" si="88"/>
        <v>259.12914184994344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7.6730550480938255</v>
      </c>
      <c r="AA74" s="23">
        <f>EXP(-LN(2)/25)*AA73+(1-EXP(-LN(2)/25))/(LN(2)/25)*Calculateur!V74*Calculateur!X74*VLOOKUP('Données projet'!$B$9,Paramètres!$A$1:$I$89,3,0)*0.475*44/12</f>
        <v>1.9952621045519867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9.6683171526458125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645.99999999999955</v>
      </c>
      <c r="AJ74" s="14">
        <f>AI74*VLOOKUP('Données projet'!$B$10,Paramètres!$A$1:$I$89,3,0)*VLOOKUP('Données projet'!$B$10,Paramètres!$A$1:$I$89,5,0)</f>
        <v>361.11399999999975</v>
      </c>
      <c r="AK74" s="14">
        <f t="shared" si="89"/>
        <v>83.846819063373673</v>
      </c>
      <c r="AL74" s="22">
        <f t="shared" si="58"/>
        <v>774.97342653537532</v>
      </c>
      <c r="AM74" s="62">
        <f t="shared" si="59"/>
        <v>1068.3067598687087</v>
      </c>
      <c r="AN74" s="62">
        <f ca="1">AVERAGE(OFFSET($AM$3,0,0,'Données projet'!$E$10+1,1))-AVERAGE(OFFSET($H$3,0,0,'Données projet'!$E$10+1,1))</f>
        <v>512.21337090113502</v>
      </c>
      <c r="AO74" s="62">
        <f t="shared" si="90"/>
        <v>621.03633124474163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2.6895694363302285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1.6711860851698122E-5</v>
      </c>
      <c r="AX74" s="23">
        <f t="shared" si="60"/>
        <v>2.6895861481910801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9</v>
      </c>
      <c r="BD74" s="13">
        <f>IF('Données projet'!$A$88&gt;35,BD73+BC74-BL73,IF(A74&lt;'Données projet'!$A$88,$BA$205^A74,IF(A74='Données projet'!$A$88,'Données projet'!$B$88,BD73+BC74-BL73)))</f>
        <v>379.00000000000011</v>
      </c>
      <c r="BE74" s="14">
        <f>BD74*VLOOKUP('Données projet'!$B$11,Paramètres!$A$1:$I$89,3,0)*VLOOKUP('Données projet'!$B$11,Paramètres!$A$1:$I$89,5,0)</f>
        <v>226.64200000000008</v>
      </c>
      <c r="BF74" s="14">
        <f t="shared" si="91"/>
        <v>55.555983079812862</v>
      </c>
      <c r="BG74" s="22">
        <f t="shared" si="61"/>
        <v>491.49482053067413</v>
      </c>
      <c r="BH74" s="62">
        <f t="shared" si="62"/>
        <v>784.82815386400739</v>
      </c>
      <c r="BI74" s="62">
        <f ca="1">AVERAGE(OFFSET($BH$3,0,0,'Données projet'!$E$11+1,1))-AVERAGE(OFFSET($H$3,0,0,'Données projet'!$E$11+1,1))</f>
        <v>295.83974441964551</v>
      </c>
      <c r="BJ74" s="62">
        <f t="shared" si="92"/>
        <v>212.24900914818096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1.5289381326548372</v>
      </c>
      <c r="BR74" s="23">
        <f>EXP(-LN(2)/2)*BR73+(1-EXP(-LN(2)/2))/(LN(2)/2)*BL74*BO74*VLOOKUP('Données projet'!$B$11,Paramètres!$A$1:$I$89,3,0)*0.475*44/12</f>
        <v>4.1785079699823332E-6</v>
      </c>
      <c r="BS74" s="24">
        <f t="shared" si="63"/>
        <v>1.5289423111628073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-1.1368683772161603E-13</v>
      </c>
      <c r="O75" s="14">
        <f>N75*VLOOKUP('Données projet'!$B$9,Paramètres!$A$1:$I$89,3,0)*VLOOKUP('Données projet'!$B$9,Paramètres!$A$1:$I$89,5,0)</f>
        <v>-5.3205440053716299E-14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193.05670375142864</v>
      </c>
      <c r="T75" s="62">
        <f t="shared" si="88"/>
        <v>259.12914184994344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7.522591118702163</v>
      </c>
      <c r="AA75" s="23">
        <f>EXP(-LN(2)/25)*AA74+(1-EXP(-LN(2)/25))/(LN(2)/25)*Calculateur!V75*Calculateur!X75*VLOOKUP('Données projet'!$B$9,Paramètres!$A$1:$I$89,3,0)*0.475*44/12</f>
        <v>1.9407015573767388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9.4632926760789022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645.99999999999955</v>
      </c>
      <c r="AJ75" s="14">
        <f>AI75*VLOOKUP('Données projet'!$B$10,Paramètres!$A$1:$I$89,3,0)*VLOOKUP('Données projet'!$B$10,Paramètres!$A$1:$I$89,5,0)</f>
        <v>361.11399999999975</v>
      </c>
      <c r="AK75" s="14">
        <f t="shared" si="89"/>
        <v>83.846819063373673</v>
      </c>
      <c r="AL75" s="22">
        <f t="shared" si="58"/>
        <v>774.97342653537532</v>
      </c>
      <c r="AM75" s="62">
        <f t="shared" si="59"/>
        <v>1068.3067598687087</v>
      </c>
      <c r="AN75" s="62">
        <f ca="1">AVERAGE(OFFSET($AM$3,0,0,'Données projet'!$E$10+1,1))-AVERAGE(OFFSET($H$3,0,0,'Données projet'!$E$10+1,1))</f>
        <v>512.21337090113502</v>
      </c>
      <c r="AO75" s="62">
        <f t="shared" si="90"/>
        <v>621.03633124474163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2.6368286201591653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1.1817070134481734E-5</v>
      </c>
      <c r="AX75" s="23">
        <f t="shared" si="60"/>
        <v>2.6368404372292997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9</v>
      </c>
      <c r="BD75" s="13">
        <f>IF('Données projet'!$A$88&gt;35,BD74+BC75-BL74,IF(A75&lt;'Données projet'!$A$88,$BA$205^A75,IF(A75='Données projet'!$A$88,'Données projet'!$B$88,BD74+BC75-BL74)))</f>
        <v>388.00000000000011</v>
      </c>
      <c r="BE75" s="14">
        <f>BD75*VLOOKUP('Données projet'!$B$11,Paramètres!$A$1:$I$89,3,0)*VLOOKUP('Données projet'!$B$11,Paramètres!$A$1:$I$89,5,0)</f>
        <v>232.02400000000006</v>
      </c>
      <c r="BF75" s="14">
        <f t="shared" si="91"/>
        <v>56.720094243161071</v>
      </c>
      <c r="BG75" s="22">
        <f t="shared" si="61"/>
        <v>502.89596414017234</v>
      </c>
      <c r="BH75" s="62">
        <f t="shared" si="62"/>
        <v>796.22929747350565</v>
      </c>
      <c r="BI75" s="62">
        <f ca="1">AVERAGE(OFFSET($BH$3,0,0,'Données projet'!$E$11+1,1))-AVERAGE(OFFSET($H$3,0,0,'Données projet'!$E$11+1,1))</f>
        <v>295.83974441964551</v>
      </c>
      <c r="BJ75" s="62">
        <f t="shared" si="92"/>
        <v>212.24900914818096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1.4871292390140287</v>
      </c>
      <c r="BR75" s="23">
        <f>EXP(-LN(2)/2)*BR74+(1-EXP(-LN(2)/2))/(LN(2)/2)*BL75*BO75*VLOOKUP('Données projet'!$B$11,Paramètres!$A$1:$I$89,3,0)*0.475*44/12</f>
        <v>2.9546513208165426E-6</v>
      </c>
      <c r="BS75" s="24">
        <f t="shared" si="63"/>
        <v>1.4871321936653494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-1.1368683772161603E-13</v>
      </c>
      <c r="O76" s="14">
        <f>N76*VLOOKUP('Données projet'!$B$9,Paramètres!$A$1:$I$89,3,0)*VLOOKUP('Données projet'!$B$9,Paramètres!$A$1:$I$89,5,0)</f>
        <v>-5.3205440053716299E-14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193.05670375142864</v>
      </c>
      <c r="T76" s="62">
        <f t="shared" si="88"/>
        <v>259.12914184994344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7.3750776951919361</v>
      </c>
      <c r="AA76" s="23">
        <f>EXP(-LN(2)/25)*AA75+(1-EXP(-LN(2)/25))/(LN(2)/25)*Calculateur!V76*Calculateur!X76*VLOOKUP('Données projet'!$B$9,Paramètres!$A$1:$I$89,3,0)*0.475*44/12</f>
        <v>1.8876329712332125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9.2627106664251482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645.99999999999955</v>
      </c>
      <c r="AJ76" s="14">
        <f>AI76*VLOOKUP('Données projet'!$B$10,Paramètres!$A$1:$I$89,3,0)*VLOOKUP('Données projet'!$B$10,Paramètres!$A$1:$I$89,5,0)</f>
        <v>361.11399999999975</v>
      </c>
      <c r="AK76" s="14">
        <f t="shared" si="89"/>
        <v>83.846819063373673</v>
      </c>
      <c r="AL76" s="22">
        <f t="shared" si="58"/>
        <v>774.97342653537532</v>
      </c>
      <c r="AM76" s="62">
        <f t="shared" si="59"/>
        <v>1068.3067598687087</v>
      </c>
      <c r="AN76" s="62">
        <f ca="1">AVERAGE(OFFSET($AM$3,0,0,'Données projet'!$E$10+1,1))-AVERAGE(OFFSET($H$3,0,0,'Données projet'!$E$10+1,1))</f>
        <v>512.21337090113502</v>
      </c>
      <c r="AO76" s="62">
        <f t="shared" si="90"/>
        <v>621.03633124474163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2.5851220192244955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8.3559304258490612E-6</v>
      </c>
      <c r="AX76" s="23">
        <f t="shared" si="60"/>
        <v>2.5851303751549213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9</v>
      </c>
      <c r="BD76" s="13">
        <f>IF('Données projet'!$A$88&gt;35,BD75+BC76-BL75,IF(A76&lt;'Données projet'!$A$88,$BA$205^A76,IF(A76='Données projet'!$A$88,'Données projet'!$B$88,BD75+BC76-BL75)))</f>
        <v>397.00000000000011</v>
      </c>
      <c r="BE76" s="14">
        <f>BD76*VLOOKUP('Données projet'!$B$11,Paramètres!$A$1:$I$89,3,0)*VLOOKUP('Données projet'!$B$11,Paramètres!$A$1:$I$89,5,0)</f>
        <v>237.40600000000009</v>
      </c>
      <c r="BF76" s="14">
        <f t="shared" si="91"/>
        <v>57.881066248213493</v>
      </c>
      <c r="BG76" s="22">
        <f t="shared" si="61"/>
        <v>514.29164038230522</v>
      </c>
      <c r="BH76" s="62">
        <f t="shared" si="62"/>
        <v>807.62497371563859</v>
      </c>
      <c r="BI76" s="62">
        <f ca="1">AVERAGE(OFFSET($BH$3,0,0,'Données projet'!$E$11+1,1))-AVERAGE(OFFSET($H$3,0,0,'Données projet'!$E$11+1,1))</f>
        <v>295.83974441964551</v>
      </c>
      <c r="BJ76" s="62">
        <f t="shared" si="92"/>
        <v>212.24900914818096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1.4464636117684624</v>
      </c>
      <c r="BR76" s="23">
        <f>EXP(-LN(2)/2)*BR75+(1-EXP(-LN(2)/2))/(LN(2)/2)*BL76*BO76*VLOOKUP('Données projet'!$B$11,Paramètres!$A$1:$I$89,3,0)*0.475*44/12</f>
        <v>2.0892539849911666E-6</v>
      </c>
      <c r="BS76" s="24">
        <f t="shared" si="63"/>
        <v>1.4464657010224473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-1.1368683772161603E-13</v>
      </c>
      <c r="O77" s="14">
        <f>N77*VLOOKUP('Données projet'!$B$9,Paramètres!$A$1:$I$89,3,0)*VLOOKUP('Données projet'!$B$9,Paramètres!$A$1:$I$89,5,0)</f>
        <v>-5.3205440053716299E-14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193.05670375142864</v>
      </c>
      <c r="T77" s="62">
        <f t="shared" si="88"/>
        <v>259.12914184994344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7.2304569199424407</v>
      </c>
      <c r="AA77" s="23">
        <f>EXP(-LN(2)/25)*AA76+(1-EXP(-LN(2)/25))/(LN(2)/25)*Calculateur!V77*Calculateur!X77*VLOOKUP('Données projet'!$B$9,Paramètres!$A$1:$I$89,3,0)*0.475*44/12</f>
        <v>1.8360155483685365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9.0664724683109768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645.99999999999955</v>
      </c>
      <c r="AJ77" s="14">
        <f>AI77*VLOOKUP('Données projet'!$B$10,Paramètres!$A$1:$I$89,3,0)*VLOOKUP('Données projet'!$B$10,Paramètres!$A$1:$I$89,5,0)</f>
        <v>361.11399999999975</v>
      </c>
      <c r="AK77" s="14">
        <f t="shared" si="89"/>
        <v>83.846819063373673</v>
      </c>
      <c r="AL77" s="22">
        <f t="shared" si="58"/>
        <v>774.97342653537532</v>
      </c>
      <c r="AM77" s="62">
        <f t="shared" si="59"/>
        <v>1068.3067598687087</v>
      </c>
      <c r="AN77" s="62">
        <f ca="1">AVERAGE(OFFSET($AM$3,0,0,'Données projet'!$E$10+1,1))-AVERAGE(OFFSET($H$3,0,0,'Données projet'!$E$10+1,1))</f>
        <v>512.21337090113502</v>
      </c>
      <c r="AO77" s="62">
        <f t="shared" si="90"/>
        <v>621.03633124474163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2.5344293531962419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5.908535067240867E-6</v>
      </c>
      <c r="AX77" s="23">
        <f t="shared" si="60"/>
        <v>2.5344352617313093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9</v>
      </c>
      <c r="BD77" s="13">
        <f>IF('Données projet'!$A$88&gt;35,BD76+BC77-BL76,IF(A77&lt;'Données projet'!$A$88,$BA$205^A77,IF(A77='Données projet'!$A$88,'Données projet'!$B$88,BD76+BC77-BL76)))</f>
        <v>406.00000000000011</v>
      </c>
      <c r="BE77" s="14">
        <f>BD77*VLOOKUP('Données projet'!$B$11,Paramètres!$A$1:$I$89,3,0)*VLOOKUP('Données projet'!$B$11,Paramètres!$A$1:$I$89,5,0)</f>
        <v>242.78800000000007</v>
      </c>
      <c r="BF77" s="14">
        <f t="shared" si="91"/>
        <v>59.038978452354563</v>
      </c>
      <c r="BG77" s="22">
        <f t="shared" si="61"/>
        <v>525.68198747118436</v>
      </c>
      <c r="BH77" s="62">
        <f t="shared" si="62"/>
        <v>819.01532080451761</v>
      </c>
      <c r="BI77" s="62">
        <f ca="1">AVERAGE(OFFSET($BH$3,0,0,'Données projet'!$E$11+1,1))-AVERAGE(OFFSET($H$3,0,0,'Données projet'!$E$11+1,1))</f>
        <v>295.83974441964551</v>
      </c>
      <c r="BJ77" s="62">
        <f t="shared" si="92"/>
        <v>212.24900914818096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1.4069099882384384</v>
      </c>
      <c r="BR77" s="23">
        <f>EXP(-LN(2)/2)*BR76+(1-EXP(-LN(2)/2))/(LN(2)/2)*BL77*BO77*VLOOKUP('Données projet'!$B$11,Paramètres!$A$1:$I$89,3,0)*0.475*44/12</f>
        <v>1.4773256604082713E-6</v>
      </c>
      <c r="BS77" s="24">
        <f t="shared" si="63"/>
        <v>1.4069114655640989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-1.1368683772161603E-13</v>
      </c>
      <c r="O78" s="14">
        <f>N78*VLOOKUP('Données projet'!$B$9,Paramètres!$A$1:$I$89,3,0)*VLOOKUP('Données projet'!$B$9,Paramètres!$A$1:$I$89,5,0)</f>
        <v>-5.3205440053716299E-14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193.05670375142864</v>
      </c>
      <c r="T78" s="62">
        <f t="shared" si="88"/>
        <v>259.12914184994344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7.0886720698856251</v>
      </c>
      <c r="AA78" s="23">
        <f>EXP(-LN(2)/25)*AA77+(1-EXP(-LN(2)/25))/(LN(2)/25)*Calculateur!V78*Calculateur!X78*VLOOKUP('Données projet'!$B$9,Paramètres!$A$1:$I$89,3,0)*0.475*44/12</f>
        <v>1.7858096066465374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8.874481676532163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645.99999999999955</v>
      </c>
      <c r="AJ78" s="14">
        <f>AI78*VLOOKUP('Données projet'!$B$10,Paramètres!$A$1:$I$89,3,0)*VLOOKUP('Données projet'!$B$10,Paramètres!$A$1:$I$89,5,0)</f>
        <v>361.11399999999975</v>
      </c>
      <c r="AK78" s="14">
        <f t="shared" si="89"/>
        <v>83.846819063373673</v>
      </c>
      <c r="AL78" s="22">
        <f t="shared" si="58"/>
        <v>774.97342653537532</v>
      </c>
      <c r="AM78" s="62">
        <f t="shared" si="59"/>
        <v>1068.3067598687087</v>
      </c>
      <c r="AN78" s="62">
        <f ca="1">AVERAGE(OFFSET($AM$3,0,0,'Données projet'!$E$10+1,1))-AVERAGE(OFFSET($H$3,0,0,'Données projet'!$E$10+1,1))</f>
        <v>512.21337090113502</v>
      </c>
      <c r="AO78" s="62">
        <f t="shared" si="90"/>
        <v>621.03633124474163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2.4847307394293292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4.1779652129245306E-6</v>
      </c>
      <c r="AX78" s="23">
        <f t="shared" si="60"/>
        <v>2.4847349173945421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9</v>
      </c>
      <c r="BD78" s="13">
        <f>IF('Données projet'!$A$88&gt;35,BD77+BC78-BL77,IF(A78&lt;'Données projet'!$A$88,$BA$205^A78,IF(A78='Données projet'!$A$88,'Données projet'!$B$88,BD77+BC78-BL77)))</f>
        <v>415.00000000000011</v>
      </c>
      <c r="BE78" s="14">
        <f>BD78*VLOOKUP('Données projet'!$B$11,Paramètres!$A$1:$I$89,3,0)*VLOOKUP('Données projet'!$B$11,Paramètres!$A$1:$I$89,5,0)</f>
        <v>248.1700000000001</v>
      </c>
      <c r="BF78" s="14">
        <f t="shared" si="91"/>
        <v>60.193906493778854</v>
      </c>
      <c r="BG78" s="22">
        <f t="shared" si="61"/>
        <v>537.06713714333159</v>
      </c>
      <c r="BH78" s="62">
        <f t="shared" si="62"/>
        <v>830.40047047666485</v>
      </c>
      <c r="BI78" s="62">
        <f ca="1">AVERAGE(OFFSET($BH$3,0,0,'Données projet'!$E$11+1,1))-AVERAGE(OFFSET($H$3,0,0,'Données projet'!$E$11+1,1))</f>
        <v>295.83974441964551</v>
      </c>
      <c r="BJ78" s="62">
        <f t="shared" si="92"/>
        <v>212.24900914818096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1.3684379606238775</v>
      </c>
      <c r="BR78" s="23">
        <f>EXP(-LN(2)/2)*BR77+(1-EXP(-LN(2)/2))/(LN(2)/2)*BL78*BO78*VLOOKUP('Données projet'!$B$11,Paramètres!$A$1:$I$89,3,0)*0.475*44/12</f>
        <v>1.0446269924955833E-6</v>
      </c>
      <c r="BS78" s="24">
        <f t="shared" si="63"/>
        <v>1.3684390052508699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-1.1368683772161603E-13</v>
      </c>
      <c r="O79" s="14">
        <f>N79*VLOOKUP('Données projet'!$B$9,Paramètres!$A$1:$I$89,3,0)*VLOOKUP('Données projet'!$B$9,Paramètres!$A$1:$I$89,5,0)</f>
        <v>-5.3205440053716299E-14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193.05670375142864</v>
      </c>
      <c r="T79" s="62">
        <f t="shared" si="88"/>
        <v>259.12914184994344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6.9496675342582046</v>
      </c>
      <c r="AA79" s="23">
        <f>EXP(-LN(2)/25)*AA78+(1-EXP(-LN(2)/25))/(LN(2)/25)*Calculateur!V79*Calculateur!X79*VLOOKUP('Données projet'!$B$9,Paramètres!$A$1:$I$89,3,0)*0.475*44/12</f>
        <v>1.7369765490411422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8.6866440832993472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645.99999999999955</v>
      </c>
      <c r="AJ79" s="14">
        <f>AI79*VLOOKUP('Données projet'!$B$10,Paramètres!$A$1:$I$89,3,0)*VLOOKUP('Données projet'!$B$10,Paramètres!$A$1:$I$89,5,0)</f>
        <v>361.11399999999975</v>
      </c>
      <c r="AK79" s="14">
        <f t="shared" si="89"/>
        <v>83.846819063373673</v>
      </c>
      <c r="AL79" s="22">
        <f t="shared" si="58"/>
        <v>774.97342653537532</v>
      </c>
      <c r="AM79" s="62">
        <f t="shared" si="59"/>
        <v>1068.3067598687087</v>
      </c>
      <c r="AN79" s="62">
        <f ca="1">AVERAGE(OFFSET($AM$3,0,0,'Données projet'!$E$10+1,1))-AVERAGE(OFFSET($H$3,0,0,'Données projet'!$E$10+1,1))</f>
        <v>512.21337090113502</v>
      </c>
      <c r="AO79" s="62">
        <f t="shared" si="90"/>
        <v>621.03633124474163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2.4360066851652245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2.9542675336204335E-6</v>
      </c>
      <c r="AX79" s="23">
        <f t="shared" si="60"/>
        <v>2.4360096394327582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9</v>
      </c>
      <c r="BD79" s="13">
        <f>IF('Données projet'!$A$88&gt;35,BD78+BC79-BL78,IF(A79&lt;'Données projet'!$A$88,$BA$205^A79,IF(A79='Données projet'!$A$88,'Données projet'!$B$88,BD78+BC79-BL78)))</f>
        <v>424.00000000000011</v>
      </c>
      <c r="BE79" s="14">
        <f>BD79*VLOOKUP('Données projet'!$B$11,Paramètres!$A$1:$I$89,3,0)*VLOOKUP('Données projet'!$B$11,Paramètres!$A$1:$I$89,5,0)</f>
        <v>253.55200000000008</v>
      </c>
      <c r="BF79" s="14">
        <f t="shared" si="91"/>
        <v>61.345922542613536</v>
      </c>
      <c r="BG79" s="22">
        <f t="shared" si="61"/>
        <v>548.447215095052</v>
      </c>
      <c r="BH79" s="62">
        <f t="shared" si="62"/>
        <v>841.78054842838537</v>
      </c>
      <c r="BI79" s="62">
        <f ca="1">AVERAGE(OFFSET($BH$3,0,0,'Données projet'!$E$11+1,1))-AVERAGE(OFFSET($H$3,0,0,'Données projet'!$E$11+1,1))</f>
        <v>295.83974441964551</v>
      </c>
      <c r="BJ79" s="62">
        <f t="shared" si="92"/>
        <v>212.24900914818096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1.3310179526275927</v>
      </c>
      <c r="BR79" s="23">
        <f>EXP(-LN(2)/2)*BR78+(1-EXP(-LN(2)/2))/(LN(2)/2)*BL79*BO79*VLOOKUP('Données projet'!$B$11,Paramètres!$A$1:$I$89,3,0)*0.475*44/12</f>
        <v>7.3866283020413565E-7</v>
      </c>
      <c r="BS79" s="24">
        <f t="shared" si="63"/>
        <v>1.3310186912904229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-1.1368683772161603E-13</v>
      </c>
      <c r="O80" s="14">
        <f>N80*VLOOKUP('Données projet'!$B$9,Paramètres!$A$1:$I$89,3,0)*VLOOKUP('Données projet'!$B$9,Paramètres!$A$1:$I$89,5,0)</f>
        <v>-5.3205440053716299E-14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193.05670375142864</v>
      </c>
      <c r="T80" s="62">
        <f t="shared" si="88"/>
        <v>259.12914184994344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6.8133887927900423</v>
      </c>
      <c r="AA80" s="23">
        <f>EXP(-LN(2)/25)*AA79+(1-EXP(-LN(2)/25))/(LN(2)/25)*Calculateur!V80*Calculateur!X80*VLOOKUP('Données projet'!$B$9,Paramètres!$A$1:$I$89,3,0)*0.475*44/12</f>
        <v>1.6894788339639852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8.5028676267540284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645.99999999999955</v>
      </c>
      <c r="AJ80" s="14">
        <f>AI80*VLOOKUP('Données projet'!$B$10,Paramètres!$A$1:$I$89,3,0)*VLOOKUP('Données projet'!$B$10,Paramètres!$A$1:$I$89,5,0)</f>
        <v>361.11399999999975</v>
      </c>
      <c r="AK80" s="14">
        <f t="shared" si="89"/>
        <v>83.846819063373673</v>
      </c>
      <c r="AL80" s="22">
        <f t="shared" si="58"/>
        <v>774.97342653537532</v>
      </c>
      <c r="AM80" s="62">
        <f t="shared" si="59"/>
        <v>1068.3067598687087</v>
      </c>
      <c r="AN80" s="62">
        <f ca="1">AVERAGE(OFFSET($AM$3,0,0,'Données projet'!$E$10+1,1))-AVERAGE(OFFSET($H$3,0,0,'Données projet'!$E$10+1,1))</f>
        <v>512.21337090113502</v>
      </c>
      <c r="AO80" s="62">
        <f t="shared" si="90"/>
        <v>621.03633124474163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2.3882380798864999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2.0889826064622653E-6</v>
      </c>
      <c r="AX80" s="23">
        <f t="shared" si="60"/>
        <v>2.3882401688691064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9</v>
      </c>
      <c r="BD80" s="13">
        <f>IF('Données projet'!$A$88&gt;35,BD79+BC80-BL79,IF(A80&lt;'Données projet'!$A$88,$BA$205^A80,IF(A80='Données projet'!$A$88,'Données projet'!$B$88,BD79+BC80-BL79)))</f>
        <v>433.00000000000011</v>
      </c>
      <c r="BE80" s="14">
        <f>BD80*VLOOKUP('Données projet'!$B$11,Paramètres!$A$1:$I$89,3,0)*VLOOKUP('Données projet'!$B$11,Paramètres!$A$1:$I$89,5,0)</f>
        <v>258.93400000000008</v>
      </c>
      <c r="BF80" s="14">
        <f t="shared" si="91"/>
        <v>62.495095530116075</v>
      </c>
      <c r="BG80" s="22">
        <f t="shared" si="61"/>
        <v>559.82234138161891</v>
      </c>
      <c r="BH80" s="62">
        <f t="shared" si="62"/>
        <v>853.15567471495228</v>
      </c>
      <c r="BI80" s="62">
        <f ca="1">AVERAGE(OFFSET($BH$3,0,0,'Données projet'!$E$11+1,1))-AVERAGE(OFFSET($H$3,0,0,'Données projet'!$E$11+1,1))</f>
        <v>295.83974441964551</v>
      </c>
      <c r="BJ80" s="62">
        <f t="shared" si="92"/>
        <v>212.24900914818096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1.2946211967177992</v>
      </c>
      <c r="BR80" s="23">
        <f>EXP(-LN(2)/2)*BR79+(1-EXP(-LN(2)/2))/(LN(2)/2)*BL80*BO80*VLOOKUP('Données projet'!$B$11,Paramètres!$A$1:$I$89,3,0)*0.475*44/12</f>
        <v>5.2231349624779165E-7</v>
      </c>
      <c r="BS80" s="24">
        <f t="shared" si="63"/>
        <v>1.2946217190312954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-1.1368683772161603E-13</v>
      </c>
      <c r="O81" s="14">
        <f>N81*VLOOKUP('Données projet'!$B$9,Paramètres!$A$1:$I$89,3,0)*VLOOKUP('Données projet'!$B$9,Paramètres!$A$1:$I$89,5,0)</f>
        <v>-5.3205440053716299E-14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193.05670375142864</v>
      </c>
      <c r="T81" s="62">
        <f t="shared" si="88"/>
        <v>259.12914184994344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6.6797823943202461</v>
      </c>
      <c r="AA81" s="23">
        <f>EXP(-LN(2)/25)*AA80+(1-EXP(-LN(2)/25))/(LN(2)/25)*Calculateur!V81*Calculateur!X81*VLOOKUP('Données projet'!$B$9,Paramètres!$A$1:$I$89,3,0)*0.475*44/12</f>
        <v>1.6432799464034096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8.3230623407236557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645.99999999999955</v>
      </c>
      <c r="AJ81" s="14">
        <f>AI81*VLOOKUP('Données projet'!$B$10,Paramètres!$A$1:$I$89,3,0)*VLOOKUP('Données projet'!$B$10,Paramètres!$A$1:$I$89,5,0)</f>
        <v>361.11399999999975</v>
      </c>
      <c r="AK81" s="14">
        <f t="shared" si="89"/>
        <v>83.846819063373673</v>
      </c>
      <c r="AL81" s="22">
        <f t="shared" si="58"/>
        <v>774.97342653537532</v>
      </c>
      <c r="AM81" s="62">
        <f t="shared" si="59"/>
        <v>1068.3067598687087</v>
      </c>
      <c r="AN81" s="62">
        <f ca="1">AVERAGE(OFFSET($AM$3,0,0,'Données projet'!$E$10+1,1))-AVERAGE(OFFSET($H$3,0,0,'Données projet'!$E$10+1,1))</f>
        <v>512.21337090113502</v>
      </c>
      <c r="AO81" s="62">
        <f t="shared" si="90"/>
        <v>621.03633124474163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2.341406187821319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1.4771337668102168E-6</v>
      </c>
      <c r="AX81" s="23">
        <f t="shared" si="60"/>
        <v>2.3414076649550859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9</v>
      </c>
      <c r="BD81" s="13">
        <f>IF('Données projet'!$A$88&gt;35,BD80+BC81-BL80,IF(A81&lt;'Données projet'!$A$88,$BA$205^A81,IF(A81='Données projet'!$A$88,'Données projet'!$B$88,BD80+BC81-BL80)))</f>
        <v>442.00000000000011</v>
      </c>
      <c r="BE81" s="14">
        <f>BD81*VLOOKUP('Données projet'!$B$11,Paramètres!$A$1:$I$89,3,0)*VLOOKUP('Données projet'!$B$11,Paramètres!$A$1:$I$89,5,0)</f>
        <v>264.31600000000009</v>
      </c>
      <c r="BF81" s="14">
        <f t="shared" si="91"/>
        <v>63.641491358279801</v>
      </c>
      <c r="BG81" s="22">
        <f t="shared" si="61"/>
        <v>571.19263078233746</v>
      </c>
      <c r="BH81" s="62">
        <f t="shared" si="62"/>
        <v>864.52596411567083</v>
      </c>
      <c r="BI81" s="62">
        <f ca="1">AVERAGE(OFFSET($BH$3,0,0,'Données projet'!$E$11+1,1))-AVERAGE(OFFSET($H$3,0,0,'Données projet'!$E$11+1,1))</f>
        <v>295.83974441964551</v>
      </c>
      <c r="BJ81" s="62">
        <f t="shared" si="92"/>
        <v>212.24900914818096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1.2592197120123811</v>
      </c>
      <c r="BR81" s="23">
        <f>EXP(-LN(2)/2)*BR80+(1-EXP(-LN(2)/2))/(LN(2)/2)*BL81*BO81*VLOOKUP('Données projet'!$B$11,Paramètres!$A$1:$I$89,3,0)*0.475*44/12</f>
        <v>3.6933141510206782E-7</v>
      </c>
      <c r="BS81" s="24">
        <f t="shared" si="63"/>
        <v>1.2592200813437961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-1.1368683772161603E-13</v>
      </c>
      <c r="O82" s="14">
        <f>N82*VLOOKUP('Données projet'!$B$9,Paramètres!$A$1:$I$89,3,0)*VLOOKUP('Données projet'!$B$9,Paramètres!$A$1:$I$89,5,0)</f>
        <v>-5.3205440053716299E-14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193.05670375142864</v>
      </c>
      <c r="T82" s="62">
        <f t="shared" si="88"/>
        <v>259.12914184994344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6.5487959358325867</v>
      </c>
      <c r="AA82" s="23">
        <f>EXP(-LN(2)/25)*AA81+(1-EXP(-LN(2)/25))/(LN(2)/25)*Calculateur!V82*Calculateur!X82*VLOOKUP('Données projet'!$B$9,Paramètres!$A$1:$I$89,3,0)*0.475*44/12</f>
        <v>1.5983443698526718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8.1471403056852587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645.99999999999955</v>
      </c>
      <c r="AJ82" s="14">
        <f>AI82*VLOOKUP('Données projet'!$B$10,Paramètres!$A$1:$I$89,3,0)*VLOOKUP('Données projet'!$B$10,Paramètres!$A$1:$I$89,5,0)</f>
        <v>361.11399999999975</v>
      </c>
      <c r="AK82" s="14">
        <f t="shared" si="89"/>
        <v>83.846819063373673</v>
      </c>
      <c r="AL82" s="22">
        <f t="shared" si="58"/>
        <v>774.97342653537532</v>
      </c>
      <c r="AM82" s="62">
        <f t="shared" si="59"/>
        <v>1068.3067598687087</v>
      </c>
      <c r="AN82" s="62">
        <f ca="1">AVERAGE(OFFSET($AM$3,0,0,'Données projet'!$E$10+1,1))-AVERAGE(OFFSET($H$3,0,0,'Données projet'!$E$10+1,1))</f>
        <v>512.21337090113502</v>
      </c>
      <c r="AO82" s="62">
        <f t="shared" si="90"/>
        <v>621.03633124474163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2.2954926405949028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1.0444913032311327E-6</v>
      </c>
      <c r="AX82" s="23">
        <f t="shared" si="60"/>
        <v>2.295493685086206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9</v>
      </c>
      <c r="BD82" s="13">
        <f>IF('Données projet'!$A$88&gt;35,BD81+BC82-BL81,IF(A82&lt;'Données projet'!$A$88,$BA$205^A82,IF(A82='Données projet'!$A$88,'Données projet'!$B$88,BD81+BC82-BL81)))</f>
        <v>451.00000000000011</v>
      </c>
      <c r="BE82" s="14">
        <f>BD82*VLOOKUP('Données projet'!$B$11,Paramètres!$A$1:$I$89,3,0)*VLOOKUP('Données projet'!$B$11,Paramètres!$A$1:$I$89,5,0)</f>
        <v>269.69800000000009</v>
      </c>
      <c r="BF82" s="14">
        <f t="shared" si="91"/>
        <v>64.785173091884289</v>
      </c>
      <c r="BG82" s="22">
        <f t="shared" si="61"/>
        <v>582.55819313503196</v>
      </c>
      <c r="BH82" s="62">
        <f t="shared" si="62"/>
        <v>875.89152646836533</v>
      </c>
      <c r="BI82" s="62">
        <f ca="1">AVERAGE(OFFSET($BH$3,0,0,'Données projet'!$E$11+1,1))-AVERAGE(OFFSET($H$3,0,0,'Données projet'!$E$11+1,1))</f>
        <v>295.83974441964551</v>
      </c>
      <c r="BJ82" s="62">
        <f t="shared" si="92"/>
        <v>212.24900914818096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1.2247862827679159</v>
      </c>
      <c r="BR82" s="23">
        <f>EXP(-LN(2)/2)*BR81+(1-EXP(-LN(2)/2))/(LN(2)/2)*BL82*BO82*VLOOKUP('Données projet'!$B$11,Paramètres!$A$1:$I$89,3,0)*0.475*44/12</f>
        <v>2.6115674812389583E-7</v>
      </c>
      <c r="BS82" s="24">
        <f t="shared" si="63"/>
        <v>1.2247865439246641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-1.1368683772161603E-13</v>
      </c>
      <c r="O83" s="14">
        <f>N83*VLOOKUP('Données projet'!$B$9,Paramètres!$A$1:$I$89,3,0)*VLOOKUP('Données projet'!$B$9,Paramètres!$A$1:$I$89,5,0)</f>
        <v>-5.3205440053716299E-14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193.05670375142864</v>
      </c>
      <c r="T83" s="62">
        <f t="shared" si="88"/>
        <v>259.12914184994344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6.4203780419020191</v>
      </c>
      <c r="AA83" s="23">
        <f>EXP(-LN(2)/25)*AA82+(1-EXP(-LN(2)/25))/(LN(2)/25)*Calculateur!V83*Calculateur!X83*VLOOKUP('Données projet'!$B$9,Paramètres!$A$1:$I$89,3,0)*0.475*44/12</f>
        <v>1.5546375590057731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7.9750156009077919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645.99999999999955</v>
      </c>
      <c r="AJ83" s="14">
        <f>AI83*VLOOKUP('Données projet'!$B$10,Paramètres!$A$1:$I$89,3,0)*VLOOKUP('Données projet'!$B$10,Paramètres!$A$1:$I$89,5,0)</f>
        <v>361.11399999999975</v>
      </c>
      <c r="AK83" s="14">
        <f t="shared" si="89"/>
        <v>83.846819063373673</v>
      </c>
      <c r="AL83" s="22">
        <f t="shared" si="58"/>
        <v>774.97342653537532</v>
      </c>
      <c r="AM83" s="62">
        <f t="shared" si="59"/>
        <v>1068.3067598687087</v>
      </c>
      <c r="AN83" s="62">
        <f ca="1">AVERAGE(OFFSET($AM$3,0,0,'Données projet'!$E$10+1,1))-AVERAGE(OFFSET($H$3,0,0,'Données projet'!$E$10+1,1))</f>
        <v>512.21337090113502</v>
      </c>
      <c r="AO83" s="62">
        <f t="shared" si="90"/>
        <v>621.03633124474163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2.2504794300250981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7.3856688340510838E-7</v>
      </c>
      <c r="AX83" s="23">
        <f t="shared" si="60"/>
        <v>2.2504801685919813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460</v>
      </c>
      <c r="BB83" s="13">
        <f>VLOOKUP(A83,'Données projet'!$A$87:$I$107,9,0)</f>
        <v>9</v>
      </c>
      <c r="BC83" s="13">
        <f t="array" ref="BC83">INDEX(BB:BB,MIN(IF(ISNUMBER(BB83:BB279),ROW(BB83:BB279),"")))</f>
        <v>9</v>
      </c>
      <c r="BD83" s="13">
        <f>IF('Données projet'!$A$88&gt;35,BD82+BC83-BL82,IF(A83&lt;'Données projet'!$A$88,$BA$205^A83,IF(A83='Données projet'!$A$88,'Données projet'!$B$88,BD82+BC83-BL82)))</f>
        <v>460.00000000000011</v>
      </c>
      <c r="BE83" s="14">
        <f>BD83*VLOOKUP('Données projet'!$B$11,Paramètres!$A$1:$I$89,3,0)*VLOOKUP('Données projet'!$B$11,Paramètres!$A$1:$I$89,5,0)</f>
        <v>275.0800000000001</v>
      </c>
      <c r="BF83" s="14">
        <f t="shared" si="91"/>
        <v>65.926201134783341</v>
      </c>
      <c r="BG83" s="22">
        <f t="shared" si="61"/>
        <v>593.91913364308118</v>
      </c>
      <c r="BH83" s="62">
        <f t="shared" si="62"/>
        <v>887.25246697641455</v>
      </c>
      <c r="BI83" s="62">
        <f ca="1">AVERAGE(OFFSET($BH$3,0,0,'Données projet'!$E$11+1,1))-AVERAGE(OFFSET($H$3,0,0,'Données projet'!$E$11+1,1))</f>
        <v>295.83974441964551</v>
      </c>
      <c r="BJ83" s="62">
        <f t="shared" si="92"/>
        <v>212.24900914818096</v>
      </c>
      <c r="BK83" s="16">
        <f>IF(ISNA(VLOOKUP(A83,'Données projet'!$A$87:$I$107,3,0)),0,VLOOKUP(A83,'Données projet'!$A$87:$I$107,3,0))</f>
        <v>8</v>
      </c>
      <c r="BL83" s="23">
        <f>IF(ISNA(VLOOKUP(A83,'Données projet'!$A$87:$I$107,4,0)),0,VLOOKUP(A83,'Données projet'!$A$87:$I$107,4,0))</f>
        <v>460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1.1912944374569159</v>
      </c>
      <c r="BR83" s="23">
        <f>EXP(-LN(2)/2)*BR82+(1-EXP(-LN(2)/2))/(LN(2)/2)*BL83*BO83*VLOOKUP('Données projet'!$B$11,Paramètres!$A$1:$I$89,3,0)*0.475*44/12</f>
        <v>1.8466570755103391E-7</v>
      </c>
      <c r="BS83" s="24">
        <f t="shared" si="63"/>
        <v>1.1912946221226235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-1.1368683772161603E-13</v>
      </c>
      <c r="O84" s="14">
        <f>N84*VLOOKUP('Données projet'!$B$9,Paramètres!$A$1:$I$89,3,0)*VLOOKUP('Données projet'!$B$9,Paramètres!$A$1:$I$89,5,0)</f>
        <v>-5.3205440053716299E-14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193.05670375142864</v>
      </c>
      <c r="T84" s="62">
        <f t="shared" si="88"/>
        <v>259.12914184994344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6.2944783445442489</v>
      </c>
      <c r="AA84" s="23">
        <f>EXP(-LN(2)/25)*AA83+(1-EXP(-LN(2)/25))/(LN(2)/25)*Calculateur!V84*Calculateur!X84*VLOOKUP('Données projet'!$B$9,Paramètres!$A$1:$I$89,3,0)*0.475*44/12</f>
        <v>1.5121259131999241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7.8066042577441728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645.99999999999955</v>
      </c>
      <c r="AJ84" s="14">
        <f>AI84*VLOOKUP('Données projet'!$B$10,Paramètres!$A$1:$I$89,3,0)*VLOOKUP('Données projet'!$B$10,Paramètres!$A$1:$I$89,5,0)</f>
        <v>361.11399999999975</v>
      </c>
      <c r="AK84" s="14">
        <f t="shared" si="89"/>
        <v>83.846819063373673</v>
      </c>
      <c r="AL84" s="22">
        <f t="shared" si="58"/>
        <v>774.97342653537532</v>
      </c>
      <c r="AM84" s="62">
        <f t="shared" si="59"/>
        <v>1068.3067598687087</v>
      </c>
      <c r="AN84" s="62">
        <f ca="1">AVERAGE(OFFSET($AM$3,0,0,'Données projet'!$E$10+1,1))-AVERAGE(OFFSET($H$3,0,0,'Données projet'!$E$10+1,1))</f>
        <v>512.21337090113502</v>
      </c>
      <c r="AO84" s="62">
        <f t="shared" si="90"/>
        <v>621.03633124474163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2.2063489010592194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5.2224565161556633E-7</v>
      </c>
      <c r="AX84" s="23">
        <f t="shared" si="60"/>
        <v>2.206349423304871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1.1368683772161603E-13</v>
      </c>
      <c r="BE84" s="14">
        <f>BD84*VLOOKUP('Données projet'!$B$11,Paramètres!$A$1:$I$89,3,0)*VLOOKUP('Données projet'!$B$11,Paramètres!$A$1:$I$89,5,0)</f>
        <v>6.7984728957526396E-14</v>
      </c>
      <c r="BF84" s="14">
        <f t="shared" si="91"/>
        <v>1.0682447123141398E-12</v>
      </c>
      <c r="BG84" s="22">
        <f t="shared" si="61"/>
        <v>1.978932943548152E-12</v>
      </c>
      <c r="BH84" s="62">
        <f t="shared" si="62"/>
        <v>293.3333333333353</v>
      </c>
      <c r="BI84" s="62">
        <f ca="1">AVERAGE(OFFSET($BH$3,0,0,'Données projet'!$E$11+1,1))-AVERAGE(OFFSET($H$3,0,0,'Données projet'!$E$11+1,1))</f>
        <v>295.83974441964551</v>
      </c>
      <c r="BJ84" s="62">
        <f t="shared" si="92"/>
        <v>212.24900914818096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1.1587184284172047</v>
      </c>
      <c r="BR84" s="23">
        <f>EXP(-LN(2)/2)*BR83+(1-EXP(-LN(2)/2))/(LN(2)/2)*BL84*BO84*VLOOKUP('Données projet'!$B$11,Paramètres!$A$1:$I$89,3,0)*0.475*44/12</f>
        <v>1.3057837406194791E-7</v>
      </c>
      <c r="BS84" s="24">
        <f t="shared" si="63"/>
        <v>1.1587185589955789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-1.1368683772161603E-13</v>
      </c>
      <c r="O85" s="14">
        <f>N85*VLOOKUP('Données projet'!$B$9,Paramètres!$A$1:$I$89,3,0)*VLOOKUP('Données projet'!$B$9,Paramètres!$A$1:$I$89,5,0)</f>
        <v>-5.3205440053716299E-14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193.05670375142864</v>
      </c>
      <c r="T85" s="62">
        <f t="shared" si="88"/>
        <v>259.12914184994344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6.1710474634604315</v>
      </c>
      <c r="AA85" s="23">
        <f>EXP(-LN(2)/25)*AA84+(1-EXP(-LN(2)/25))/(LN(2)/25)*Calculateur!V85*Calculateur!X85*VLOOKUP('Données projet'!$B$9,Paramètres!$A$1:$I$89,3,0)*0.475*44/12</f>
        <v>1.4707767505842264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7.6418242140446582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645.99999999999955</v>
      </c>
      <c r="AJ85" s="14">
        <f>AI85*VLOOKUP('Données projet'!$B$10,Paramètres!$A$1:$I$89,3,0)*VLOOKUP('Données projet'!$B$10,Paramètres!$A$1:$I$89,5,0)</f>
        <v>361.11399999999975</v>
      </c>
      <c r="AK85" s="14">
        <f t="shared" si="89"/>
        <v>83.846819063373673</v>
      </c>
      <c r="AL85" s="22">
        <f t="shared" si="58"/>
        <v>774.97342653537532</v>
      </c>
      <c r="AM85" s="62">
        <f t="shared" si="59"/>
        <v>1068.3067598687087</v>
      </c>
      <c r="AN85" s="62">
        <f ca="1">AVERAGE(OFFSET($AM$3,0,0,'Données projet'!$E$10+1,1))-AVERAGE(OFFSET($H$3,0,0,'Données projet'!$E$10+1,1))</f>
        <v>512.21337090113502</v>
      </c>
      <c r="AO85" s="62">
        <f t="shared" si="90"/>
        <v>621.03633124474163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2.1630837448493971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3.6928344170255419E-7</v>
      </c>
      <c r="AX85" s="23">
        <f t="shared" si="60"/>
        <v>2.1630841141328387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1.1368683772161603E-13</v>
      </c>
      <c r="BE85" s="14">
        <f>BD85*VLOOKUP('Données projet'!$B$11,Paramètres!$A$1:$I$89,3,0)*VLOOKUP('Données projet'!$B$11,Paramètres!$A$1:$I$89,5,0)</f>
        <v>6.7984728957526396E-14</v>
      </c>
      <c r="BF85" s="14">
        <f t="shared" si="91"/>
        <v>1.0682447123141398E-12</v>
      </c>
      <c r="BG85" s="22">
        <f t="shared" si="61"/>
        <v>1.978932943548152E-12</v>
      </c>
      <c r="BH85" s="62">
        <f t="shared" si="62"/>
        <v>293.3333333333353</v>
      </c>
      <c r="BI85" s="62">
        <f ca="1">AVERAGE(OFFSET($BH$3,0,0,'Données projet'!$E$11+1,1))-AVERAGE(OFFSET($H$3,0,0,'Données projet'!$E$11+1,1))</f>
        <v>295.83974441964551</v>
      </c>
      <c r="BJ85" s="62">
        <f t="shared" si="92"/>
        <v>212.24900914818096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1.1270332120577824</v>
      </c>
      <c r="BR85" s="23">
        <f>EXP(-LN(2)/2)*BR84+(1-EXP(-LN(2)/2))/(LN(2)/2)*BL85*BO85*VLOOKUP('Données projet'!$B$11,Paramètres!$A$1:$I$89,3,0)*0.475*44/12</f>
        <v>9.2332853775516956E-8</v>
      </c>
      <c r="BS85" s="24">
        <f t="shared" si="63"/>
        <v>1.1270333043906362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-1.1368683772161603E-13</v>
      </c>
      <c r="O86" s="14">
        <f>N86*VLOOKUP('Données projet'!$B$9,Paramètres!$A$1:$I$89,3,0)*VLOOKUP('Données projet'!$B$9,Paramètres!$A$1:$I$89,5,0)</f>
        <v>-5.3205440053716299E-14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193.05670375142864</v>
      </c>
      <c r="T86" s="62">
        <f t="shared" si="88"/>
        <v>259.12914184994344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6.050036986669264</v>
      </c>
      <c r="AA86" s="23">
        <f>EXP(-LN(2)/25)*AA85+(1-EXP(-LN(2)/25))/(LN(2)/25)*Calculateur!V86*Calculateur!X86*VLOOKUP('Données projet'!$B$9,Paramètres!$A$1:$I$89,3,0)*0.475*44/12</f>
        <v>1.430558282994713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7.4805952696639775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645.99999999999955</v>
      </c>
      <c r="AJ86" s="14">
        <f>AI86*VLOOKUP('Données projet'!$B$10,Paramètres!$A$1:$I$89,3,0)*VLOOKUP('Données projet'!$B$10,Paramètres!$A$1:$I$89,5,0)</f>
        <v>361.11399999999975</v>
      </c>
      <c r="AK86" s="14">
        <f t="shared" si="89"/>
        <v>83.846819063373673</v>
      </c>
      <c r="AL86" s="22">
        <f t="shared" si="58"/>
        <v>774.97342653537532</v>
      </c>
      <c r="AM86" s="62">
        <f t="shared" si="59"/>
        <v>1068.3067598687087</v>
      </c>
      <c r="AN86" s="62">
        <f ca="1">AVERAGE(OFFSET($AM$3,0,0,'Données projet'!$E$10+1,1))-AVERAGE(OFFSET($H$3,0,0,'Données projet'!$E$10+1,1))</f>
        <v>512.21337090113502</v>
      </c>
      <c r="AO86" s="62">
        <f t="shared" si="90"/>
        <v>621.03633124474163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2.1206669919637098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2.6112282580778316E-7</v>
      </c>
      <c r="AX86" s="23">
        <f t="shared" si="60"/>
        <v>2.1206672530865358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1.1368683772161603E-13</v>
      </c>
      <c r="BE86" s="14">
        <f>BD86*VLOOKUP('Données projet'!$B$11,Paramètres!$A$1:$I$89,3,0)*VLOOKUP('Données projet'!$B$11,Paramètres!$A$1:$I$89,5,0)</f>
        <v>6.7984728957526396E-14</v>
      </c>
      <c r="BF86" s="14">
        <f t="shared" si="91"/>
        <v>1.0682447123141398E-12</v>
      </c>
      <c r="BG86" s="22">
        <f t="shared" si="61"/>
        <v>1.978932943548152E-12</v>
      </c>
      <c r="BH86" s="62">
        <f t="shared" si="62"/>
        <v>293.3333333333353</v>
      </c>
      <c r="BI86" s="62">
        <f ca="1">AVERAGE(OFFSET($BH$3,0,0,'Données projet'!$E$11+1,1))-AVERAGE(OFFSET($H$3,0,0,'Données projet'!$E$11+1,1))</f>
        <v>295.83974441964551</v>
      </c>
      <c r="BJ86" s="62">
        <f t="shared" si="92"/>
        <v>212.24900914818096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1.0962144296059615</v>
      </c>
      <c r="BR86" s="23">
        <f>EXP(-LN(2)/2)*BR85+(1-EXP(-LN(2)/2))/(LN(2)/2)*BL86*BO86*VLOOKUP('Données projet'!$B$11,Paramètres!$A$1:$I$89,3,0)*0.475*44/12</f>
        <v>6.5289187030973957E-8</v>
      </c>
      <c r="BS86" s="24">
        <f t="shared" si="63"/>
        <v>1.0962144948951484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-1.1368683772161603E-13</v>
      </c>
      <c r="O87" s="14">
        <f>N87*VLOOKUP('Données projet'!$B$9,Paramètres!$A$1:$I$89,3,0)*VLOOKUP('Données projet'!$B$9,Paramètres!$A$1:$I$89,5,0)</f>
        <v>-5.3205440053716299E-14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193.05670375142864</v>
      </c>
      <c r="T87" s="62">
        <f t="shared" si="88"/>
        <v>259.12914184994344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5.9313994515188684</v>
      </c>
      <c r="AA87" s="23">
        <f>EXP(-LN(2)/25)*AA86+(1-EXP(-LN(2)/25))/(LN(2)/25)*Calculateur!V87*Calculateur!X87*VLOOKUP('Données projet'!$B$9,Paramètres!$A$1:$I$89,3,0)*0.475*44/12</f>
        <v>1.3914395915164322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7.3228390430353008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645.99999999999955</v>
      </c>
      <c r="AJ87" s="14">
        <f>AI87*VLOOKUP('Données projet'!$B$10,Paramètres!$A$1:$I$89,3,0)*VLOOKUP('Données projet'!$B$10,Paramètres!$A$1:$I$89,5,0)</f>
        <v>361.11399999999975</v>
      </c>
      <c r="AK87" s="14">
        <f t="shared" si="89"/>
        <v>83.846819063373673</v>
      </c>
      <c r="AL87" s="22">
        <f t="shared" si="58"/>
        <v>774.97342653537532</v>
      </c>
      <c r="AM87" s="62">
        <f t="shared" si="59"/>
        <v>1068.3067598687087</v>
      </c>
      <c r="AN87" s="62">
        <f ca="1">AVERAGE(OFFSET($AM$3,0,0,'Données projet'!$E$10+1,1))-AVERAGE(OFFSET($H$3,0,0,'Données projet'!$E$10+1,1))</f>
        <v>512.21337090113502</v>
      </c>
      <c r="AO87" s="62">
        <f t="shared" si="90"/>
        <v>621.03633124474163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2.079082005730446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1.846417208512771E-7</v>
      </c>
      <c r="AX87" s="23">
        <f t="shared" si="60"/>
        <v>2.079082190372167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1.1368683772161603E-13</v>
      </c>
      <c r="BE87" s="14">
        <f>BD87*VLOOKUP('Données projet'!$B$11,Paramètres!$A$1:$I$89,3,0)*VLOOKUP('Données projet'!$B$11,Paramètres!$A$1:$I$89,5,0)</f>
        <v>6.7984728957526396E-14</v>
      </c>
      <c r="BF87" s="14">
        <f t="shared" si="91"/>
        <v>1.0682447123141398E-12</v>
      </c>
      <c r="BG87" s="22">
        <f t="shared" si="61"/>
        <v>1.978932943548152E-12</v>
      </c>
      <c r="BH87" s="62">
        <f t="shared" si="62"/>
        <v>293.3333333333353</v>
      </c>
      <c r="BI87" s="62">
        <f ca="1">AVERAGE(OFFSET($BH$3,0,0,'Données projet'!$E$11+1,1))-AVERAGE(OFFSET($H$3,0,0,'Données projet'!$E$11+1,1))</f>
        <v>295.83974441964551</v>
      </c>
      <c r="BJ87" s="62">
        <f t="shared" si="92"/>
        <v>212.24900914818096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1.066238388380975</v>
      </c>
      <c r="BR87" s="23">
        <f>EXP(-LN(2)/2)*BR86+(1-EXP(-LN(2)/2))/(LN(2)/2)*BL87*BO87*VLOOKUP('Données projet'!$B$11,Paramètres!$A$1:$I$89,3,0)*0.475*44/12</f>
        <v>4.6166426887758478E-8</v>
      </c>
      <c r="BS87" s="24">
        <f t="shared" si="63"/>
        <v>1.0662384345474019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-1.1368683772161603E-13</v>
      </c>
      <c r="O88" s="14">
        <f>N88*VLOOKUP('Données projet'!$B$9,Paramètres!$A$1:$I$89,3,0)*VLOOKUP('Données projet'!$B$9,Paramètres!$A$1:$I$89,5,0)</f>
        <v>-5.3205440053716299E-14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193.05670375142864</v>
      </c>
      <c r="T88" s="62">
        <f t="shared" si="88"/>
        <v>259.12914184994344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5.8150883260710211</v>
      </c>
      <c r="AA88" s="23">
        <f>EXP(-LN(2)/25)*AA87+(1-EXP(-LN(2)/25))/(LN(2)/25)*Calculateur!V88*Calculateur!X88*VLOOKUP('Données projet'!$B$9,Paramètres!$A$1:$I$89,3,0)*0.475*44/12</f>
        <v>1.3533906027137874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7.1684789287848085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645.99999999999955</v>
      </c>
      <c r="AJ88" s="14">
        <f>AI88*VLOOKUP('Données projet'!$B$10,Paramètres!$A$1:$I$89,3,0)*VLOOKUP('Données projet'!$B$10,Paramètres!$A$1:$I$89,5,0)</f>
        <v>361.11399999999975</v>
      </c>
      <c r="AK88" s="14">
        <f t="shared" si="89"/>
        <v>83.846819063373673</v>
      </c>
      <c r="AL88" s="22">
        <f t="shared" si="58"/>
        <v>774.97342653537532</v>
      </c>
      <c r="AM88" s="62">
        <f t="shared" si="59"/>
        <v>1068.3067598687087</v>
      </c>
      <c r="AN88" s="62">
        <f ca="1">AVERAGE(OFFSET($AM$3,0,0,'Données projet'!$E$10+1,1))-AVERAGE(OFFSET($H$3,0,0,'Données projet'!$E$10+1,1))</f>
        <v>512.21337090113502</v>
      </c>
      <c r="AO88" s="62">
        <f t="shared" si="90"/>
        <v>621.03633124474163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2.0383124757128797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1.3056141290389158E-7</v>
      </c>
      <c r="AX88" s="23">
        <f t="shared" si="60"/>
        <v>2.0383126062742924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1.1368683772161603E-13</v>
      </c>
      <c r="BE88" s="14">
        <f>BD88*VLOOKUP('Données projet'!$B$11,Paramètres!$A$1:$I$89,3,0)*VLOOKUP('Données projet'!$B$11,Paramètres!$A$1:$I$89,5,0)</f>
        <v>6.7984728957526396E-14</v>
      </c>
      <c r="BF88" s="14">
        <f t="shared" si="91"/>
        <v>1.0682447123141398E-12</v>
      </c>
      <c r="BG88" s="22">
        <f t="shared" si="61"/>
        <v>1.978932943548152E-12</v>
      </c>
      <c r="BH88" s="62">
        <f t="shared" si="62"/>
        <v>293.3333333333353</v>
      </c>
      <c r="BI88" s="62">
        <f ca="1">AVERAGE(OFFSET($BH$3,0,0,'Données projet'!$E$11+1,1))-AVERAGE(OFFSET($H$3,0,0,'Données projet'!$E$11+1,1))</f>
        <v>295.83974441964551</v>
      </c>
      <c r="BJ88" s="62">
        <f t="shared" si="92"/>
        <v>212.24900914818096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1.0370820435796573</v>
      </c>
      <c r="BR88" s="23">
        <f>EXP(-LN(2)/2)*BR87+(1-EXP(-LN(2)/2))/(LN(2)/2)*BL88*BO88*VLOOKUP('Données projet'!$B$11,Paramètres!$A$1:$I$89,3,0)*0.475*44/12</f>
        <v>3.2644593515486978E-8</v>
      </c>
      <c r="BS88" s="24">
        <f t="shared" si="63"/>
        <v>1.0370820762242507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-1.1368683772161603E-13</v>
      </c>
      <c r="O89" s="14">
        <f>N89*VLOOKUP('Données projet'!$B$9,Paramètres!$A$1:$I$89,3,0)*VLOOKUP('Données projet'!$B$9,Paramètres!$A$1:$I$89,5,0)</f>
        <v>-5.3205440053716299E-14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193.05670375142864</v>
      </c>
      <c r="T89" s="62">
        <f t="shared" si="88"/>
        <v>259.12914184994344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5.7010579908504244</v>
      </c>
      <c r="AA89" s="23">
        <f>EXP(-LN(2)/25)*AA88+(1-EXP(-LN(2)/25))/(LN(2)/25)*Calculateur!V89*Calculateur!X89*VLOOKUP('Données projet'!$B$9,Paramètres!$A$1:$I$89,3,0)*0.475*44/12</f>
        <v>1.3163820655108602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7.0174400563612842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645.99999999999955</v>
      </c>
      <c r="AJ89" s="14">
        <f>AI89*VLOOKUP('Données projet'!$B$10,Paramètres!$A$1:$I$89,3,0)*VLOOKUP('Données projet'!$B$10,Paramètres!$A$1:$I$89,5,0)</f>
        <v>361.11399999999975</v>
      </c>
      <c r="AK89" s="14">
        <f t="shared" si="89"/>
        <v>83.846819063373673</v>
      </c>
      <c r="AL89" s="22">
        <f t="shared" si="58"/>
        <v>774.97342653537532</v>
      </c>
      <c r="AM89" s="62">
        <f t="shared" si="59"/>
        <v>1068.3067598687087</v>
      </c>
      <c r="AN89" s="62">
        <f ca="1">AVERAGE(OFFSET($AM$3,0,0,'Données projet'!$E$10+1,1))-AVERAGE(OFFSET($H$3,0,0,'Données projet'!$E$10+1,1))</f>
        <v>512.21337090113502</v>
      </c>
      <c r="AO89" s="62">
        <f t="shared" si="90"/>
        <v>621.03633124474163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1.9983424113119996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9.2320860425638548E-8</v>
      </c>
      <c r="AX89" s="23">
        <f t="shared" si="60"/>
        <v>1.9983425036328601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1.1368683772161603E-13</v>
      </c>
      <c r="BE89" s="14">
        <f>BD89*VLOOKUP('Données projet'!$B$11,Paramètres!$A$1:$I$89,3,0)*VLOOKUP('Données projet'!$B$11,Paramètres!$A$1:$I$89,5,0)</f>
        <v>6.7984728957526396E-14</v>
      </c>
      <c r="BF89" s="14">
        <f t="shared" si="91"/>
        <v>1.0682447123141398E-12</v>
      </c>
      <c r="BG89" s="22">
        <f t="shared" si="61"/>
        <v>1.978932943548152E-12</v>
      </c>
      <c r="BH89" s="62">
        <f t="shared" si="62"/>
        <v>293.3333333333353</v>
      </c>
      <c r="BI89" s="62">
        <f ca="1">AVERAGE(OFFSET($BH$3,0,0,'Données projet'!$E$11+1,1))-AVERAGE(OFFSET($H$3,0,0,'Données projet'!$E$11+1,1))</f>
        <v>295.83974441964551</v>
      </c>
      <c r="BJ89" s="62">
        <f t="shared" si="92"/>
        <v>212.24900914818096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1.0087229805601972</v>
      </c>
      <c r="BR89" s="23">
        <f>EXP(-LN(2)/2)*BR88+(1-EXP(-LN(2)/2))/(LN(2)/2)*BL89*BO89*VLOOKUP('Données projet'!$B$11,Paramètres!$A$1:$I$89,3,0)*0.475*44/12</f>
        <v>2.3083213443879239E-8</v>
      </c>
      <c r="BS89" s="24">
        <f t="shared" si="63"/>
        <v>1.0087230036434105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-1.1368683772161603E-13</v>
      </c>
      <c r="O90" s="14">
        <f>N90*VLOOKUP('Données projet'!$B$9,Paramètres!$A$1:$I$89,3,0)*VLOOKUP('Données projet'!$B$9,Paramètres!$A$1:$I$89,5,0)</f>
        <v>-5.3205440053716299E-14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193.05670375142864</v>
      </c>
      <c r="T90" s="62">
        <f t="shared" si="88"/>
        <v>259.12914184994344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5.589263720951867</v>
      </c>
      <c r="AA90" s="23">
        <f>EXP(-LN(2)/25)*AA89+(1-EXP(-LN(2)/25))/(LN(2)/25)*Calculateur!V90*Calculateur!X90*VLOOKUP('Données projet'!$B$9,Paramètres!$A$1:$I$89,3,0)*0.475*44/12</f>
        <v>1.2803855287039416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6.8696492496558088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645.99999999999955</v>
      </c>
      <c r="AJ90" s="14">
        <f>AI90*VLOOKUP('Données projet'!$B$10,Paramètres!$A$1:$I$89,3,0)*VLOOKUP('Données projet'!$B$10,Paramètres!$A$1:$I$89,5,0)</f>
        <v>361.11399999999975</v>
      </c>
      <c r="AK90" s="14">
        <f t="shared" si="89"/>
        <v>83.846819063373673</v>
      </c>
      <c r="AL90" s="22">
        <f t="shared" si="58"/>
        <v>774.97342653537532</v>
      </c>
      <c r="AM90" s="62">
        <f t="shared" si="59"/>
        <v>1068.3067598687087</v>
      </c>
      <c r="AN90" s="62">
        <f ca="1">AVERAGE(OFFSET($AM$3,0,0,'Données projet'!$E$10+1,1))-AVERAGE(OFFSET($H$3,0,0,'Données projet'!$E$10+1,1))</f>
        <v>512.21337090113502</v>
      </c>
      <c r="AO90" s="62">
        <f t="shared" si="90"/>
        <v>621.03633124474163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1.9591561354946889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6.5280706451945791E-8</v>
      </c>
      <c r="AX90" s="23">
        <f t="shared" si="60"/>
        <v>1.9591562007753953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1.1368683772161603E-13</v>
      </c>
      <c r="BE90" s="14">
        <f>BD90*VLOOKUP('Données projet'!$B$11,Paramètres!$A$1:$I$89,3,0)*VLOOKUP('Données projet'!$B$11,Paramètres!$A$1:$I$89,5,0)</f>
        <v>6.7984728957526396E-14</v>
      </c>
      <c r="BF90" s="14">
        <f t="shared" si="91"/>
        <v>1.0682447123141398E-12</v>
      </c>
      <c r="BG90" s="22">
        <f t="shared" si="61"/>
        <v>1.978932943548152E-12</v>
      </c>
      <c r="BH90" s="62">
        <f t="shared" si="62"/>
        <v>293.3333333333353</v>
      </c>
      <c r="BI90" s="62">
        <f ca="1">AVERAGE(OFFSET($BH$3,0,0,'Données projet'!$E$11+1,1))-AVERAGE(OFFSET($H$3,0,0,'Données projet'!$E$11+1,1))</f>
        <v>295.83974441964551</v>
      </c>
      <c r="BJ90" s="62">
        <f t="shared" si="92"/>
        <v>212.24900914818096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0.98113939761034252</v>
      </c>
      <c r="BR90" s="23">
        <f>EXP(-LN(2)/2)*BR89+(1-EXP(-LN(2)/2))/(LN(2)/2)*BL90*BO90*VLOOKUP('Données projet'!$B$11,Paramètres!$A$1:$I$89,3,0)*0.475*44/12</f>
        <v>1.6322296757743489E-8</v>
      </c>
      <c r="BS90" s="24">
        <f t="shared" si="63"/>
        <v>0.98113941393263926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-1.1368683772161603E-13</v>
      </c>
      <c r="O91" s="14">
        <f>N91*VLOOKUP('Données projet'!$B$9,Paramètres!$A$1:$I$89,3,0)*VLOOKUP('Données projet'!$B$9,Paramètres!$A$1:$I$89,5,0)</f>
        <v>-5.3205440053716299E-14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193.05670375142864</v>
      </c>
      <c r="T91" s="62">
        <f t="shared" si="88"/>
        <v>259.12914184994344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5.4796616684982489</v>
      </c>
      <c r="AA91" s="23">
        <f>EXP(-LN(2)/25)*AA90+(1-EXP(-LN(2)/25))/(LN(2)/25)*Calculateur!V91*Calculateur!X91*VLOOKUP('Données projet'!$B$9,Paramètres!$A$1:$I$89,3,0)*0.475*44/12</f>
        <v>1.2453733190889837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6.7250349875872324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645.99999999999955</v>
      </c>
      <c r="AJ91" s="14">
        <f>AI91*VLOOKUP('Données projet'!$B$10,Paramètres!$A$1:$I$89,3,0)*VLOOKUP('Données projet'!$B$10,Paramètres!$A$1:$I$89,5,0)</f>
        <v>361.11399999999975</v>
      </c>
      <c r="AK91" s="14">
        <f t="shared" si="89"/>
        <v>83.846819063373673</v>
      </c>
      <c r="AL91" s="22">
        <f t="shared" si="58"/>
        <v>774.97342653537532</v>
      </c>
      <c r="AM91" s="62">
        <f t="shared" si="59"/>
        <v>1068.3067598687087</v>
      </c>
      <c r="AN91" s="62">
        <f ca="1">AVERAGE(OFFSET($AM$3,0,0,'Données projet'!$E$10+1,1))-AVERAGE(OFFSET($H$3,0,0,'Données projet'!$E$10+1,1))</f>
        <v>512.21337090113502</v>
      </c>
      <c r="AO91" s="62">
        <f t="shared" si="90"/>
        <v>621.03633124474163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1.9207382786448874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4.6160430212819274E-8</v>
      </c>
      <c r="AX91" s="23">
        <f t="shared" si="60"/>
        <v>1.9207383248053176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1.1368683772161603E-13</v>
      </c>
      <c r="BE91" s="14">
        <f>BD91*VLOOKUP('Données projet'!$B$11,Paramètres!$A$1:$I$89,3,0)*VLOOKUP('Données projet'!$B$11,Paramètres!$A$1:$I$89,5,0)</f>
        <v>6.7984728957526396E-14</v>
      </c>
      <c r="BF91" s="14">
        <f t="shared" si="91"/>
        <v>1.0682447123141398E-12</v>
      </c>
      <c r="BG91" s="22">
        <f t="shared" si="61"/>
        <v>1.978932943548152E-12</v>
      </c>
      <c r="BH91" s="62">
        <f t="shared" si="62"/>
        <v>293.3333333333353</v>
      </c>
      <c r="BI91" s="62">
        <f ca="1">AVERAGE(OFFSET($BH$3,0,0,'Données projet'!$E$11+1,1))-AVERAGE(OFFSET($H$3,0,0,'Données projet'!$E$11+1,1))</f>
        <v>295.83974441964551</v>
      </c>
      <c r="BJ91" s="62">
        <f t="shared" si="92"/>
        <v>212.24900914818096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0.95431008918680926</v>
      </c>
      <c r="BR91" s="23">
        <f>EXP(-LN(2)/2)*BR90+(1-EXP(-LN(2)/2))/(LN(2)/2)*BL91*BO91*VLOOKUP('Données projet'!$B$11,Paramètres!$A$1:$I$89,3,0)*0.475*44/12</f>
        <v>1.154160672193962E-8</v>
      </c>
      <c r="BS91" s="24">
        <f t="shared" si="63"/>
        <v>0.95431010072841593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-1.1368683772161603E-13</v>
      </c>
      <c r="O92" s="14">
        <f>N92*VLOOKUP('Données projet'!$B$9,Paramètres!$A$1:$I$89,3,0)*VLOOKUP('Données projet'!$B$9,Paramètres!$A$1:$I$89,5,0)</f>
        <v>-5.3205440053716299E-14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193.05670375142864</v>
      </c>
      <c r="T92" s="62">
        <f t="shared" si="88"/>
        <v>259.12914184994344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5.3722088454425947</v>
      </c>
      <c r="AA92" s="23">
        <f>EXP(-LN(2)/25)*AA91+(1-EXP(-LN(2)/25))/(LN(2)/25)*Calculateur!V92*Calculateur!X92*VLOOKUP('Données projet'!$B$9,Paramètres!$A$1:$I$89,3,0)*0.475*44/12</f>
        <v>1.211318520187159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6.5835273656297542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645.99999999999955</v>
      </c>
      <c r="AJ92" s="14">
        <f>AI92*VLOOKUP('Données projet'!$B$10,Paramètres!$A$1:$I$89,3,0)*VLOOKUP('Données projet'!$B$10,Paramètres!$A$1:$I$89,5,0)</f>
        <v>361.11399999999975</v>
      </c>
      <c r="AK92" s="14">
        <f t="shared" si="89"/>
        <v>83.846819063373673</v>
      </c>
      <c r="AL92" s="22">
        <f t="shared" si="58"/>
        <v>774.97342653537532</v>
      </c>
      <c r="AM92" s="62">
        <f t="shared" si="59"/>
        <v>1068.3067598687087</v>
      </c>
      <c r="AN92" s="62">
        <f ca="1">AVERAGE(OFFSET($AM$3,0,0,'Données projet'!$E$10+1,1))-AVERAGE(OFFSET($H$3,0,0,'Données projet'!$E$10+1,1))</f>
        <v>512.21337090113502</v>
      </c>
      <c r="AO92" s="62">
        <f t="shared" si="90"/>
        <v>621.03633124474163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1.8830737725353317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3.2640353225972895E-8</v>
      </c>
      <c r="AX92" s="23">
        <f t="shared" si="60"/>
        <v>1.883073805175685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1.1368683772161603E-13</v>
      </c>
      <c r="BE92" s="14">
        <f>BD92*VLOOKUP('Données projet'!$B$11,Paramètres!$A$1:$I$89,3,0)*VLOOKUP('Données projet'!$B$11,Paramètres!$A$1:$I$89,5,0)</f>
        <v>6.7984728957526396E-14</v>
      </c>
      <c r="BF92" s="14">
        <f t="shared" si="91"/>
        <v>1.0682447123141398E-12</v>
      </c>
      <c r="BG92" s="22">
        <f t="shared" si="61"/>
        <v>1.978932943548152E-12</v>
      </c>
      <c r="BH92" s="62">
        <f t="shared" si="62"/>
        <v>293.3333333333353</v>
      </c>
      <c r="BI92" s="62">
        <f ca="1">AVERAGE(OFFSET($BH$3,0,0,'Données projet'!$E$11+1,1))-AVERAGE(OFFSET($H$3,0,0,'Données projet'!$E$11+1,1))</f>
        <v>295.83974441964551</v>
      </c>
      <c r="BJ92" s="62">
        <f t="shared" si="92"/>
        <v>212.24900914818096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0.92821442961300948</v>
      </c>
      <c r="BR92" s="23">
        <f>EXP(-LN(2)/2)*BR91+(1-EXP(-LN(2)/2))/(LN(2)/2)*BL92*BO92*VLOOKUP('Données projet'!$B$11,Paramètres!$A$1:$I$89,3,0)*0.475*44/12</f>
        <v>8.1611483788717446E-9</v>
      </c>
      <c r="BS92" s="24">
        <f t="shared" si="63"/>
        <v>0.92821443777415791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-1.1368683772161603E-13</v>
      </c>
      <c r="O93" s="14">
        <f>N93*VLOOKUP('Données projet'!$B$9,Paramètres!$A$1:$I$89,3,0)*VLOOKUP('Données projet'!$B$9,Paramètres!$A$1:$I$89,5,0)</f>
        <v>-5.3205440053716299E-14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193.05670375142864</v>
      </c>
      <c r="T93" s="62">
        <f t="shared" si="88"/>
        <v>259.12914184994344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5.2668631067073113</v>
      </c>
      <c r="AA93" s="23">
        <f>EXP(-LN(2)/25)*AA92+(1-EXP(-LN(2)/25))/(LN(2)/25)*Calculateur!V93*Calculateur!X93*VLOOKUP('Données projet'!$B$9,Paramètres!$A$1:$I$89,3,0)*0.475*44/12</f>
        <v>1.1781949515521686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6.4450580582594803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645.99999999999955</v>
      </c>
      <c r="AJ93" s="14">
        <f>AI93*VLOOKUP('Données projet'!$B$10,Paramètres!$A$1:$I$89,3,0)*VLOOKUP('Données projet'!$B$10,Paramètres!$A$1:$I$89,5,0)</f>
        <v>361.11399999999975</v>
      </c>
      <c r="AK93" s="14">
        <f t="shared" si="89"/>
        <v>83.846819063373673</v>
      </c>
      <c r="AL93" s="22">
        <f t="shared" si="58"/>
        <v>774.97342653537532</v>
      </c>
      <c r="AM93" s="62">
        <f t="shared" si="59"/>
        <v>1068.3067598687087</v>
      </c>
      <c r="AN93" s="62">
        <f ca="1">AVERAGE(OFFSET($AM$3,0,0,'Données projet'!$E$10+1,1))-AVERAGE(OFFSET($H$3,0,0,'Données projet'!$E$10+1,1))</f>
        <v>512.21337090113502</v>
      </c>
      <c r="AO93" s="62">
        <f t="shared" si="90"/>
        <v>621.03633124474163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1.8461478444175041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2.3080215106409637E-8</v>
      </c>
      <c r="AX93" s="23">
        <f t="shared" si="60"/>
        <v>1.8461478674977192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1.1368683772161603E-13</v>
      </c>
      <c r="BE93" s="14">
        <f>BD93*VLOOKUP('Données projet'!$B$11,Paramètres!$A$1:$I$89,3,0)*VLOOKUP('Données projet'!$B$11,Paramètres!$A$1:$I$89,5,0)</f>
        <v>6.7984728957526396E-14</v>
      </c>
      <c r="BF93" s="14">
        <f t="shared" si="91"/>
        <v>1.0682447123141398E-12</v>
      </c>
      <c r="BG93" s="22">
        <f t="shared" si="61"/>
        <v>1.978932943548152E-12</v>
      </c>
      <c r="BH93" s="62">
        <f t="shared" si="62"/>
        <v>293.3333333333353</v>
      </c>
      <c r="BI93" s="62">
        <f ca="1">AVERAGE(OFFSET($BH$3,0,0,'Données projet'!$E$11+1,1))-AVERAGE(OFFSET($H$3,0,0,'Données projet'!$E$11+1,1))</f>
        <v>295.83974441964551</v>
      </c>
      <c r="BJ93" s="62">
        <f t="shared" si="92"/>
        <v>212.24900914818096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0.90283235722256638</v>
      </c>
      <c r="BR93" s="23">
        <f>EXP(-LN(2)/2)*BR92+(1-EXP(-LN(2)/2))/(LN(2)/2)*BL93*BO93*VLOOKUP('Données projet'!$B$11,Paramètres!$A$1:$I$89,3,0)*0.475*44/12</f>
        <v>5.7708033609698098E-9</v>
      </c>
      <c r="BS93" s="24">
        <f t="shared" si="63"/>
        <v>0.90283236299336977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-1.1368683772161603E-13</v>
      </c>
      <c r="O94" s="14">
        <f>N94*VLOOKUP('Données projet'!$B$9,Paramètres!$A$1:$I$89,3,0)*VLOOKUP('Données projet'!$B$9,Paramètres!$A$1:$I$89,5,0)</f>
        <v>-5.3205440053716299E-14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193.05670375142864</v>
      </c>
      <c r="T94" s="62">
        <f t="shared" si="88"/>
        <v>259.12914184994344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5.163583133654071</v>
      </c>
      <c r="AA94" s="23">
        <f>EXP(-LN(2)/25)*AA93+(1-EXP(-LN(2)/25))/(LN(2)/25)*Calculateur!V94*Calculateur!X94*VLOOKUP('Données projet'!$B$9,Paramètres!$A$1:$I$89,3,0)*0.475*44/12</f>
        <v>1.1459771486433947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6.3095602822974657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645.99999999999955</v>
      </c>
      <c r="AJ94" s="14">
        <f>AI94*VLOOKUP('Données projet'!$B$10,Paramètres!$A$1:$I$89,3,0)*VLOOKUP('Données projet'!$B$10,Paramètres!$A$1:$I$89,5,0)</f>
        <v>361.11399999999975</v>
      </c>
      <c r="AK94" s="14">
        <f t="shared" si="89"/>
        <v>83.846819063373673</v>
      </c>
      <c r="AL94" s="22">
        <f t="shared" si="58"/>
        <v>774.97342653537532</v>
      </c>
      <c r="AM94" s="62">
        <f t="shared" si="59"/>
        <v>1068.3067598687087</v>
      </c>
      <c r="AN94" s="62">
        <f ca="1">AVERAGE(OFFSET($AM$3,0,0,'Données projet'!$E$10+1,1))-AVERAGE(OFFSET($H$3,0,0,'Données projet'!$E$10+1,1))</f>
        <v>512.21337090113502</v>
      </c>
      <c r="AO94" s="62">
        <f t="shared" si="90"/>
        <v>621.03633124474163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1.8099460112274748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1.6320176612986448E-8</v>
      </c>
      <c r="AX94" s="23">
        <f t="shared" si="60"/>
        <v>1.8099460275476513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1.1368683772161603E-13</v>
      </c>
      <c r="BE94" s="14">
        <f>BD94*VLOOKUP('Données projet'!$B$11,Paramètres!$A$1:$I$89,3,0)*VLOOKUP('Données projet'!$B$11,Paramètres!$A$1:$I$89,5,0)</f>
        <v>6.7984728957526396E-14</v>
      </c>
      <c r="BF94" s="14">
        <f t="shared" si="91"/>
        <v>1.0682447123141398E-12</v>
      </c>
      <c r="BG94" s="22">
        <f t="shared" si="61"/>
        <v>1.978932943548152E-12</v>
      </c>
      <c r="BH94" s="62">
        <f t="shared" si="62"/>
        <v>293.3333333333353</v>
      </c>
      <c r="BI94" s="62">
        <f ca="1">AVERAGE(OFFSET($BH$3,0,0,'Données projet'!$E$11+1,1))-AVERAGE(OFFSET($H$3,0,0,'Données projet'!$E$11+1,1))</f>
        <v>295.83974441964551</v>
      </c>
      <c r="BJ94" s="62">
        <f t="shared" si="92"/>
        <v>212.24900914818096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0.87814435893642506</v>
      </c>
      <c r="BR94" s="23">
        <f>EXP(-LN(2)/2)*BR93+(1-EXP(-LN(2)/2))/(LN(2)/2)*BL94*BO94*VLOOKUP('Données projet'!$B$11,Paramètres!$A$1:$I$89,3,0)*0.475*44/12</f>
        <v>4.0805741894358723E-9</v>
      </c>
      <c r="BS94" s="24">
        <f t="shared" si="63"/>
        <v>0.87814436301699927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-1.1368683772161603E-13</v>
      </c>
      <c r="O95" s="14">
        <f>N95*VLOOKUP('Données projet'!$B$9,Paramètres!$A$1:$I$89,3,0)*VLOOKUP('Données projet'!$B$9,Paramètres!$A$1:$I$89,5,0)</f>
        <v>-5.3205440053716299E-14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193.05670375142864</v>
      </c>
      <c r="T95" s="62">
        <f t="shared" si="88"/>
        <v>259.12914184994344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5.0623284178778416</v>
      </c>
      <c r="AA95" s="23">
        <f>EXP(-LN(2)/25)*AA94+(1-EXP(-LN(2)/25))/(LN(2)/25)*Calculateur!V95*Calculateur!X95*VLOOKUP('Données projet'!$B$9,Paramètres!$A$1:$I$89,3,0)*0.475*44/12</f>
        <v>1.1146403432494221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6.1769687611272639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645.99999999999955</v>
      </c>
      <c r="AJ95" s="14">
        <f>AI95*VLOOKUP('Données projet'!$B$10,Paramètres!$A$1:$I$89,3,0)*VLOOKUP('Données projet'!$B$10,Paramètres!$A$1:$I$89,5,0)</f>
        <v>361.11399999999975</v>
      </c>
      <c r="AK95" s="14">
        <f t="shared" si="89"/>
        <v>83.846819063373673</v>
      </c>
      <c r="AL95" s="22">
        <f t="shared" si="58"/>
        <v>774.97342653537532</v>
      </c>
      <c r="AM95" s="62">
        <f t="shared" si="59"/>
        <v>1068.3067598687087</v>
      </c>
      <c r="AN95" s="62">
        <f ca="1">AVERAGE(OFFSET($AM$3,0,0,'Données projet'!$E$10+1,1))-AVERAGE(OFFSET($H$3,0,0,'Données projet'!$E$10+1,1))</f>
        <v>512.21337090113502</v>
      </c>
      <c r="AO95" s="62">
        <f t="shared" si="90"/>
        <v>621.03633124474163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1.774454073905364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1.1540107553204818E-8</v>
      </c>
      <c r="AX95" s="23">
        <f t="shared" si="60"/>
        <v>1.7744540854454716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1.1368683772161603E-13</v>
      </c>
      <c r="BE95" s="14">
        <f>BD95*VLOOKUP('Données projet'!$B$11,Paramètres!$A$1:$I$89,3,0)*VLOOKUP('Données projet'!$B$11,Paramètres!$A$1:$I$89,5,0)</f>
        <v>6.7984728957526396E-14</v>
      </c>
      <c r="BF95" s="14">
        <f t="shared" si="91"/>
        <v>1.0682447123141398E-12</v>
      </c>
      <c r="BG95" s="22">
        <f t="shared" si="61"/>
        <v>1.978932943548152E-12</v>
      </c>
      <c r="BH95" s="62">
        <f t="shared" si="62"/>
        <v>293.3333333333353</v>
      </c>
      <c r="BI95" s="62">
        <f ca="1">AVERAGE(OFFSET($BH$3,0,0,'Données projet'!$E$11+1,1))-AVERAGE(OFFSET($H$3,0,0,'Données projet'!$E$11+1,1))</f>
        <v>295.83974441964551</v>
      </c>
      <c r="BJ95" s="62">
        <f t="shared" si="92"/>
        <v>212.24900914818096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0.85413145526170375</v>
      </c>
      <c r="BR95" s="23">
        <f>EXP(-LN(2)/2)*BR94+(1-EXP(-LN(2)/2))/(LN(2)/2)*BL95*BO95*VLOOKUP('Données projet'!$B$11,Paramètres!$A$1:$I$89,3,0)*0.475*44/12</f>
        <v>2.8854016804849049E-9</v>
      </c>
      <c r="BS95" s="24">
        <f t="shared" si="63"/>
        <v>0.85413145814710545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-1.1368683772161603E-13</v>
      </c>
      <c r="O96" s="14">
        <f>N96*VLOOKUP('Données projet'!$B$9,Paramètres!$A$1:$I$89,3,0)*VLOOKUP('Données projet'!$B$9,Paramètres!$A$1:$I$89,5,0)</f>
        <v>-5.3205440053716299E-14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193.05670375142864</v>
      </c>
      <c r="T96" s="62">
        <f t="shared" si="88"/>
        <v>259.12914184994344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4.9630592453187052</v>
      </c>
      <c r="AA96" s="23">
        <f>EXP(-LN(2)/25)*AA95+(1-EXP(-LN(2)/25))/(LN(2)/25)*Calculateur!V96*Calculateur!X96*VLOOKUP('Données projet'!$B$9,Paramètres!$A$1:$I$89,3,0)*0.475*44/12</f>
        <v>1.0841604444468784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6.0472196897655834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645.99999999999955</v>
      </c>
      <c r="AJ96" s="14">
        <f>AI96*VLOOKUP('Données projet'!$B$10,Paramètres!$A$1:$I$89,3,0)*VLOOKUP('Données projet'!$B$10,Paramètres!$A$1:$I$89,5,0)</f>
        <v>361.11399999999975</v>
      </c>
      <c r="AK96" s="14">
        <f t="shared" si="89"/>
        <v>83.846819063373673</v>
      </c>
      <c r="AL96" s="22">
        <f t="shared" si="58"/>
        <v>774.97342653537532</v>
      </c>
      <c r="AM96" s="62">
        <f t="shared" si="59"/>
        <v>1068.3067598687087</v>
      </c>
      <c r="AN96" s="62">
        <f ca="1">AVERAGE(OFFSET($AM$3,0,0,'Données projet'!$E$10+1,1))-AVERAGE(OFFSET($H$3,0,0,'Données projet'!$E$10+1,1))</f>
        <v>512.21337090113502</v>
      </c>
      <c r="AO96" s="62">
        <f t="shared" si="90"/>
        <v>621.03633124474163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1.7396581118261956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8.1600883064932238E-9</v>
      </c>
      <c r="AX96" s="23">
        <f t="shared" si="60"/>
        <v>1.7396581199862839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1.1368683772161603E-13</v>
      </c>
      <c r="BE96" s="14">
        <f>BD96*VLOOKUP('Données projet'!$B$11,Paramètres!$A$1:$I$89,3,0)*VLOOKUP('Données projet'!$B$11,Paramètres!$A$1:$I$89,5,0)</f>
        <v>6.7984728957526396E-14</v>
      </c>
      <c r="BF96" s="14">
        <f t="shared" si="91"/>
        <v>1.0682447123141398E-12</v>
      </c>
      <c r="BG96" s="22">
        <f t="shared" si="61"/>
        <v>1.978932943548152E-12</v>
      </c>
      <c r="BH96" s="62">
        <f t="shared" si="62"/>
        <v>293.3333333333353</v>
      </c>
      <c r="BI96" s="62">
        <f ca="1">AVERAGE(OFFSET($BH$3,0,0,'Données projet'!$E$11+1,1))-AVERAGE(OFFSET($H$3,0,0,'Données projet'!$E$11+1,1))</f>
        <v>295.83974441964551</v>
      </c>
      <c r="BJ96" s="62">
        <f t="shared" si="92"/>
        <v>212.24900914818096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0.83077518570075137</v>
      </c>
      <c r="BR96" s="23">
        <f>EXP(-LN(2)/2)*BR95+(1-EXP(-LN(2)/2))/(LN(2)/2)*BL96*BO96*VLOOKUP('Données projet'!$B$11,Paramètres!$A$1:$I$89,3,0)*0.475*44/12</f>
        <v>2.0402870947179361E-9</v>
      </c>
      <c r="BS96" s="24">
        <f t="shared" si="63"/>
        <v>0.83077518774103842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-1.1368683772161603E-13</v>
      </c>
      <c r="O97" s="14">
        <f>N97*VLOOKUP('Données projet'!$B$9,Paramètres!$A$1:$I$89,3,0)*VLOOKUP('Données projet'!$B$9,Paramètres!$A$1:$I$89,5,0)</f>
        <v>-5.3205440053716299E-14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193.05670375142864</v>
      </c>
      <c r="T97" s="62">
        <f t="shared" si="88"/>
        <v>259.12914184994344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4.8657366806852371</v>
      </c>
      <c r="AA97" s="23">
        <f>EXP(-LN(2)/25)*AA96+(1-EXP(-LN(2)/25))/(LN(2)/25)*Calculateur!V97*Calculateur!X97*VLOOKUP('Données projet'!$B$9,Paramètres!$A$1:$I$89,3,0)*0.475*44/12</f>
        <v>1.0545140200799585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5.9202507007651954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645.99999999999955</v>
      </c>
      <c r="AJ97" s="14">
        <f>AI97*VLOOKUP('Données projet'!$B$10,Paramètres!$A$1:$I$89,3,0)*VLOOKUP('Données projet'!$B$10,Paramètres!$A$1:$I$89,5,0)</f>
        <v>361.11399999999975</v>
      </c>
      <c r="AK97" s="14">
        <f t="shared" si="89"/>
        <v>83.846819063373673</v>
      </c>
      <c r="AL97" s="22">
        <f t="shared" si="58"/>
        <v>774.97342653537532</v>
      </c>
      <c r="AM97" s="62">
        <f t="shared" si="59"/>
        <v>1068.3067598687087</v>
      </c>
      <c r="AN97" s="62">
        <f ca="1">AVERAGE(OFFSET($AM$3,0,0,'Données projet'!$E$10+1,1))-AVERAGE(OFFSET($H$3,0,0,'Données projet'!$E$10+1,1))</f>
        <v>512.21337090113502</v>
      </c>
      <c r="AO97" s="62">
        <f t="shared" si="90"/>
        <v>621.03633124474163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1.7055444773399584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5.7700537766024092E-9</v>
      </c>
      <c r="AX97" s="23">
        <f t="shared" si="60"/>
        <v>1.7055444831100122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1.1368683772161603E-13</v>
      </c>
      <c r="BE97" s="14">
        <f>BD97*VLOOKUP('Données projet'!$B$11,Paramètres!$A$1:$I$89,3,0)*VLOOKUP('Données projet'!$B$11,Paramètres!$A$1:$I$89,5,0)</f>
        <v>6.7984728957526396E-14</v>
      </c>
      <c r="BF97" s="14">
        <f t="shared" si="91"/>
        <v>1.0682447123141398E-12</v>
      </c>
      <c r="BG97" s="22">
        <f t="shared" si="61"/>
        <v>1.978932943548152E-12</v>
      </c>
      <c r="BH97" s="62">
        <f t="shared" si="62"/>
        <v>293.3333333333353</v>
      </c>
      <c r="BI97" s="62">
        <f ca="1">AVERAGE(OFFSET($BH$3,0,0,'Données projet'!$E$11+1,1))-AVERAGE(OFFSET($H$3,0,0,'Données projet'!$E$11+1,1))</f>
        <v>295.83974441964551</v>
      </c>
      <c r="BJ97" s="62">
        <f t="shared" si="92"/>
        <v>212.24900914818096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0.80805759455919612</v>
      </c>
      <c r="BR97" s="23">
        <f>EXP(-LN(2)/2)*BR96+(1-EXP(-LN(2)/2))/(LN(2)/2)*BL97*BO97*VLOOKUP('Données projet'!$B$11,Paramètres!$A$1:$I$89,3,0)*0.475*44/12</f>
        <v>1.4427008402424524E-9</v>
      </c>
      <c r="BS97" s="24">
        <f t="shared" si="63"/>
        <v>0.80805759600189697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-1.1368683772161603E-13</v>
      </c>
      <c r="O98" s="14">
        <f>N98*VLOOKUP('Données projet'!$B$9,Paramètres!$A$1:$I$89,3,0)*VLOOKUP('Données projet'!$B$9,Paramètres!$A$1:$I$89,5,0)</f>
        <v>-5.3205440053716299E-14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193.05670375142864</v>
      </c>
      <c r="T98" s="62">
        <f t="shared" si="88"/>
        <v>259.12914184994344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4.7703225521833286</v>
      </c>
      <c r="AA98" s="23">
        <f>EXP(-LN(2)/25)*AA97+(1-EXP(-LN(2)/25))/(LN(2)/25)*Calculateur!V98*Calculateur!X98*VLOOKUP('Données projet'!$B$9,Paramètres!$A$1:$I$89,3,0)*0.475*44/12</f>
        <v>1.0256782787463898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5.7960008309297182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645.99999999999955</v>
      </c>
      <c r="AJ98" s="14">
        <f>AI98*VLOOKUP('Données projet'!$B$10,Paramètres!$A$1:$I$89,3,0)*VLOOKUP('Données projet'!$B$10,Paramètres!$A$1:$I$89,5,0)</f>
        <v>361.11399999999975</v>
      </c>
      <c r="AK98" s="14">
        <f t="shared" si="89"/>
        <v>83.846819063373673</v>
      </c>
      <c r="AL98" s="22">
        <f t="shared" si="58"/>
        <v>774.97342653537532</v>
      </c>
      <c r="AM98" s="62">
        <f t="shared" si="59"/>
        <v>1068.3067598687087</v>
      </c>
      <c r="AN98" s="62">
        <f ca="1">AVERAGE(OFFSET($AM$3,0,0,'Données projet'!$E$10+1,1))-AVERAGE(OFFSET($H$3,0,0,'Données projet'!$E$10+1,1))</f>
        <v>512.21337090113502</v>
      </c>
      <c r="AO98" s="62">
        <f t="shared" si="90"/>
        <v>621.03633124474163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1.672099790418734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4.0800441532466119E-9</v>
      </c>
      <c r="AX98" s="23">
        <f t="shared" si="60"/>
        <v>1.6720997944987781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1.1368683772161603E-13</v>
      </c>
      <c r="BE98" s="14">
        <f>BD98*VLOOKUP('Données projet'!$B$11,Paramètres!$A$1:$I$89,3,0)*VLOOKUP('Données projet'!$B$11,Paramètres!$A$1:$I$89,5,0)</f>
        <v>6.7984728957526396E-14</v>
      </c>
      <c r="BF98" s="14">
        <f t="shared" si="91"/>
        <v>1.0682447123141398E-12</v>
      </c>
      <c r="BG98" s="22">
        <f t="shared" si="61"/>
        <v>1.978932943548152E-12</v>
      </c>
      <c r="BH98" s="62">
        <f t="shared" si="62"/>
        <v>293.3333333333353</v>
      </c>
      <c r="BI98" s="62">
        <f ca="1">AVERAGE(OFFSET($BH$3,0,0,'Données projet'!$E$11+1,1))-AVERAGE(OFFSET($H$3,0,0,'Données projet'!$E$11+1,1))</f>
        <v>295.83974441964551</v>
      </c>
      <c r="BJ98" s="62">
        <f t="shared" si="92"/>
        <v>212.24900914818096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0.7859612171420729</v>
      </c>
      <c r="BR98" s="23">
        <f>EXP(-LN(2)/2)*BR97+(1-EXP(-LN(2)/2))/(LN(2)/2)*BL98*BO98*VLOOKUP('Données projet'!$B$11,Paramètres!$A$1:$I$89,3,0)*0.475*44/12</f>
        <v>1.0201435473589681E-9</v>
      </c>
      <c r="BS98" s="24">
        <f t="shared" si="63"/>
        <v>0.78596121816221642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-1.1368683772161603E-13</v>
      </c>
      <c r="O99" s="14">
        <f>N99*VLOOKUP('Données projet'!$B$9,Paramètres!$A$1:$I$89,3,0)*VLOOKUP('Données projet'!$B$9,Paramètres!$A$1:$I$89,5,0)</f>
        <v>-5.3205440053716299E-14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193.05670375142864</v>
      </c>
      <c r="T99" s="62">
        <f t="shared" si="88"/>
        <v>259.12914184994344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4.6767794365444706</v>
      </c>
      <c r="AA99" s="23">
        <f>EXP(-LN(2)/25)*AA98+(1-EXP(-LN(2)/25))/(LN(2)/25)*Calculateur!V99*Calculateur!X99*VLOOKUP('Données projet'!$B$9,Paramètres!$A$1:$I$89,3,0)*0.475*44/12</f>
        <v>0.99763105227599336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5.6744104888204641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645.99999999999955</v>
      </c>
      <c r="AJ99" s="14">
        <f>AI99*VLOOKUP('Données projet'!$B$10,Paramètres!$A$1:$I$89,3,0)*VLOOKUP('Données projet'!$B$10,Paramètres!$A$1:$I$89,5,0)</f>
        <v>361.11399999999975</v>
      </c>
      <c r="AK99" s="14">
        <f t="shared" si="89"/>
        <v>83.846819063373673</v>
      </c>
      <c r="AL99" s="22">
        <f t="shared" si="58"/>
        <v>774.97342653537532</v>
      </c>
      <c r="AM99" s="62">
        <f t="shared" si="59"/>
        <v>1068.3067598687087</v>
      </c>
      <c r="AN99" s="62">
        <f ca="1">AVERAGE(OFFSET($AM$3,0,0,'Données projet'!$E$10+1,1))-AVERAGE(OFFSET($H$3,0,0,'Données projet'!$E$10+1,1))</f>
        <v>512.21337090113502</v>
      </c>
      <c r="AO99" s="62">
        <f t="shared" si="90"/>
        <v>621.03633124474163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1.6393109334087901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2.8850268883012046E-9</v>
      </c>
      <c r="AX99" s="23">
        <f t="shared" si="60"/>
        <v>1.639310936293817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1.1368683772161603E-13</v>
      </c>
      <c r="BE99" s="14">
        <f>BD99*VLOOKUP('Données projet'!$B$11,Paramètres!$A$1:$I$89,3,0)*VLOOKUP('Données projet'!$B$11,Paramètres!$A$1:$I$89,5,0)</f>
        <v>6.7984728957526396E-14</v>
      </c>
      <c r="BF99" s="14">
        <f t="shared" si="91"/>
        <v>1.0682447123141398E-12</v>
      </c>
      <c r="BG99" s="22">
        <f t="shared" si="61"/>
        <v>1.978932943548152E-12</v>
      </c>
      <c r="BH99" s="62">
        <f t="shared" si="62"/>
        <v>293.3333333333353</v>
      </c>
      <c r="BI99" s="62">
        <f ca="1">AVERAGE(OFFSET($BH$3,0,0,'Données projet'!$E$11+1,1))-AVERAGE(OFFSET($H$3,0,0,'Données projet'!$E$11+1,1))</f>
        <v>295.83974441964551</v>
      </c>
      <c r="BJ99" s="62">
        <f t="shared" si="92"/>
        <v>212.24900914818096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0.76446906632741884</v>
      </c>
      <c r="BR99" s="23">
        <f>EXP(-LN(2)/2)*BR98+(1-EXP(-LN(2)/2))/(LN(2)/2)*BL99*BO99*VLOOKUP('Données projet'!$B$11,Paramètres!$A$1:$I$89,3,0)*0.475*44/12</f>
        <v>7.2135042012122622E-10</v>
      </c>
      <c r="BS99" s="24">
        <f t="shared" si="63"/>
        <v>0.76446906704876927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-1.1368683772161603E-13</v>
      </c>
      <c r="O100" s="14">
        <f>N100*VLOOKUP('Données projet'!$B$9,Paramètres!$A$1:$I$89,3,0)*VLOOKUP('Données projet'!$B$9,Paramètres!$A$1:$I$89,5,0)</f>
        <v>-5.3205440053716299E-14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193.05670375142864</v>
      </c>
      <c r="T100" s="62">
        <f t="shared" si="88"/>
        <v>259.12914184994344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4.5850706443476232</v>
      </c>
      <c r="AA100" s="23">
        <f>EXP(-LN(2)/25)*AA99+(1-EXP(-LN(2)/25))/(LN(2)/25)*Calculateur!V100*Calculateur!X100*VLOOKUP('Données projet'!$B$9,Paramètres!$A$1:$I$89,3,0)*0.475*44/12</f>
        <v>0.97035077868836939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5.5554214230359928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645.99999999999955</v>
      </c>
      <c r="AJ100" s="14">
        <f>AI100*VLOOKUP('Données projet'!$B$10,Paramètres!$A$1:$I$89,3,0)*VLOOKUP('Données projet'!$B$10,Paramètres!$A$1:$I$89,5,0)</f>
        <v>361.11399999999975</v>
      </c>
      <c r="AK100" s="14">
        <f t="shared" si="89"/>
        <v>83.846819063373673</v>
      </c>
      <c r="AL100" s="22">
        <f t="shared" si="58"/>
        <v>774.97342653537532</v>
      </c>
      <c r="AM100" s="62">
        <f t="shared" si="59"/>
        <v>1068.3067598687087</v>
      </c>
      <c r="AN100" s="62">
        <f ca="1">AVERAGE(OFFSET($AM$3,0,0,'Données projet'!$E$10+1,1))-AVERAGE(OFFSET($H$3,0,0,'Données projet'!$E$10+1,1))</f>
        <v>512.21337090113502</v>
      </c>
      <c r="AO100" s="62">
        <f t="shared" si="90"/>
        <v>621.03633124474163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1.6071650458855831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2.040022076623306E-9</v>
      </c>
      <c r="AX100" s="23">
        <f t="shared" si="60"/>
        <v>1.6071650479256052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1.1368683772161603E-13</v>
      </c>
      <c r="BE100" s="14">
        <f>BD100*VLOOKUP('Données projet'!$B$11,Paramètres!$A$1:$I$89,3,0)*VLOOKUP('Données projet'!$B$11,Paramètres!$A$1:$I$89,5,0)</f>
        <v>6.7984728957526396E-14</v>
      </c>
      <c r="BF100" s="14">
        <f t="shared" si="91"/>
        <v>1.0682447123141398E-12</v>
      </c>
      <c r="BG100" s="22">
        <f t="shared" si="61"/>
        <v>1.978932943548152E-12</v>
      </c>
      <c r="BH100" s="62">
        <f t="shared" si="62"/>
        <v>293.3333333333353</v>
      </c>
      <c r="BI100" s="62">
        <f ca="1">AVERAGE(OFFSET($BH$3,0,0,'Données projet'!$E$11+1,1))-AVERAGE(OFFSET($H$3,0,0,'Données projet'!$E$11+1,1))</f>
        <v>295.83974441964551</v>
      </c>
      <c r="BJ100" s="62">
        <f t="shared" si="92"/>
        <v>212.24900914818096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0.74356461950701458</v>
      </c>
      <c r="BR100" s="23">
        <f>EXP(-LN(2)/2)*BR99+(1-EXP(-LN(2)/2))/(LN(2)/2)*BL100*BO100*VLOOKUP('Données projet'!$B$11,Paramètres!$A$1:$I$89,3,0)*0.475*44/12</f>
        <v>5.1007177367948404E-10</v>
      </c>
      <c r="BS100" s="24">
        <f t="shared" si="63"/>
        <v>0.74356462001708634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-1.1368683772161603E-13</v>
      </c>
      <c r="O101" s="14">
        <f>N101*VLOOKUP('Données projet'!$B$9,Paramètres!$A$1:$I$89,3,0)*VLOOKUP('Données projet'!$B$9,Paramètres!$A$1:$I$89,5,0)</f>
        <v>-5.3205440053716299E-14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193.05670375142864</v>
      </c>
      <c r="T101" s="62">
        <f t="shared" si="88"/>
        <v>259.12914184994344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4.4951602056289168</v>
      </c>
      <c r="AA101" s="23">
        <f>EXP(-LN(2)/25)*AA100+(1-EXP(-LN(2)/25))/(LN(2)/25)*Calculateur!V101*Calculateur!X101*VLOOKUP('Données projet'!$B$9,Paramètres!$A$1:$I$89,3,0)*0.475*44/12</f>
        <v>0.94381648561660625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5.4389766912455233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645.99999999999955</v>
      </c>
      <c r="AJ101" s="14">
        <f>AI101*VLOOKUP('Données projet'!$B$10,Paramètres!$A$1:$I$89,3,0)*VLOOKUP('Données projet'!$B$10,Paramètres!$A$1:$I$89,5,0)</f>
        <v>361.11399999999975</v>
      </c>
      <c r="AK101" s="14">
        <f t="shared" si="89"/>
        <v>83.846819063373673</v>
      </c>
      <c r="AL101" s="22">
        <f t="shared" si="58"/>
        <v>774.97342653537532</v>
      </c>
      <c r="AM101" s="62">
        <f t="shared" si="59"/>
        <v>1068.3067598687087</v>
      </c>
      <c r="AN101" s="62">
        <f ca="1">AVERAGE(OFFSET($AM$3,0,0,'Données projet'!$E$10+1,1))-AVERAGE(OFFSET($H$3,0,0,'Données projet'!$E$10+1,1))</f>
        <v>512.21337090113502</v>
      </c>
      <c r="AO101" s="62">
        <f t="shared" si="90"/>
        <v>621.03633124474163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1.5756495196096507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1.4425134441506023E-9</v>
      </c>
      <c r="AX101" s="23">
        <f t="shared" si="60"/>
        <v>1.5756495210521642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1.1368683772161603E-13</v>
      </c>
      <c r="BE101" s="14">
        <f>BD101*VLOOKUP('Données projet'!$B$11,Paramètres!$A$1:$I$89,3,0)*VLOOKUP('Données projet'!$B$11,Paramètres!$A$1:$I$89,5,0)</f>
        <v>6.7984728957526396E-14</v>
      </c>
      <c r="BF101" s="14">
        <f t="shared" si="91"/>
        <v>1.0682447123141398E-12</v>
      </c>
      <c r="BG101" s="22">
        <f t="shared" si="61"/>
        <v>1.978932943548152E-12</v>
      </c>
      <c r="BH101" s="62">
        <f t="shared" si="62"/>
        <v>293.3333333333353</v>
      </c>
      <c r="BI101" s="62">
        <f ca="1">AVERAGE(OFFSET($BH$3,0,0,'Données projet'!$E$11+1,1))-AVERAGE(OFFSET($H$3,0,0,'Données projet'!$E$11+1,1))</f>
        <v>295.83974441964551</v>
      </c>
      <c r="BJ101" s="62">
        <f t="shared" si="92"/>
        <v>212.24900914818096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0.72323180588423142</v>
      </c>
      <c r="BR101" s="23">
        <f>EXP(-LN(2)/2)*BR100+(1-EXP(-LN(2)/2))/(LN(2)/2)*BL101*BO101*VLOOKUP('Données projet'!$B$11,Paramètres!$A$1:$I$89,3,0)*0.475*44/12</f>
        <v>3.6067521006061311E-10</v>
      </c>
      <c r="BS101" s="24">
        <f t="shared" si="63"/>
        <v>0.72323180624490657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-1.1368683772161603E-13</v>
      </c>
      <c r="O102" s="14">
        <f>N102*VLOOKUP('Données projet'!$B$9,Paramètres!$A$1:$I$89,3,0)*VLOOKUP('Données projet'!$B$9,Paramètres!$A$1:$I$89,5,0)</f>
        <v>-5.3205440053716299E-14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193.05670375142864</v>
      </c>
      <c r="T102" s="62">
        <f t="shared" si="88"/>
        <v>259.12914184994344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4.4070128557735311</v>
      </c>
      <c r="AA102" s="23">
        <f>EXP(-LN(2)/25)*AA101+(1-EXP(-LN(2)/25))/(LN(2)/25)*Calculateur!V102*Calculateur!X102*VLOOKUP('Données projet'!$B$9,Paramètres!$A$1:$I$89,3,0)*0.475*44/12</f>
        <v>0.91800777418426827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5.3250206299577991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645.99999999999955</v>
      </c>
      <c r="AJ102" s="14">
        <f>AI102*VLOOKUP('Données projet'!$B$10,Paramètres!$A$1:$I$89,3,0)*VLOOKUP('Données projet'!$B$10,Paramètres!$A$1:$I$89,5,0)</f>
        <v>361.11399999999975</v>
      </c>
      <c r="AK102" s="14">
        <f t="shared" si="89"/>
        <v>83.846819063373673</v>
      </c>
      <c r="AL102" s="22">
        <f t="shared" si="58"/>
        <v>774.97342653537532</v>
      </c>
      <c r="AM102" s="62">
        <f t="shared" si="59"/>
        <v>1068.3067598687087</v>
      </c>
      <c r="AN102" s="62">
        <f ca="1">AVERAGE(OFFSET($AM$3,0,0,'Données projet'!$E$10+1,1))-AVERAGE(OFFSET($H$3,0,0,'Données projet'!$E$10+1,1))</f>
        <v>512.21337090113502</v>
      </c>
      <c r="AO102" s="62">
        <f t="shared" si="90"/>
        <v>621.03633124474163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1.5447519935814165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1.020011038311653E-9</v>
      </c>
      <c r="AX102" s="23">
        <f t="shared" si="60"/>
        <v>1.5447519946014274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1.1368683772161603E-13</v>
      </c>
      <c r="BE102" s="14">
        <f>BD102*VLOOKUP('Données projet'!$B$11,Paramètres!$A$1:$I$89,3,0)*VLOOKUP('Données projet'!$B$11,Paramètres!$A$1:$I$89,5,0)</f>
        <v>6.7984728957526396E-14</v>
      </c>
      <c r="BF102" s="14">
        <f t="shared" si="91"/>
        <v>1.0682447123141398E-12</v>
      </c>
      <c r="BG102" s="22">
        <f t="shared" si="61"/>
        <v>1.978932943548152E-12</v>
      </c>
      <c r="BH102" s="62">
        <f t="shared" si="62"/>
        <v>293.3333333333353</v>
      </c>
      <c r="BI102" s="62">
        <f ca="1">AVERAGE(OFFSET($BH$3,0,0,'Données projet'!$E$11+1,1))-AVERAGE(OFFSET($H$3,0,0,'Données projet'!$E$11+1,1))</f>
        <v>295.83974441964551</v>
      </c>
      <c r="BJ102" s="62">
        <f t="shared" si="92"/>
        <v>212.24900914818096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0.70345499411921941</v>
      </c>
      <c r="BR102" s="23">
        <f>EXP(-LN(2)/2)*BR101+(1-EXP(-LN(2)/2))/(LN(2)/2)*BL102*BO102*VLOOKUP('Données projet'!$B$11,Paramètres!$A$1:$I$89,3,0)*0.475*44/12</f>
        <v>2.5503588683974202E-10</v>
      </c>
      <c r="BS102" s="24">
        <f t="shared" si="63"/>
        <v>0.70345499437425529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-1.1368683772161603E-13</v>
      </c>
      <c r="O103" s="14">
        <f>N103*VLOOKUP('Données projet'!$B$9,Paramètres!$A$1:$I$89,3,0)*VLOOKUP('Données projet'!$B$9,Paramètres!$A$1:$I$89,5,0)</f>
        <v>-5.3205440053716299E-14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193.05670375142864</v>
      </c>
      <c r="T103" s="62">
        <f t="shared" si="88"/>
        <v>259.12914184994344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4.3205940216842347</v>
      </c>
      <c r="AA103" s="23">
        <f>EXP(-LN(2)/25)*AA102+(1-EXP(-LN(2)/25))/(LN(2)/25)*Calculateur!V103*Calculateur!X103*VLOOKUP('Données projet'!$B$9,Paramètres!$A$1:$I$89,3,0)*0.475*44/12</f>
        <v>0.89290480332326871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5.2134988250075036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645.99999999999955</v>
      </c>
      <c r="AJ103" s="14">
        <f>AI103*VLOOKUP('Données projet'!$B$10,Paramètres!$A$1:$I$89,3,0)*VLOOKUP('Données projet'!$B$10,Paramètres!$A$1:$I$89,5,0)</f>
        <v>361.11399999999975</v>
      </c>
      <c r="AK103" s="14">
        <f t="shared" si="89"/>
        <v>83.846819063373673</v>
      </c>
      <c r="AL103" s="22">
        <f t="shared" si="58"/>
        <v>774.97342653537532</v>
      </c>
      <c r="AM103" s="62">
        <f t="shared" si="59"/>
        <v>1068.3067598687087</v>
      </c>
      <c r="AN103" s="62">
        <f ca="1">AVERAGE(OFFSET($AM$3,0,0,'Données projet'!$E$10+1,1))-AVERAGE(OFFSET($H$3,0,0,'Données projet'!$E$10+1,1))</f>
        <v>512.21337090113502</v>
      </c>
      <c r="AO103" s="62">
        <f t="shared" si="90"/>
        <v>621.03633124474163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1.5144603491929658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7.2125672207530115E-10</v>
      </c>
      <c r="AX103" s="23">
        <f t="shared" si="60"/>
        <v>1.5144603499142226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1.1368683772161603E-13</v>
      </c>
      <c r="BE103" s="14">
        <f>BD103*VLOOKUP('Données projet'!$B$11,Paramètres!$A$1:$I$89,3,0)*VLOOKUP('Données projet'!$B$11,Paramètres!$A$1:$I$89,5,0)</f>
        <v>6.7984728957526396E-14</v>
      </c>
      <c r="BF103" s="14">
        <f t="shared" si="91"/>
        <v>1.0682447123141398E-12</v>
      </c>
      <c r="BG103" s="22">
        <f t="shared" si="61"/>
        <v>1.978932943548152E-12</v>
      </c>
      <c r="BH103" s="62">
        <f t="shared" si="62"/>
        <v>293.3333333333353</v>
      </c>
      <c r="BI103" s="62">
        <f ca="1">AVERAGE(OFFSET($BH$3,0,0,'Données projet'!$E$11+1,1))-AVERAGE(OFFSET($H$3,0,0,'Données projet'!$E$11+1,1))</f>
        <v>295.83974441964551</v>
      </c>
      <c r="BJ103" s="62">
        <f t="shared" si="92"/>
        <v>212.24900914818096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0.68421898031193895</v>
      </c>
      <c r="BR103" s="23">
        <f>EXP(-LN(2)/2)*BR102+(1-EXP(-LN(2)/2))/(LN(2)/2)*BL103*BO103*VLOOKUP('Données projet'!$B$11,Paramètres!$A$1:$I$89,3,0)*0.475*44/12</f>
        <v>1.8033760503030655E-10</v>
      </c>
      <c r="BS103" s="24">
        <f t="shared" si="63"/>
        <v>0.68421898049227659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-1.1368683772161603E-13</v>
      </c>
      <c r="O104" s="14">
        <f>N104*VLOOKUP('Données projet'!$B$9,Paramètres!$A$1:$I$89,3,0)*VLOOKUP('Données projet'!$B$9,Paramètres!$A$1:$I$89,5,0)</f>
        <v>-5.3205440053716299E-14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193.05670375142864</v>
      </c>
      <c r="T104" s="62">
        <f t="shared" si="88"/>
        <v>259.12914184994344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4.2358698082211452</v>
      </c>
      <c r="AA104" s="23">
        <f>EXP(-LN(2)/25)*AA103+(1-EXP(-LN(2)/25))/(LN(2)/25)*Calculateur!V104*Calculateur!X104*VLOOKUP('Données projet'!$B$9,Paramètres!$A$1:$I$89,3,0)*0.475*44/12</f>
        <v>0.86848827452057109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5.1043580827417161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645.99999999999955</v>
      </c>
      <c r="AJ104" s="14">
        <f>AI104*VLOOKUP('Données projet'!$B$10,Paramètres!$A$1:$I$89,3,0)*VLOOKUP('Données projet'!$B$10,Paramètres!$A$1:$I$89,5,0)</f>
        <v>361.11399999999975</v>
      </c>
      <c r="AK104" s="14">
        <f t="shared" si="89"/>
        <v>83.846819063373673</v>
      </c>
      <c r="AL104" s="22">
        <f t="shared" si="58"/>
        <v>774.97342653537532</v>
      </c>
      <c r="AM104" s="62">
        <f t="shared" si="59"/>
        <v>1068.3067598687087</v>
      </c>
      <c r="AN104" s="62">
        <f ca="1">AVERAGE(OFFSET($AM$3,0,0,'Données projet'!$E$10+1,1))-AVERAGE(OFFSET($H$3,0,0,'Données projet'!$E$10+1,1))</f>
        <v>512.21337090113502</v>
      </c>
      <c r="AO104" s="62">
        <f t="shared" si="90"/>
        <v>621.03633124474163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1.484762705474894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5.1000551915582649E-10</v>
      </c>
      <c r="AX104" s="23">
        <f t="shared" si="60"/>
        <v>1.4847627059848996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1.1368683772161603E-13</v>
      </c>
      <c r="BE104" s="14">
        <f>BD104*VLOOKUP('Données projet'!$B$11,Paramètres!$A$1:$I$89,3,0)*VLOOKUP('Données projet'!$B$11,Paramètres!$A$1:$I$89,5,0)</f>
        <v>6.7984728957526396E-14</v>
      </c>
      <c r="BF104" s="14">
        <f t="shared" si="91"/>
        <v>1.0682447123141398E-12</v>
      </c>
      <c r="BG104" s="22">
        <f t="shared" si="61"/>
        <v>1.978932943548152E-12</v>
      </c>
      <c r="BH104" s="62">
        <f t="shared" si="62"/>
        <v>293.3333333333353</v>
      </c>
      <c r="BI104" s="62">
        <f ca="1">AVERAGE(OFFSET($BH$3,0,0,'Données projet'!$E$11+1,1))-AVERAGE(OFFSET($H$3,0,0,'Données projet'!$E$11+1,1))</f>
        <v>295.83974441964551</v>
      </c>
      <c r="BJ104" s="62">
        <f t="shared" si="92"/>
        <v>212.24900914818096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0.66550897631379657</v>
      </c>
      <c r="BR104" s="23">
        <f>EXP(-LN(2)/2)*BR103+(1-EXP(-LN(2)/2))/(LN(2)/2)*BL104*BO104*VLOOKUP('Données projet'!$B$11,Paramètres!$A$1:$I$89,3,0)*0.475*44/12</f>
        <v>1.2751794341987101E-10</v>
      </c>
      <c r="BS104" s="24">
        <f t="shared" si="63"/>
        <v>0.66550897644131457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-1.1368683772161603E-13</v>
      </c>
      <c r="O105" s="14">
        <f>N105*VLOOKUP('Données projet'!$B$9,Paramètres!$A$1:$I$89,3,0)*VLOOKUP('Données projet'!$B$9,Paramètres!$A$1:$I$89,5,0)</f>
        <v>-5.3205440053716299E-14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193.05670375142864</v>
      </c>
      <c r="T105" s="62">
        <f t="shared" si="88"/>
        <v>259.12914184994344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4.1528069849074001</v>
      </c>
      <c r="AA105" s="23">
        <f>EXP(-LN(2)/25)*AA104+(1-EXP(-LN(2)/25))/(LN(2)/25)*Calculateur!V105*Calculateur!X105*VLOOKUP('Données projet'!$B$9,Paramètres!$A$1:$I$89,3,0)*0.475*44/12</f>
        <v>0.84473941698199262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4.9975464018893927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645.99999999999955</v>
      </c>
      <c r="AJ105" s="14">
        <f>AI105*VLOOKUP('Données projet'!$B$10,Paramètres!$A$1:$I$89,3,0)*VLOOKUP('Données projet'!$B$10,Paramètres!$A$1:$I$89,5,0)</f>
        <v>361.11399999999975</v>
      </c>
      <c r="AK105" s="14">
        <f t="shared" si="89"/>
        <v>83.846819063373673</v>
      </c>
      <c r="AL105" s="22">
        <f t="shared" si="58"/>
        <v>774.97342653537532</v>
      </c>
      <c r="AM105" s="62">
        <f t="shared" si="59"/>
        <v>1068.3067598687087</v>
      </c>
      <c r="AN105" s="62">
        <f ca="1">AVERAGE(OFFSET($AM$3,0,0,'Données projet'!$E$10+1,1))-AVERAGE(OFFSET($H$3,0,0,'Données projet'!$E$10+1,1))</f>
        <v>512.21337090113502</v>
      </c>
      <c r="AO105" s="62">
        <f t="shared" si="90"/>
        <v>621.03633124474163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1.4556474144363596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3.6062836103765058E-10</v>
      </c>
      <c r="AX105" s="23">
        <f t="shared" si="60"/>
        <v>1.455647414796988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1.1368683772161603E-13</v>
      </c>
      <c r="BE105" s="14">
        <f>BD105*VLOOKUP('Données projet'!$B$11,Paramètres!$A$1:$I$89,3,0)*VLOOKUP('Données projet'!$B$11,Paramètres!$A$1:$I$89,5,0)</f>
        <v>6.7984728957526396E-14</v>
      </c>
      <c r="BF105" s="14">
        <f t="shared" si="91"/>
        <v>1.0682447123141398E-12</v>
      </c>
      <c r="BG105" s="22">
        <f t="shared" si="61"/>
        <v>1.978932943548152E-12</v>
      </c>
      <c r="BH105" s="62">
        <f t="shared" si="62"/>
        <v>293.3333333333353</v>
      </c>
      <c r="BI105" s="62">
        <f ca="1">AVERAGE(OFFSET($BH$3,0,0,'Données projet'!$E$11+1,1))-AVERAGE(OFFSET($H$3,0,0,'Données projet'!$E$11+1,1))</f>
        <v>295.83974441964551</v>
      </c>
      <c r="BJ105" s="62">
        <f t="shared" si="92"/>
        <v>212.24900914818096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0.64731059835889981</v>
      </c>
      <c r="BR105" s="23">
        <f>EXP(-LN(2)/2)*BR104+(1-EXP(-LN(2)/2))/(LN(2)/2)*BL105*BO105*VLOOKUP('Données projet'!$B$11,Paramètres!$A$1:$I$89,3,0)*0.475*44/12</f>
        <v>9.0168802515153277E-11</v>
      </c>
      <c r="BS105" s="24">
        <f t="shared" si="63"/>
        <v>0.64731059844906857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-1.1368683772161603E-13</v>
      </c>
      <c r="O106" s="14">
        <f>N106*VLOOKUP('Données projet'!$B$9,Paramètres!$A$1:$I$89,3,0)*VLOOKUP('Données projet'!$B$9,Paramètres!$A$1:$I$89,5,0)</f>
        <v>-5.3205440053716299E-14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193.05670375142864</v>
      </c>
      <c r="T106" s="62">
        <f t="shared" si="88"/>
        <v>259.12914184994344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4.0713729728955173</v>
      </c>
      <c r="AA106" s="23">
        <f>EXP(-LN(2)/25)*AA105+(1-EXP(-LN(2)/25))/(LN(2)/25)*Calculateur!V106*Calculateur!X106*VLOOKUP('Données projet'!$B$9,Paramètres!$A$1:$I$89,3,0)*0.475*44/12</f>
        <v>0.82163997320170479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4.8930129460972225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645.99999999999955</v>
      </c>
      <c r="AJ106" s="14">
        <f>AI106*VLOOKUP('Données projet'!$B$10,Paramètres!$A$1:$I$89,3,0)*VLOOKUP('Données projet'!$B$10,Paramètres!$A$1:$I$89,5,0)</f>
        <v>361.11399999999975</v>
      </c>
      <c r="AK106" s="14">
        <f t="shared" si="89"/>
        <v>83.846819063373673</v>
      </c>
      <c r="AL106" s="22">
        <f t="shared" si="58"/>
        <v>774.97342653537532</v>
      </c>
      <c r="AM106" s="62">
        <f t="shared" si="59"/>
        <v>1068.3067598687087</v>
      </c>
      <c r="AN106" s="62">
        <f ca="1">AVERAGE(OFFSET($AM$3,0,0,'Données projet'!$E$10+1,1))-AVERAGE(OFFSET($H$3,0,0,'Données projet'!$E$10+1,1))</f>
        <v>512.21337090113502</v>
      </c>
      <c r="AO106" s="62">
        <f t="shared" si="90"/>
        <v>621.03633124474163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1.4271030564965168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2.5500275957791325E-10</v>
      </c>
      <c r="AX106" s="23">
        <f t="shared" si="60"/>
        <v>1.4271030567515195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1.1368683772161603E-13</v>
      </c>
      <c r="BE106" s="14">
        <f>BD106*VLOOKUP('Données projet'!$B$11,Paramètres!$A$1:$I$89,3,0)*VLOOKUP('Données projet'!$B$11,Paramètres!$A$1:$I$89,5,0)</f>
        <v>6.7984728957526396E-14</v>
      </c>
      <c r="BF106" s="14">
        <f t="shared" si="91"/>
        <v>1.0682447123141398E-12</v>
      </c>
      <c r="BG106" s="22">
        <f t="shared" si="61"/>
        <v>1.978932943548152E-12</v>
      </c>
      <c r="BH106" s="62">
        <f t="shared" si="62"/>
        <v>293.3333333333353</v>
      </c>
      <c r="BI106" s="62">
        <f ca="1">AVERAGE(OFFSET($BH$3,0,0,'Données projet'!$E$11+1,1))-AVERAGE(OFFSET($H$3,0,0,'Données projet'!$E$11+1,1))</f>
        <v>295.83974441964551</v>
      </c>
      <c r="BJ106" s="62">
        <f t="shared" si="92"/>
        <v>212.24900914818096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0.62960985600619079</v>
      </c>
      <c r="BR106" s="23">
        <f>EXP(-LN(2)/2)*BR105+(1-EXP(-LN(2)/2))/(LN(2)/2)*BL106*BO106*VLOOKUP('Données projet'!$B$11,Paramètres!$A$1:$I$89,3,0)*0.475*44/12</f>
        <v>6.3758971709935504E-11</v>
      </c>
      <c r="BS106" s="24">
        <f t="shared" si="63"/>
        <v>0.62960985606994979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-1.1368683772161603E-13</v>
      </c>
      <c r="O107" s="14">
        <f>N107*VLOOKUP('Données projet'!$B$9,Paramètres!$A$1:$I$89,3,0)*VLOOKUP('Données projet'!$B$9,Paramètres!$A$1:$I$89,5,0)</f>
        <v>-5.3205440053716299E-14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193.05670375142864</v>
      </c>
      <c r="T107" s="62">
        <f t="shared" si="88"/>
        <v>259.12914184994344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3.9915358321893448</v>
      </c>
      <c r="AA107" s="23">
        <f>EXP(-LN(2)/25)*AA106+(1-EXP(-LN(2)/25))/(LN(2)/25)*Calculateur!V107*Calculateur!X107*VLOOKUP('Données projet'!$B$9,Paramètres!$A$1:$I$89,3,0)*0.475*44/12</f>
        <v>0.7991721849263359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4.7907080171156808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645.99999999999955</v>
      </c>
      <c r="AJ107" s="14">
        <f>AI107*VLOOKUP('Données projet'!$B$10,Paramètres!$A$1:$I$89,3,0)*VLOOKUP('Données projet'!$B$10,Paramètres!$A$1:$I$89,5,0)</f>
        <v>361.11399999999975</v>
      </c>
      <c r="AK107" s="14">
        <f t="shared" si="89"/>
        <v>83.846819063373673</v>
      </c>
      <c r="AL107" s="22">
        <f t="shared" si="58"/>
        <v>774.97342653537532</v>
      </c>
      <c r="AM107" s="62">
        <f t="shared" si="59"/>
        <v>1068.3067598687087</v>
      </c>
      <c r="AN107" s="62">
        <f ca="1">AVERAGE(OFFSET($AM$3,0,0,'Données projet'!$E$10+1,1))-AVERAGE(OFFSET($H$3,0,0,'Données projet'!$E$10+1,1))</f>
        <v>512.21337090113502</v>
      </c>
      <c r="AO107" s="62">
        <f t="shared" si="90"/>
        <v>621.03633124474163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1.3991184360055351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1.8031418051882529E-10</v>
      </c>
      <c r="AX107" s="23">
        <f t="shared" si="60"/>
        <v>1.3991184361858493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1.1368683772161603E-13</v>
      </c>
      <c r="BE107" s="14">
        <f>BD107*VLOOKUP('Données projet'!$B$11,Paramètres!$A$1:$I$89,3,0)*VLOOKUP('Données projet'!$B$11,Paramètres!$A$1:$I$89,5,0)</f>
        <v>6.7984728957526396E-14</v>
      </c>
      <c r="BF107" s="14">
        <f t="shared" si="91"/>
        <v>1.0682447123141398E-12</v>
      </c>
      <c r="BG107" s="22">
        <f t="shared" si="61"/>
        <v>1.978932943548152E-12</v>
      </c>
      <c r="BH107" s="62">
        <f t="shared" si="62"/>
        <v>293.3333333333353</v>
      </c>
      <c r="BI107" s="62">
        <f ca="1">AVERAGE(OFFSET($BH$3,0,0,'Données projet'!$E$11+1,1))-AVERAGE(OFFSET($H$3,0,0,'Données projet'!$E$11+1,1))</f>
        <v>295.83974441964551</v>
      </c>
      <c r="BJ107" s="62">
        <f t="shared" si="92"/>
        <v>212.24900914818096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0.61239314138395817</v>
      </c>
      <c r="BR107" s="23">
        <f>EXP(-LN(2)/2)*BR106+(1-EXP(-LN(2)/2))/(LN(2)/2)*BL107*BO107*VLOOKUP('Données projet'!$B$11,Paramètres!$A$1:$I$89,3,0)*0.475*44/12</f>
        <v>4.5084401257576639E-11</v>
      </c>
      <c r="BS107" s="24">
        <f t="shared" si="63"/>
        <v>0.61239314142904255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-1.1368683772161603E-13</v>
      </c>
      <c r="O108" s="14">
        <f>N108*VLOOKUP('Données projet'!$B$9,Paramètres!$A$1:$I$89,3,0)*VLOOKUP('Données projet'!$B$9,Paramètres!$A$1:$I$89,5,0)</f>
        <v>-5.3205440053716299E-14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193.05670375142864</v>
      </c>
      <c r="T108" s="62">
        <f t="shared" si="88"/>
        <v>259.12914184994344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3.913264249116573</v>
      </c>
      <c r="AA108" s="23">
        <f>EXP(-LN(2)/25)*AA107+(1-EXP(-LN(2)/25))/(LN(2)/25)*Calculateur!V108*Calculateur!X108*VLOOKUP('Données projet'!$B$9,Paramètres!$A$1:$I$89,3,0)*0.475*44/12</f>
        <v>0.77731877950288653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4.6905830286194599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645.99999999999955</v>
      </c>
      <c r="AJ108" s="14">
        <f>AI108*VLOOKUP('Données projet'!$B$10,Paramètres!$A$1:$I$89,3,0)*VLOOKUP('Données projet'!$B$10,Paramètres!$A$1:$I$89,5,0)</f>
        <v>361.11399999999975</v>
      </c>
      <c r="AK108" s="14">
        <f t="shared" si="89"/>
        <v>83.846819063373673</v>
      </c>
      <c r="AL108" s="22">
        <f t="shared" si="58"/>
        <v>774.97342653537532</v>
      </c>
      <c r="AM108" s="62">
        <f t="shared" si="59"/>
        <v>1068.3067598687087</v>
      </c>
      <c r="AN108" s="62">
        <f ca="1">AVERAGE(OFFSET($AM$3,0,0,'Données projet'!$E$10+1,1))-AVERAGE(OFFSET($H$3,0,0,'Données projet'!$E$10+1,1))</f>
        <v>512.21337090113502</v>
      </c>
      <c r="AO108" s="62">
        <f t="shared" si="90"/>
        <v>621.03633124474163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1.3716825768534484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1.2750137978895662E-10</v>
      </c>
      <c r="AX108" s="23">
        <f t="shared" si="60"/>
        <v>1.3716825769809498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1.1368683772161603E-13</v>
      </c>
      <c r="BE108" s="14">
        <f>BD108*VLOOKUP('Données projet'!$B$11,Paramètres!$A$1:$I$89,3,0)*VLOOKUP('Données projet'!$B$11,Paramètres!$A$1:$I$89,5,0)</f>
        <v>6.7984728957526396E-14</v>
      </c>
      <c r="BF108" s="14">
        <f t="shared" si="91"/>
        <v>1.0682447123141398E-12</v>
      </c>
      <c r="BG108" s="22">
        <f t="shared" si="61"/>
        <v>1.978932943548152E-12</v>
      </c>
      <c r="BH108" s="62">
        <f t="shared" si="62"/>
        <v>293.3333333333353</v>
      </c>
      <c r="BI108" s="62">
        <f ca="1">AVERAGE(OFFSET($BH$3,0,0,'Données projet'!$E$11+1,1))-AVERAGE(OFFSET($H$3,0,0,'Données projet'!$E$11+1,1))</f>
        <v>295.83974441964551</v>
      </c>
      <c r="BJ108" s="62">
        <f t="shared" si="92"/>
        <v>212.24900914818096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0.59564721872845816</v>
      </c>
      <c r="BR108" s="23">
        <f>EXP(-LN(2)/2)*BR107+(1-EXP(-LN(2)/2))/(LN(2)/2)*BL108*BO108*VLOOKUP('Données projet'!$B$11,Paramètres!$A$1:$I$89,3,0)*0.475*44/12</f>
        <v>3.1879485854967752E-11</v>
      </c>
      <c r="BS108" s="24">
        <f t="shared" si="63"/>
        <v>0.59564721876033766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-1.1368683772161603E-13</v>
      </c>
      <c r="O109" s="14">
        <f>N109*VLOOKUP('Données projet'!$B$9,Paramètres!$A$1:$I$89,3,0)*VLOOKUP('Données projet'!$B$9,Paramètres!$A$1:$I$89,5,0)</f>
        <v>-5.3205440053716299E-14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193.05670375142864</v>
      </c>
      <c r="T109" s="62">
        <f t="shared" si="88"/>
        <v>259.12914184994344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3.8365275240469066</v>
      </c>
      <c r="AA109" s="23">
        <f>EXP(-LN(2)/25)*AA108+(1-EXP(-LN(2)/25))/(LN(2)/25)*Calculateur!V109*Calculateur!X109*VLOOKUP('Données projet'!$B$9,Paramètres!$A$1:$I$89,3,0)*0.475*44/12</f>
        <v>0.75606295659996203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4.5925904806468685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645.99999999999955</v>
      </c>
      <c r="AJ109" s="14">
        <f>AI109*VLOOKUP('Données projet'!$B$10,Paramètres!$A$1:$I$89,3,0)*VLOOKUP('Données projet'!$B$10,Paramètres!$A$1:$I$89,5,0)</f>
        <v>361.11399999999975</v>
      </c>
      <c r="AK109" s="14">
        <f t="shared" si="89"/>
        <v>83.846819063373673</v>
      </c>
      <c r="AL109" s="22">
        <f t="shared" si="58"/>
        <v>774.97342653537532</v>
      </c>
      <c r="AM109" s="62">
        <f t="shared" si="59"/>
        <v>1068.3067598687087</v>
      </c>
      <c r="AN109" s="62">
        <f ca="1">AVERAGE(OFFSET($AM$3,0,0,'Données projet'!$E$10+1,1))-AVERAGE(OFFSET($H$3,0,0,'Données projet'!$E$10+1,1))</f>
        <v>512.21337090113502</v>
      </c>
      <c r="AO109" s="62">
        <f t="shared" si="90"/>
        <v>621.03633124474163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1.3447847181651125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9.0157090259412644E-11</v>
      </c>
      <c r="AX109" s="23">
        <f t="shared" si="60"/>
        <v>1.3447847182552695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1.1368683772161603E-13</v>
      </c>
      <c r="BE109" s="14">
        <f>BD109*VLOOKUP('Données projet'!$B$11,Paramètres!$A$1:$I$89,3,0)*VLOOKUP('Données projet'!$B$11,Paramètres!$A$1:$I$89,5,0)</f>
        <v>6.7984728957526396E-14</v>
      </c>
      <c r="BF109" s="14">
        <f t="shared" si="91"/>
        <v>1.0682447123141398E-12</v>
      </c>
      <c r="BG109" s="22">
        <f t="shared" si="61"/>
        <v>1.978932943548152E-12</v>
      </c>
      <c r="BH109" s="62">
        <f t="shared" si="62"/>
        <v>293.3333333333353</v>
      </c>
      <c r="BI109" s="62">
        <f ca="1">AVERAGE(OFFSET($BH$3,0,0,'Données projet'!$E$11+1,1))-AVERAGE(OFFSET($H$3,0,0,'Données projet'!$E$11+1,1))</f>
        <v>295.83974441964551</v>
      </c>
      <c r="BJ109" s="62">
        <f t="shared" si="92"/>
        <v>212.24900914818096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0.57935921420860259</v>
      </c>
      <c r="BR109" s="23">
        <f>EXP(-LN(2)/2)*BR108+(1-EXP(-LN(2)/2))/(LN(2)/2)*BL109*BO109*VLOOKUP('Données projet'!$B$11,Paramètres!$A$1:$I$89,3,0)*0.475*44/12</f>
        <v>2.2542200628788319E-11</v>
      </c>
      <c r="BS109" s="24">
        <f t="shared" si="63"/>
        <v>0.57935921423114478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-1.1368683772161603E-13</v>
      </c>
      <c r="O110" s="14">
        <f>N110*VLOOKUP('Données projet'!$B$9,Paramètres!$A$1:$I$89,3,0)*VLOOKUP('Données projet'!$B$9,Paramètres!$A$1:$I$89,5,0)</f>
        <v>-5.3205440053716299E-14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193.05670375142864</v>
      </c>
      <c r="T110" s="62">
        <f t="shared" si="88"/>
        <v>259.12914184994344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3.7612955593510757</v>
      </c>
      <c r="AA110" s="23">
        <f>EXP(-LN(2)/25)*AA109+(1-EXP(-LN(2)/25))/(LN(2)/25)*Calculateur!V110*Calculateur!X110*VLOOKUP('Données projet'!$B$9,Paramètres!$A$1:$I$89,3,0)*0.475*44/12</f>
        <v>0.73538837529211321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4.4966839346431886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645.99999999999955</v>
      </c>
      <c r="AJ110" s="14">
        <f>AI110*VLOOKUP('Données projet'!$B$10,Paramètres!$A$1:$I$89,3,0)*VLOOKUP('Données projet'!$B$10,Paramètres!$A$1:$I$89,5,0)</f>
        <v>361.11399999999975</v>
      </c>
      <c r="AK110" s="14">
        <f t="shared" si="89"/>
        <v>83.846819063373673</v>
      </c>
      <c r="AL110" s="22">
        <f t="shared" si="58"/>
        <v>774.97342653537532</v>
      </c>
      <c r="AM110" s="62">
        <f t="shared" si="59"/>
        <v>1068.3067598687087</v>
      </c>
      <c r="AN110" s="62">
        <f ca="1">AVERAGE(OFFSET($AM$3,0,0,'Données projet'!$E$10+1,1))-AVERAGE(OFFSET($H$3,0,0,'Données projet'!$E$10+1,1))</f>
        <v>512.21337090113502</v>
      </c>
      <c r="AO110" s="62">
        <f t="shared" si="90"/>
        <v>621.03633124474163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1.3184143100795809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6.3750689894478311E-11</v>
      </c>
      <c r="AX110" s="23">
        <f t="shared" si="60"/>
        <v>1.3184143101433317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1.1368683772161603E-13</v>
      </c>
      <c r="BE110" s="14">
        <f>BD110*VLOOKUP('Données projet'!$B$11,Paramètres!$A$1:$I$89,3,0)*VLOOKUP('Données projet'!$B$11,Paramètres!$A$1:$I$89,5,0)</f>
        <v>6.7984728957526396E-14</v>
      </c>
      <c r="BF110" s="14">
        <f t="shared" si="91"/>
        <v>1.0682447123141398E-12</v>
      </c>
      <c r="BG110" s="22">
        <f t="shared" si="61"/>
        <v>1.978932943548152E-12</v>
      </c>
      <c r="BH110" s="62">
        <f t="shared" si="62"/>
        <v>293.3333333333353</v>
      </c>
      <c r="BI110" s="62">
        <f ca="1">AVERAGE(OFFSET($BH$3,0,0,'Données projet'!$E$11+1,1))-AVERAGE(OFFSET($H$3,0,0,'Données projet'!$E$11+1,1))</f>
        <v>295.83974441964551</v>
      </c>
      <c r="BJ110" s="62">
        <f t="shared" si="92"/>
        <v>212.24900914818096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0.56351660602889142</v>
      </c>
      <c r="BR110" s="23">
        <f>EXP(-LN(2)/2)*BR109+(1-EXP(-LN(2)/2))/(LN(2)/2)*BL110*BO110*VLOOKUP('Données projet'!$B$11,Paramètres!$A$1:$I$89,3,0)*0.475*44/12</f>
        <v>1.5939742927483876E-11</v>
      </c>
      <c r="BS110" s="24">
        <f t="shared" si="63"/>
        <v>0.56351660604483111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-1.1368683772161603E-13</v>
      </c>
      <c r="O111" s="14">
        <f>N111*VLOOKUP('Données projet'!$B$9,Paramètres!$A$1:$I$89,3,0)*VLOOKUP('Données projet'!$B$9,Paramètres!$A$1:$I$89,5,0)</f>
        <v>-5.3205440053716299E-14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193.05670375142864</v>
      </c>
      <c r="T111" s="62">
        <f t="shared" si="88"/>
        <v>259.12914184994344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3.6875388475959623</v>
      </c>
      <c r="AA111" s="23">
        <f>EXP(-LN(2)/25)*AA110+(1-EXP(-LN(2)/25))/(LN(2)/25)*Calculateur!V111*Calculateur!X111*VLOOKUP('Données projet'!$B$9,Paramètres!$A$1:$I$89,3,0)*0.475*44/12</f>
        <v>0.7152791414973565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4.402817989093319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645.99999999999955</v>
      </c>
      <c r="AJ111" s="14">
        <f>AI111*VLOOKUP('Données projet'!$B$10,Paramètres!$A$1:$I$89,3,0)*VLOOKUP('Données projet'!$B$10,Paramètres!$A$1:$I$89,5,0)</f>
        <v>361.11399999999975</v>
      </c>
      <c r="AK111" s="14">
        <f t="shared" si="89"/>
        <v>83.846819063373673</v>
      </c>
      <c r="AL111" s="22">
        <f t="shared" si="58"/>
        <v>774.97342653537532</v>
      </c>
      <c r="AM111" s="62">
        <f t="shared" si="59"/>
        <v>1068.3067598687087</v>
      </c>
      <c r="AN111" s="62">
        <f ca="1">AVERAGE(OFFSET($AM$3,0,0,'Données projet'!$E$10+1,1))-AVERAGE(OFFSET($H$3,0,0,'Données projet'!$E$10+1,1))</f>
        <v>512.21337090113502</v>
      </c>
      <c r="AO111" s="62">
        <f t="shared" si="90"/>
        <v>621.03633124474163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1.292561009612246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4.5078545129706322E-11</v>
      </c>
      <c r="AX111" s="23">
        <f t="shared" si="60"/>
        <v>1.2925610096573246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1.1368683772161603E-13</v>
      </c>
      <c r="BE111" s="14">
        <f>BD111*VLOOKUP('Données projet'!$B$11,Paramètres!$A$1:$I$89,3,0)*VLOOKUP('Données projet'!$B$11,Paramètres!$A$1:$I$89,5,0)</f>
        <v>6.7984728957526396E-14</v>
      </c>
      <c r="BF111" s="14">
        <f t="shared" si="91"/>
        <v>1.0682447123141398E-12</v>
      </c>
      <c r="BG111" s="22">
        <f t="shared" si="61"/>
        <v>1.978932943548152E-12</v>
      </c>
      <c r="BH111" s="62">
        <f t="shared" si="62"/>
        <v>293.3333333333353</v>
      </c>
      <c r="BI111" s="62">
        <f ca="1">AVERAGE(OFFSET($BH$3,0,0,'Données projet'!$E$11+1,1))-AVERAGE(OFFSET($H$3,0,0,'Données projet'!$E$11+1,1))</f>
        <v>295.83974441964551</v>
      </c>
      <c r="BJ111" s="62">
        <f t="shared" si="92"/>
        <v>212.24900914818096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0.54810721480298097</v>
      </c>
      <c r="BR111" s="23">
        <f>EXP(-LN(2)/2)*BR110+(1-EXP(-LN(2)/2))/(LN(2)/2)*BL111*BO111*VLOOKUP('Données projet'!$B$11,Paramètres!$A$1:$I$89,3,0)*0.475*44/12</f>
        <v>1.127110031439416E-11</v>
      </c>
      <c r="BS111" s="24">
        <f t="shared" si="63"/>
        <v>0.54810721481425206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-1.1368683772161603E-13</v>
      </c>
      <c r="O112" s="14">
        <f>N112*VLOOKUP('Données projet'!$B$9,Paramètres!$A$1:$I$89,3,0)*VLOOKUP('Données projet'!$B$9,Paramètres!$A$1:$I$89,5,0)</f>
        <v>-5.3205440053716299E-14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193.05670375142864</v>
      </c>
      <c r="T112" s="62">
        <f t="shared" si="88"/>
        <v>259.12914184994344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3.6152284599712146</v>
      </c>
      <c r="AA112" s="23">
        <f>EXP(-LN(2)/25)*AA111+(1-EXP(-LN(2)/25))/(LN(2)/25)*Calculateur!V112*Calculateur!X112*VLOOKUP('Données projet'!$B$9,Paramètres!$A$1:$I$89,3,0)*0.475*44/12</f>
        <v>0.69571979575821608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4.3109482557294303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645.99999999999955</v>
      </c>
      <c r="AJ112" s="14">
        <f>AI112*VLOOKUP('Données projet'!$B$10,Paramètres!$A$1:$I$89,3,0)*VLOOKUP('Données projet'!$B$10,Paramètres!$A$1:$I$89,5,0)</f>
        <v>361.11399999999975</v>
      </c>
      <c r="AK112" s="14">
        <f t="shared" si="89"/>
        <v>83.846819063373673</v>
      </c>
      <c r="AL112" s="22">
        <f t="shared" si="58"/>
        <v>774.97342653537532</v>
      </c>
      <c r="AM112" s="62">
        <f t="shared" si="59"/>
        <v>1068.3067598687087</v>
      </c>
      <c r="AN112" s="62">
        <f ca="1">AVERAGE(OFFSET($AM$3,0,0,'Données projet'!$E$10+1,1))-AVERAGE(OFFSET($H$3,0,0,'Données projet'!$E$10+1,1))</f>
        <v>512.21337090113502</v>
      </c>
      <c r="AO112" s="62">
        <f t="shared" si="90"/>
        <v>621.03633124474163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1.2672146765981191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3.1875344947239156E-11</v>
      </c>
      <c r="AX112" s="23">
        <f t="shared" si="60"/>
        <v>1.2672146766299945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1.1368683772161603E-13</v>
      </c>
      <c r="BE112" s="14">
        <f>BD112*VLOOKUP('Données projet'!$B$11,Paramètres!$A$1:$I$89,3,0)*VLOOKUP('Données projet'!$B$11,Paramètres!$A$1:$I$89,5,0)</f>
        <v>6.7984728957526396E-14</v>
      </c>
      <c r="BF112" s="14">
        <f t="shared" si="91"/>
        <v>1.0682447123141398E-12</v>
      </c>
      <c r="BG112" s="22">
        <f t="shared" si="61"/>
        <v>1.978932943548152E-12</v>
      </c>
      <c r="BH112" s="62">
        <f t="shared" si="62"/>
        <v>293.3333333333353</v>
      </c>
      <c r="BI112" s="62">
        <f ca="1">AVERAGE(OFFSET($BH$3,0,0,'Données projet'!$E$11+1,1))-AVERAGE(OFFSET($H$3,0,0,'Données projet'!$E$11+1,1))</f>
        <v>295.83974441964551</v>
      </c>
      <c r="BJ112" s="62">
        <f t="shared" si="92"/>
        <v>212.24900914818096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0.5331191941904877</v>
      </c>
      <c r="BR112" s="23">
        <f>EXP(-LN(2)/2)*BR111+(1-EXP(-LN(2)/2))/(LN(2)/2)*BL112*BO112*VLOOKUP('Données projet'!$B$11,Paramètres!$A$1:$I$89,3,0)*0.475*44/12</f>
        <v>7.9698714637419381E-12</v>
      </c>
      <c r="BS112" s="24">
        <f t="shared" si="63"/>
        <v>0.53311919419845755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-1.1368683772161603E-13</v>
      </c>
      <c r="O113" s="14">
        <f>N113*VLOOKUP('Données projet'!$B$9,Paramètres!$A$1:$I$89,3,0)*VLOOKUP('Données projet'!$B$9,Paramètres!$A$1:$I$89,5,0)</f>
        <v>-5.3205440053716299E-14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193.05670375142864</v>
      </c>
      <c r="T113" s="62">
        <f t="shared" si="88"/>
        <v>259.12914184994344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3.5443360349428068</v>
      </c>
      <c r="AA113" s="23">
        <f>EXP(-LN(2)/25)*AA112+(1-EXP(-LN(2)/25))/(LN(2)/25)*Calculateur!V113*Calculateur!X113*VLOOKUP('Données projet'!$B$9,Paramètres!$A$1:$I$89,3,0)*0.475*44/12</f>
        <v>0.67669530135689371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4.221031336299701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645.99999999999955</v>
      </c>
      <c r="AJ113" s="14">
        <f>AI113*VLOOKUP('Données projet'!$B$10,Paramètres!$A$1:$I$89,3,0)*VLOOKUP('Données projet'!$B$10,Paramètres!$A$1:$I$89,5,0)</f>
        <v>361.11399999999975</v>
      </c>
      <c r="AK113" s="14">
        <f t="shared" si="89"/>
        <v>83.846819063373673</v>
      </c>
      <c r="AL113" s="22">
        <f t="shared" si="58"/>
        <v>774.97342653537532</v>
      </c>
      <c r="AM113" s="62">
        <f t="shared" si="59"/>
        <v>1068.3067598687087</v>
      </c>
      <c r="AN113" s="62">
        <f ca="1">AVERAGE(OFFSET($AM$3,0,0,'Données projet'!$E$10+1,1))-AVERAGE(OFFSET($H$3,0,0,'Données projet'!$E$10+1,1))</f>
        <v>512.21337090113502</v>
      </c>
      <c r="AO113" s="62">
        <f t="shared" si="90"/>
        <v>621.03633124474163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1.2423653697146628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2.2539272564853161E-11</v>
      </c>
      <c r="AX113" s="23">
        <f t="shared" si="60"/>
        <v>1.2423653697372021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1.1368683772161603E-13</v>
      </c>
      <c r="BE113" s="14">
        <f>BD113*VLOOKUP('Données projet'!$B$11,Paramètres!$A$1:$I$89,3,0)*VLOOKUP('Données projet'!$B$11,Paramètres!$A$1:$I$89,5,0)</f>
        <v>6.7984728957526396E-14</v>
      </c>
      <c r="BF113" s="14">
        <f t="shared" si="91"/>
        <v>1.0682447123141398E-12</v>
      </c>
      <c r="BG113" s="22">
        <f t="shared" si="61"/>
        <v>1.978932943548152E-12</v>
      </c>
      <c r="BH113" s="62">
        <f t="shared" si="62"/>
        <v>293.3333333333353</v>
      </c>
      <c r="BI113" s="62">
        <f ca="1">AVERAGE(OFFSET($BH$3,0,0,'Données projet'!$E$11+1,1))-AVERAGE(OFFSET($H$3,0,0,'Données projet'!$E$11+1,1))</f>
        <v>295.83974441964551</v>
      </c>
      <c r="BJ113" s="62">
        <f t="shared" si="92"/>
        <v>212.24900914818096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0.51854102178982886</v>
      </c>
      <c r="BR113" s="23">
        <f>EXP(-LN(2)/2)*BR112+(1-EXP(-LN(2)/2))/(LN(2)/2)*BL113*BO113*VLOOKUP('Données projet'!$B$11,Paramètres!$A$1:$I$89,3,0)*0.475*44/12</f>
        <v>5.6355501571970798E-12</v>
      </c>
      <c r="BS113" s="24">
        <f t="shared" si="63"/>
        <v>0.51854102179546446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-1.1368683772161603E-13</v>
      </c>
      <c r="O114" s="14">
        <f>N114*VLOOKUP('Données projet'!$B$9,Paramètres!$A$1:$I$89,3,0)*VLOOKUP('Données projet'!$B$9,Paramètres!$A$1:$I$89,5,0)</f>
        <v>-5.3205440053716299E-14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193.05670375142864</v>
      </c>
      <c r="T114" s="62">
        <f t="shared" si="88"/>
        <v>259.12914184994344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3.4748337671290965</v>
      </c>
      <c r="AA114" s="23">
        <f>EXP(-LN(2)/25)*AA113+(1-EXP(-LN(2)/25))/(LN(2)/25)*Calculateur!V114*Calculateur!X114*VLOOKUP('Données projet'!$B$9,Paramètres!$A$1:$I$89,3,0)*0.475*44/12</f>
        <v>0.65819103275543012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4.1330247998845264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645.99999999999955</v>
      </c>
      <c r="AJ114" s="14">
        <f>AI114*VLOOKUP('Données projet'!$B$10,Paramètres!$A$1:$I$89,3,0)*VLOOKUP('Données projet'!$B$10,Paramètres!$A$1:$I$89,5,0)</f>
        <v>361.11399999999975</v>
      </c>
      <c r="AK114" s="14">
        <f t="shared" si="89"/>
        <v>83.846819063373673</v>
      </c>
      <c r="AL114" s="22">
        <f t="shared" si="58"/>
        <v>774.97342653537532</v>
      </c>
      <c r="AM114" s="62">
        <f t="shared" si="59"/>
        <v>1068.3067598687087</v>
      </c>
      <c r="AN114" s="62">
        <f ca="1">AVERAGE(OFFSET($AM$3,0,0,'Données projet'!$E$10+1,1))-AVERAGE(OFFSET($H$3,0,0,'Données projet'!$E$10+1,1))</f>
        <v>512.21337090113502</v>
      </c>
      <c r="AO114" s="62">
        <f t="shared" si="90"/>
        <v>621.03633124474163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1.2180033425826104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1.5937672473619578E-11</v>
      </c>
      <c r="AX114" s="23">
        <f t="shared" si="60"/>
        <v>1.2180033425985481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1.1368683772161603E-13</v>
      </c>
      <c r="BE114" s="14">
        <f>BD114*VLOOKUP('Données projet'!$B$11,Paramètres!$A$1:$I$89,3,0)*VLOOKUP('Données projet'!$B$11,Paramètres!$A$1:$I$89,5,0)</f>
        <v>6.7984728957526396E-14</v>
      </c>
      <c r="BF114" s="14">
        <f t="shared" si="91"/>
        <v>1.0682447123141398E-12</v>
      </c>
      <c r="BG114" s="22">
        <f t="shared" si="61"/>
        <v>1.978932943548152E-12</v>
      </c>
      <c r="BH114" s="62">
        <f t="shared" si="62"/>
        <v>293.3333333333353</v>
      </c>
      <c r="BI114" s="62">
        <f ca="1">AVERAGE(OFFSET($BH$3,0,0,'Données projet'!$E$11+1,1))-AVERAGE(OFFSET($H$3,0,0,'Données projet'!$E$11+1,1))</f>
        <v>295.83974441964551</v>
      </c>
      <c r="BJ114" s="62">
        <f t="shared" si="92"/>
        <v>212.24900914818096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0.5043614902800988</v>
      </c>
      <c r="BR114" s="23">
        <f>EXP(-LN(2)/2)*BR113+(1-EXP(-LN(2)/2))/(LN(2)/2)*BL114*BO114*VLOOKUP('Données projet'!$B$11,Paramètres!$A$1:$I$89,3,0)*0.475*44/12</f>
        <v>3.984935731870969E-12</v>
      </c>
      <c r="BS114" s="24">
        <f t="shared" si="63"/>
        <v>0.50436149028408372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-1.1368683772161603E-13</v>
      </c>
      <c r="O115" s="14">
        <f>N115*VLOOKUP('Données projet'!$B$9,Paramètres!$A$1:$I$89,3,0)*VLOOKUP('Données projet'!$B$9,Paramètres!$A$1:$I$89,5,0)</f>
        <v>-5.3205440053716299E-14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193.05670375142864</v>
      </c>
      <c r="T115" s="62">
        <f t="shared" si="88"/>
        <v>259.12914184994344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3.4066943963950158</v>
      </c>
      <c r="AA115" s="23">
        <f>EXP(-LN(2)/25)*AA114+(1-EXP(-LN(2)/25))/(LN(2)/25)*Calculateur!V115*Calculateur!X115*VLOOKUP('Données projet'!$B$9,Paramètres!$A$1:$I$89,3,0)*0.475*44/12</f>
        <v>0.64019276435197081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4.0468871607469863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645.99999999999955</v>
      </c>
      <c r="AJ115" s="14">
        <f>AI115*VLOOKUP('Données projet'!$B$10,Paramètres!$A$1:$I$89,3,0)*VLOOKUP('Données projet'!$B$10,Paramètres!$A$1:$I$89,5,0)</f>
        <v>361.11399999999975</v>
      </c>
      <c r="AK115" s="14">
        <f t="shared" si="89"/>
        <v>83.846819063373673</v>
      </c>
      <c r="AL115" s="22">
        <f t="shared" si="58"/>
        <v>774.97342653537532</v>
      </c>
      <c r="AM115" s="62">
        <f t="shared" si="59"/>
        <v>1068.3067598687087</v>
      </c>
      <c r="AN115" s="62">
        <f ca="1">AVERAGE(OFFSET($AM$3,0,0,'Données projet'!$E$10+1,1))-AVERAGE(OFFSET($H$3,0,0,'Données projet'!$E$10+1,1))</f>
        <v>512.21337090113502</v>
      </c>
      <c r="AO115" s="62">
        <f t="shared" si="90"/>
        <v>621.03633124474163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1.1941190399432482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1.1269636282426581E-11</v>
      </c>
      <c r="AX115" s="23">
        <f t="shared" si="60"/>
        <v>1.1941190399545178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1.1368683772161603E-13</v>
      </c>
      <c r="BE115" s="14">
        <f>BD115*VLOOKUP('Données projet'!$B$11,Paramètres!$A$1:$I$89,3,0)*VLOOKUP('Données projet'!$B$11,Paramètres!$A$1:$I$89,5,0)</f>
        <v>6.7984728957526396E-14</v>
      </c>
      <c r="BF115" s="14">
        <f t="shared" si="91"/>
        <v>1.0682447123141398E-12</v>
      </c>
      <c r="BG115" s="22">
        <f t="shared" si="61"/>
        <v>1.978932943548152E-12</v>
      </c>
      <c r="BH115" s="62">
        <f t="shared" si="62"/>
        <v>293.3333333333353</v>
      </c>
      <c r="BI115" s="62">
        <f ca="1">AVERAGE(OFFSET($BH$3,0,0,'Données projet'!$E$11+1,1))-AVERAGE(OFFSET($H$3,0,0,'Données projet'!$E$11+1,1))</f>
        <v>295.83974441964551</v>
      </c>
      <c r="BJ115" s="62">
        <f t="shared" si="92"/>
        <v>212.24900914818096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0.49056969880517148</v>
      </c>
      <c r="BR115" s="23">
        <f>EXP(-LN(2)/2)*BR114+(1-EXP(-LN(2)/2))/(LN(2)/2)*BL115*BO115*VLOOKUP('Données projet'!$B$11,Paramètres!$A$1:$I$89,3,0)*0.475*44/12</f>
        <v>2.8177750785985399E-12</v>
      </c>
      <c r="BS115" s="24">
        <f t="shared" si="63"/>
        <v>0.49056969880798929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-1.1368683772161603E-13</v>
      </c>
      <c r="O116" s="14">
        <f>N116*VLOOKUP('Données projet'!$B$9,Paramètres!$A$1:$I$89,3,0)*VLOOKUP('Données projet'!$B$9,Paramètres!$A$1:$I$89,5,0)</f>
        <v>-5.3205440053716299E-14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193.05670375142864</v>
      </c>
      <c r="T116" s="62">
        <f t="shared" si="88"/>
        <v>259.12914184994344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3.3398911971601177</v>
      </c>
      <c r="AA116" s="23">
        <f>EXP(-LN(2)/25)*AA115+(1-EXP(-LN(2)/25))/(LN(2)/25)*Calculateur!V116*Calculateur!X116*VLOOKUP('Données projet'!$B$9,Paramètres!$A$1:$I$89,3,0)*0.475*44/12</f>
        <v>0.62268665954449187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3.9625778567046095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645.99999999999955</v>
      </c>
      <c r="AJ116" s="14">
        <f>AI116*VLOOKUP('Données projet'!$B$10,Paramètres!$A$1:$I$89,3,0)*VLOOKUP('Données projet'!$B$10,Paramètres!$A$1:$I$89,5,0)</f>
        <v>361.11399999999975</v>
      </c>
      <c r="AK116" s="14">
        <f t="shared" si="89"/>
        <v>83.846819063373673</v>
      </c>
      <c r="AL116" s="22">
        <f t="shared" si="58"/>
        <v>774.97342653537532</v>
      </c>
      <c r="AM116" s="62">
        <f t="shared" si="59"/>
        <v>1068.3067598687087</v>
      </c>
      <c r="AN116" s="62">
        <f ca="1">AVERAGE(OFFSET($AM$3,0,0,'Données projet'!$E$10+1,1))-AVERAGE(OFFSET($H$3,0,0,'Données projet'!$E$10+1,1))</f>
        <v>512.21337090113502</v>
      </c>
      <c r="AO116" s="62">
        <f t="shared" si="90"/>
        <v>621.03633124474163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1.1707030939106577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7.9688362368097889E-12</v>
      </c>
      <c r="AX116" s="23">
        <f t="shared" si="60"/>
        <v>1.1707030939186265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1.1368683772161603E-13</v>
      </c>
      <c r="BE116" s="14">
        <f>BD116*VLOOKUP('Données projet'!$B$11,Paramètres!$A$1:$I$89,3,0)*VLOOKUP('Données projet'!$B$11,Paramètres!$A$1:$I$89,5,0)</f>
        <v>6.7984728957526396E-14</v>
      </c>
      <c r="BF116" s="14">
        <f t="shared" si="91"/>
        <v>1.0682447123141398E-12</v>
      </c>
      <c r="BG116" s="22">
        <f t="shared" si="61"/>
        <v>1.978932943548152E-12</v>
      </c>
      <c r="BH116" s="62">
        <f t="shared" si="62"/>
        <v>293.3333333333353</v>
      </c>
      <c r="BI116" s="62">
        <f ca="1">AVERAGE(OFFSET($BH$3,0,0,'Données projet'!$E$11+1,1))-AVERAGE(OFFSET($H$3,0,0,'Données projet'!$E$11+1,1))</f>
        <v>295.83974441964551</v>
      </c>
      <c r="BJ116" s="62">
        <f t="shared" si="92"/>
        <v>212.24900914818096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0.4771550445934048</v>
      </c>
      <c r="BR116" s="23">
        <f>EXP(-LN(2)/2)*BR115+(1-EXP(-LN(2)/2))/(LN(2)/2)*BL116*BO116*VLOOKUP('Données projet'!$B$11,Paramètres!$A$1:$I$89,3,0)*0.475*44/12</f>
        <v>1.9924678659354845E-12</v>
      </c>
      <c r="BS116" s="24">
        <f t="shared" si="63"/>
        <v>0.47715504459539726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-1.1368683772161603E-13</v>
      </c>
      <c r="O117" s="14">
        <f>N117*VLOOKUP('Données projet'!$B$9,Paramètres!$A$1:$I$89,3,0)*VLOOKUP('Données projet'!$B$9,Paramètres!$A$1:$I$89,5,0)</f>
        <v>-5.3205440053716299E-14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193.05670375142864</v>
      </c>
      <c r="T117" s="62">
        <f t="shared" si="88"/>
        <v>259.12914184994344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3.274397967916288</v>
      </c>
      <c r="AA117" s="23">
        <f>EXP(-LN(2)/25)*AA116+(1-EXP(-LN(2)/25))/(LN(2)/25)*Calculateur!V117*Calculateur!X117*VLOOKUP('Données projet'!$B$9,Paramètres!$A$1:$I$89,3,0)*0.475*44/12</f>
        <v>0.60565926009357951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3.8800572280098677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645.99999999999955</v>
      </c>
      <c r="AJ117" s="14">
        <f>AI117*VLOOKUP('Données projet'!$B$10,Paramètres!$A$1:$I$89,3,0)*VLOOKUP('Données projet'!$B$10,Paramètres!$A$1:$I$89,5,0)</f>
        <v>361.11399999999975</v>
      </c>
      <c r="AK117" s="14">
        <f t="shared" si="89"/>
        <v>83.846819063373673</v>
      </c>
      <c r="AL117" s="22">
        <f t="shared" si="58"/>
        <v>774.97342653537532</v>
      </c>
      <c r="AM117" s="62">
        <f t="shared" si="59"/>
        <v>1068.3067598687087</v>
      </c>
      <c r="AN117" s="62">
        <f ca="1">AVERAGE(OFFSET($AM$3,0,0,'Données projet'!$E$10+1,1))-AVERAGE(OFFSET($H$3,0,0,'Données projet'!$E$10+1,1))</f>
        <v>512.21337090113502</v>
      </c>
      <c r="AO117" s="62">
        <f t="shared" si="90"/>
        <v>621.03633124474163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1.1477463202974496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5.6348181412132903E-12</v>
      </c>
      <c r="AX117" s="23">
        <f t="shared" si="60"/>
        <v>1.1477463203030844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1.1368683772161603E-13</v>
      </c>
      <c r="BE117" s="14">
        <f>BD117*VLOOKUP('Données projet'!$B$11,Paramètres!$A$1:$I$89,3,0)*VLOOKUP('Données projet'!$B$11,Paramètres!$A$1:$I$89,5,0)</f>
        <v>6.7984728957526396E-14</v>
      </c>
      <c r="BF117" s="14">
        <f t="shared" si="91"/>
        <v>1.0682447123141398E-12</v>
      </c>
      <c r="BG117" s="22">
        <f t="shared" si="61"/>
        <v>1.978932943548152E-12</v>
      </c>
      <c r="BH117" s="62">
        <f t="shared" si="62"/>
        <v>293.3333333333353</v>
      </c>
      <c r="BI117" s="62">
        <f ca="1">AVERAGE(OFFSET($BH$3,0,0,'Données projet'!$E$11+1,1))-AVERAGE(OFFSET($H$3,0,0,'Données projet'!$E$11+1,1))</f>
        <v>295.83974441964551</v>
      </c>
      <c r="BJ117" s="62">
        <f t="shared" si="92"/>
        <v>212.24900914818096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0.46410721480650491</v>
      </c>
      <c r="BR117" s="23">
        <f>EXP(-LN(2)/2)*BR116+(1-EXP(-LN(2)/2))/(LN(2)/2)*BL117*BO117*VLOOKUP('Données projet'!$B$11,Paramètres!$A$1:$I$89,3,0)*0.475*44/12</f>
        <v>1.40888753929927E-12</v>
      </c>
      <c r="BS117" s="24">
        <f t="shared" si="63"/>
        <v>0.46410721480791378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-1.1368683772161603E-13</v>
      </c>
      <c r="O118" s="14">
        <f>N118*VLOOKUP('Données projet'!$B$9,Paramètres!$A$1:$I$89,3,0)*VLOOKUP('Données projet'!$B$9,Paramètres!$A$1:$I$89,5,0)</f>
        <v>-5.3205440053716299E-14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193.05670375142864</v>
      </c>
      <c r="T118" s="62">
        <f t="shared" si="88"/>
        <v>259.12914184994344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3.2101890209510042</v>
      </c>
      <c r="AA118" s="23">
        <f>EXP(-LN(2)/25)*AA117+(1-EXP(-LN(2)/25))/(LN(2)/25)*Calculateur!V118*Calculateur!X118*VLOOKUP('Données projet'!$B$9,Paramètres!$A$1:$I$89,3,0)*0.475*44/12</f>
        <v>0.58909747577608429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3.7992864967270883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645.99999999999955</v>
      </c>
      <c r="AJ118" s="14">
        <f>AI118*VLOOKUP('Données projet'!$B$10,Paramètres!$A$1:$I$89,3,0)*VLOOKUP('Données projet'!$B$10,Paramètres!$A$1:$I$89,5,0)</f>
        <v>361.11399999999975</v>
      </c>
      <c r="AK118" s="14">
        <f t="shared" si="89"/>
        <v>83.846819063373673</v>
      </c>
      <c r="AL118" s="22">
        <f t="shared" si="58"/>
        <v>774.97342653537532</v>
      </c>
      <c r="AM118" s="62">
        <f t="shared" si="59"/>
        <v>1068.3067598687087</v>
      </c>
      <c r="AN118" s="62">
        <f ca="1">AVERAGE(OFFSET($AM$3,0,0,'Données projet'!$E$10+1,1))-AVERAGE(OFFSET($H$3,0,0,'Données projet'!$E$10+1,1))</f>
        <v>512.21337090113502</v>
      </c>
      <c r="AO118" s="62">
        <f t="shared" si="90"/>
        <v>621.03633124474163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1.1252397150125473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3.9844181184048945E-12</v>
      </c>
      <c r="AX118" s="23">
        <f t="shared" si="60"/>
        <v>1.1252397150165316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1.1368683772161603E-13</v>
      </c>
      <c r="BE118" s="14">
        <f>BD118*VLOOKUP('Données projet'!$B$11,Paramètres!$A$1:$I$89,3,0)*VLOOKUP('Données projet'!$B$11,Paramètres!$A$1:$I$89,5,0)</f>
        <v>6.7984728957526396E-14</v>
      </c>
      <c r="BF118" s="14">
        <f t="shared" si="91"/>
        <v>1.0682447123141398E-12</v>
      </c>
      <c r="BG118" s="22">
        <f t="shared" si="61"/>
        <v>1.978932943548152E-12</v>
      </c>
      <c r="BH118" s="62">
        <f t="shared" si="62"/>
        <v>293.3333333333353</v>
      </c>
      <c r="BI118" s="62">
        <f ca="1">AVERAGE(OFFSET($BH$3,0,0,'Données projet'!$E$11+1,1))-AVERAGE(OFFSET($H$3,0,0,'Données projet'!$E$11+1,1))</f>
        <v>295.83974441964551</v>
      </c>
      <c r="BJ118" s="62">
        <f t="shared" si="92"/>
        <v>212.24900914818096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0.45141617861128336</v>
      </c>
      <c r="BR118" s="23">
        <f>EXP(-LN(2)/2)*BR117+(1-EXP(-LN(2)/2))/(LN(2)/2)*BL118*BO118*VLOOKUP('Données projet'!$B$11,Paramètres!$A$1:$I$89,3,0)*0.475*44/12</f>
        <v>9.9623393296774226E-13</v>
      </c>
      <c r="BS118" s="24">
        <f t="shared" si="63"/>
        <v>0.45141617861227962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-1.1368683772161603E-13</v>
      </c>
      <c r="O119" s="14">
        <f>N119*VLOOKUP('Données projet'!$B$9,Paramètres!$A$1:$I$89,3,0)*VLOOKUP('Données projet'!$B$9,Paramètres!$A$1:$I$89,5,0)</f>
        <v>-5.3205440053716299E-14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193.05670375142864</v>
      </c>
      <c r="T119" s="62">
        <f t="shared" si="88"/>
        <v>259.12914184994344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3.1472391722721191</v>
      </c>
      <c r="AA119" s="23">
        <f>EXP(-LN(2)/25)*AA118+(1-EXP(-LN(2)/25))/(LN(2)/25)*Calculateur!V119*Calculateur!X119*VLOOKUP('Données projet'!$B$9,Paramètres!$A$1:$I$89,3,0)*0.475*44/12</f>
        <v>0.57298857432169736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3.7202277465938165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645.99999999999955</v>
      </c>
      <c r="AJ119" s="14">
        <f>AI119*VLOOKUP('Données projet'!$B$10,Paramètres!$A$1:$I$89,3,0)*VLOOKUP('Données projet'!$B$10,Paramètres!$A$1:$I$89,5,0)</f>
        <v>361.11399999999975</v>
      </c>
      <c r="AK119" s="14">
        <f t="shared" si="89"/>
        <v>83.846819063373673</v>
      </c>
      <c r="AL119" s="22">
        <f t="shared" si="58"/>
        <v>774.97342653537532</v>
      </c>
      <c r="AM119" s="62">
        <f t="shared" si="59"/>
        <v>1068.3067598687087</v>
      </c>
      <c r="AN119" s="62">
        <f ca="1">AVERAGE(OFFSET($AM$3,0,0,'Données projet'!$E$10+1,1))-AVERAGE(OFFSET($H$3,0,0,'Données projet'!$E$10+1,1))</f>
        <v>512.21337090113502</v>
      </c>
      <c r="AO119" s="62">
        <f t="shared" si="90"/>
        <v>621.03633124474163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1.1031744505296082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2.8174090706066451E-12</v>
      </c>
      <c r="AX119" s="23">
        <f t="shared" si="60"/>
        <v>1.1031744505324255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1.1368683772161603E-13</v>
      </c>
      <c r="BE119" s="14">
        <f>BD119*VLOOKUP('Données projet'!$B$11,Paramètres!$A$1:$I$89,3,0)*VLOOKUP('Données projet'!$B$11,Paramètres!$A$1:$I$89,5,0)</f>
        <v>6.7984728957526396E-14</v>
      </c>
      <c r="BF119" s="14">
        <f t="shared" si="91"/>
        <v>1.0682447123141398E-12</v>
      </c>
      <c r="BG119" s="22">
        <f t="shared" si="61"/>
        <v>1.978932943548152E-12</v>
      </c>
      <c r="BH119" s="62">
        <f t="shared" si="62"/>
        <v>293.3333333333353</v>
      </c>
      <c r="BI119" s="62">
        <f ca="1">AVERAGE(OFFSET($BH$3,0,0,'Données projet'!$E$11+1,1))-AVERAGE(OFFSET($H$3,0,0,'Données projet'!$E$11+1,1))</f>
        <v>295.83974441964551</v>
      </c>
      <c r="BJ119" s="62">
        <f t="shared" si="92"/>
        <v>212.24900914818096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0.4390721794682127</v>
      </c>
      <c r="BR119" s="23">
        <f>EXP(-LN(2)/2)*BR118+(1-EXP(-LN(2)/2))/(LN(2)/2)*BL119*BO119*VLOOKUP('Données projet'!$B$11,Paramètres!$A$1:$I$89,3,0)*0.475*44/12</f>
        <v>7.0444376964963498E-13</v>
      </c>
      <c r="BS119" s="24">
        <f t="shared" si="63"/>
        <v>0.43907217946891713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-1.1368683772161603E-13</v>
      </c>
      <c r="O120" s="14">
        <f>N120*VLOOKUP('Données projet'!$B$9,Paramètres!$A$1:$I$89,3,0)*VLOOKUP('Données projet'!$B$9,Paramètres!$A$1:$I$89,5,0)</f>
        <v>-5.3205440053716299E-14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193.05670375142864</v>
      </c>
      <c r="T120" s="62">
        <f t="shared" si="88"/>
        <v>259.12914184994344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3.0855237317302104</v>
      </c>
      <c r="AA120" s="23">
        <f>EXP(-LN(2)/25)*AA119+(1-EXP(-LN(2)/25))/(LN(2)/25)*Calculateur!V120*Calculateur!X120*VLOOKUP('Données projet'!$B$9,Paramètres!$A$1:$I$89,3,0)*0.475*44/12</f>
        <v>0.55732017162471104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3.6428439033549216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645.99999999999955</v>
      </c>
      <c r="AJ120" s="14">
        <f>AI120*VLOOKUP('Données projet'!$B$10,Paramètres!$A$1:$I$89,3,0)*VLOOKUP('Données projet'!$B$10,Paramètres!$A$1:$I$89,5,0)</f>
        <v>361.11399999999975</v>
      </c>
      <c r="AK120" s="14">
        <f t="shared" si="89"/>
        <v>83.846819063373673</v>
      </c>
      <c r="AL120" s="22">
        <f t="shared" si="58"/>
        <v>774.97342653537532</v>
      </c>
      <c r="AM120" s="62">
        <f t="shared" si="59"/>
        <v>1068.3067598687087</v>
      </c>
      <c r="AN120" s="62">
        <f ca="1">AVERAGE(OFFSET($AM$3,0,0,'Données projet'!$E$10+1,1))-AVERAGE(OFFSET($H$3,0,0,'Données projet'!$E$10+1,1))</f>
        <v>512.21337090113502</v>
      </c>
      <c r="AO120" s="62">
        <f t="shared" si="90"/>
        <v>621.03633124474163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1.081541872424697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1.9922090592024472E-12</v>
      </c>
      <c r="AX120" s="23">
        <f t="shared" si="60"/>
        <v>1.0815418724266892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1.1368683772161603E-13</v>
      </c>
      <c r="BE120" s="14">
        <f>BD120*VLOOKUP('Données projet'!$B$11,Paramètres!$A$1:$I$89,3,0)*VLOOKUP('Données projet'!$B$11,Paramètres!$A$1:$I$89,5,0)</f>
        <v>6.7984728957526396E-14</v>
      </c>
      <c r="BF120" s="14">
        <f t="shared" si="91"/>
        <v>1.0682447123141398E-12</v>
      </c>
      <c r="BG120" s="22">
        <f t="shared" si="61"/>
        <v>1.978932943548152E-12</v>
      </c>
      <c r="BH120" s="62">
        <f t="shared" si="62"/>
        <v>293.3333333333353</v>
      </c>
      <c r="BI120" s="62">
        <f ca="1">AVERAGE(OFFSET($BH$3,0,0,'Données projet'!$E$11+1,1))-AVERAGE(OFFSET($H$3,0,0,'Données projet'!$E$11+1,1))</f>
        <v>295.83974441964551</v>
      </c>
      <c r="BJ120" s="62">
        <f t="shared" si="92"/>
        <v>212.24900914818096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0.42706572763085204</v>
      </c>
      <c r="BR120" s="23">
        <f>EXP(-LN(2)/2)*BR119+(1-EXP(-LN(2)/2))/(LN(2)/2)*BL120*BO120*VLOOKUP('Données projet'!$B$11,Paramètres!$A$1:$I$89,3,0)*0.475*44/12</f>
        <v>4.9811696648387113E-13</v>
      </c>
      <c r="BS120" s="24">
        <f t="shared" si="63"/>
        <v>0.42706572763135014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-1.1368683772161603E-13</v>
      </c>
      <c r="O121" s="14">
        <f>N121*VLOOKUP('Données projet'!$B$9,Paramètres!$A$1:$I$89,3,0)*VLOOKUP('Données projet'!$B$9,Paramètres!$A$1:$I$89,5,0)</f>
        <v>-5.3205440053716299E-14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193.05670375142864</v>
      </c>
      <c r="T121" s="62">
        <f t="shared" si="88"/>
        <v>259.12914184994344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3.0250184933346271</v>
      </c>
      <c r="AA121" s="23">
        <f>EXP(-LN(2)/25)*AA120+(1-EXP(-LN(2)/25))/(LN(2)/25)*Calculateur!V121*Calculateur!X121*VLOOKUP('Données projet'!$B$9,Paramètres!$A$1:$I$89,3,0)*0.475*44/12</f>
        <v>0.54208022222343921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3.5670987155580662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645.99999999999955</v>
      </c>
      <c r="AJ121" s="14">
        <f>AI121*VLOOKUP('Données projet'!$B$10,Paramètres!$A$1:$I$89,3,0)*VLOOKUP('Données projet'!$B$10,Paramètres!$A$1:$I$89,5,0)</f>
        <v>361.11399999999975</v>
      </c>
      <c r="AK121" s="14">
        <f t="shared" si="89"/>
        <v>83.846819063373673</v>
      </c>
      <c r="AL121" s="22">
        <f t="shared" si="58"/>
        <v>774.97342653537532</v>
      </c>
      <c r="AM121" s="62">
        <f t="shared" si="59"/>
        <v>1068.3067598687087</v>
      </c>
      <c r="AN121" s="62">
        <f ca="1">AVERAGE(OFFSET($AM$3,0,0,'Données projet'!$E$10+1,1))-AVERAGE(OFFSET($H$3,0,0,'Données projet'!$E$10+1,1))</f>
        <v>512.21337090113502</v>
      </c>
      <c r="AO121" s="62">
        <f t="shared" si="90"/>
        <v>621.03633124474163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1.0603334959818533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1.4087045353033226E-12</v>
      </c>
      <c r="AX121" s="23">
        <f t="shared" si="60"/>
        <v>1.060333495983262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1.1368683772161603E-13</v>
      </c>
      <c r="BE121" s="14">
        <f>BD121*VLOOKUP('Données projet'!$B$11,Paramètres!$A$1:$I$89,3,0)*VLOOKUP('Données projet'!$B$11,Paramètres!$A$1:$I$89,5,0)</f>
        <v>6.7984728957526396E-14</v>
      </c>
      <c r="BF121" s="14">
        <f t="shared" si="91"/>
        <v>1.0682447123141398E-12</v>
      </c>
      <c r="BG121" s="22">
        <f t="shared" si="61"/>
        <v>1.978932943548152E-12</v>
      </c>
      <c r="BH121" s="62">
        <f t="shared" si="62"/>
        <v>293.3333333333353</v>
      </c>
      <c r="BI121" s="62">
        <f ca="1">AVERAGE(OFFSET($BH$3,0,0,'Données projet'!$E$11+1,1))-AVERAGE(OFFSET($H$3,0,0,'Données projet'!$E$11+1,1))</f>
        <v>295.83974441964551</v>
      </c>
      <c r="BJ121" s="62">
        <f t="shared" si="92"/>
        <v>212.24900914818096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0.41538759285037585</v>
      </c>
      <c r="BR121" s="23">
        <f>EXP(-LN(2)/2)*BR120+(1-EXP(-LN(2)/2))/(LN(2)/2)*BL121*BO121*VLOOKUP('Données projet'!$B$11,Paramètres!$A$1:$I$89,3,0)*0.475*44/12</f>
        <v>3.5222188482481749E-13</v>
      </c>
      <c r="BS121" s="24">
        <f t="shared" si="63"/>
        <v>0.41538759285072807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-1.1368683772161603E-13</v>
      </c>
      <c r="O122" s="14">
        <f>N122*VLOOKUP('Données projet'!$B$9,Paramètres!$A$1:$I$89,3,0)*VLOOKUP('Données projet'!$B$9,Paramètres!$A$1:$I$89,5,0)</f>
        <v>-5.3205440053716299E-14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193.05670375142864</v>
      </c>
      <c r="T122" s="62">
        <f t="shared" si="88"/>
        <v>259.12914184994344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2.9656997257594298</v>
      </c>
      <c r="AA122" s="23">
        <f>EXP(-LN(2)/25)*AA121+(1-EXP(-LN(2)/25))/(LN(2)/25)*Calculateur!V122*Calculateur!X122*VLOOKUP('Données projet'!$B$9,Paramètres!$A$1:$I$89,3,0)*0.475*44/12</f>
        <v>0.52725701003997927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3.4929567357994089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645.99999999999955</v>
      </c>
      <c r="AJ122" s="14">
        <f>AI122*VLOOKUP('Données projet'!$B$10,Paramètres!$A$1:$I$89,3,0)*VLOOKUP('Données projet'!$B$10,Paramètres!$A$1:$I$89,5,0)</f>
        <v>361.11399999999975</v>
      </c>
      <c r="AK122" s="14">
        <f t="shared" si="89"/>
        <v>83.846819063373673</v>
      </c>
      <c r="AL122" s="22">
        <f t="shared" si="58"/>
        <v>774.97342653537532</v>
      </c>
      <c r="AM122" s="62">
        <f t="shared" si="59"/>
        <v>1068.3067598687087</v>
      </c>
      <c r="AN122" s="62">
        <f ca="1">AVERAGE(OFFSET($AM$3,0,0,'Données projet'!$E$10+1,1))-AVERAGE(OFFSET($H$3,0,0,'Données projet'!$E$10+1,1))</f>
        <v>512.21337090113502</v>
      </c>
      <c r="AO122" s="62">
        <f t="shared" si="90"/>
        <v>621.03633124474163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1.0395410028652214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9.9610452960122361E-13</v>
      </c>
      <c r="AX122" s="23">
        <f t="shared" si="60"/>
        <v>1.0395410028662175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1.1368683772161603E-13</v>
      </c>
      <c r="BE122" s="14">
        <f>BD122*VLOOKUP('Données projet'!$B$11,Paramètres!$A$1:$I$89,3,0)*VLOOKUP('Données projet'!$B$11,Paramètres!$A$1:$I$89,5,0)</f>
        <v>6.7984728957526396E-14</v>
      </c>
      <c r="BF122" s="14">
        <f t="shared" si="91"/>
        <v>1.0682447123141398E-12</v>
      </c>
      <c r="BG122" s="22">
        <f t="shared" si="61"/>
        <v>1.978932943548152E-12</v>
      </c>
      <c r="BH122" s="62">
        <f t="shared" si="62"/>
        <v>293.3333333333353</v>
      </c>
      <c r="BI122" s="62">
        <f ca="1">AVERAGE(OFFSET($BH$3,0,0,'Données projet'!$E$11+1,1))-AVERAGE(OFFSET($H$3,0,0,'Données projet'!$E$11+1,1))</f>
        <v>295.83974441964551</v>
      </c>
      <c r="BJ122" s="62">
        <f t="shared" si="92"/>
        <v>212.24900914818096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0.40402879727959817</v>
      </c>
      <c r="BR122" s="23">
        <f>EXP(-LN(2)/2)*BR121+(1-EXP(-LN(2)/2))/(LN(2)/2)*BL122*BO122*VLOOKUP('Données projet'!$B$11,Paramètres!$A$1:$I$89,3,0)*0.475*44/12</f>
        <v>2.4905848324193556E-13</v>
      </c>
      <c r="BS122" s="24">
        <f t="shared" si="63"/>
        <v>0.40402879727984725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-1.1368683772161603E-13</v>
      </c>
      <c r="O123" s="14">
        <f>N123*VLOOKUP('Données projet'!$B$9,Paramètres!$A$1:$I$89,3,0)*VLOOKUP('Données projet'!$B$9,Paramètres!$A$1:$I$89,5,0)</f>
        <v>-5.3205440053716299E-14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193.05670375142864</v>
      </c>
      <c r="T123" s="62">
        <f t="shared" si="88"/>
        <v>259.12914184994344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2.9075441630355061</v>
      </c>
      <c r="AA123" s="23">
        <f>EXP(-LN(2)/25)*AA122+(1-EXP(-LN(2)/25))/(LN(2)/25)*Calculateur!V123*Calculateur!X123*VLOOKUP('Données projet'!$B$9,Paramètres!$A$1:$I$89,3,0)*0.475*44/12</f>
        <v>0.51283913937319492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3.4203833024087009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645.99999999999955</v>
      </c>
      <c r="AJ123" s="14">
        <f>AI123*VLOOKUP('Données projet'!$B$10,Paramètres!$A$1:$I$89,3,0)*VLOOKUP('Données projet'!$B$10,Paramètres!$A$1:$I$89,5,0)</f>
        <v>361.11399999999975</v>
      </c>
      <c r="AK123" s="14">
        <f t="shared" si="89"/>
        <v>83.846819063373673</v>
      </c>
      <c r="AL123" s="22">
        <f t="shared" si="58"/>
        <v>774.97342653537532</v>
      </c>
      <c r="AM123" s="62">
        <f t="shared" si="59"/>
        <v>1068.3067598687087</v>
      </c>
      <c r="AN123" s="62">
        <f ca="1">AVERAGE(OFFSET($AM$3,0,0,'Données projet'!$E$10+1,1))-AVERAGE(OFFSET($H$3,0,0,'Données projet'!$E$10+1,1))</f>
        <v>512.21337090113502</v>
      </c>
      <c r="AO123" s="62">
        <f t="shared" si="90"/>
        <v>621.03633124474163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1.0191562378564383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7.0435226765166128E-13</v>
      </c>
      <c r="AX123" s="23">
        <f t="shared" si="60"/>
        <v>1.0191562378571426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1.1368683772161603E-13</v>
      </c>
      <c r="BE123" s="14">
        <f>BD123*VLOOKUP('Données projet'!$B$11,Paramètres!$A$1:$I$89,3,0)*VLOOKUP('Données projet'!$B$11,Paramètres!$A$1:$I$89,5,0)</f>
        <v>6.7984728957526396E-14</v>
      </c>
      <c r="BF123" s="14">
        <f t="shared" si="91"/>
        <v>1.0682447123141398E-12</v>
      </c>
      <c r="BG123" s="22">
        <f t="shared" si="61"/>
        <v>1.978932943548152E-12</v>
      </c>
      <c r="BH123" s="62">
        <f t="shared" si="62"/>
        <v>293.3333333333353</v>
      </c>
      <c r="BI123" s="62">
        <f ca="1">AVERAGE(OFFSET($BH$3,0,0,'Données projet'!$E$11+1,1))-AVERAGE(OFFSET($H$3,0,0,'Données projet'!$E$11+1,1))</f>
        <v>295.83974441964551</v>
      </c>
      <c r="BJ123" s="62">
        <f t="shared" si="92"/>
        <v>212.24900914818096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0.3929806085710365</v>
      </c>
      <c r="BR123" s="23">
        <f>EXP(-LN(2)/2)*BR122+(1-EXP(-LN(2)/2))/(LN(2)/2)*BL123*BO123*VLOOKUP('Données projet'!$B$11,Paramètres!$A$1:$I$89,3,0)*0.475*44/12</f>
        <v>1.7611094241240874E-13</v>
      </c>
      <c r="BS123" s="24">
        <f t="shared" si="63"/>
        <v>0.39298060857121264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-1.1368683772161603E-13</v>
      </c>
      <c r="O124" s="14">
        <f>N124*VLOOKUP('Données projet'!$B$9,Paramètres!$A$1:$I$89,3,0)*VLOOKUP('Données projet'!$B$9,Paramètres!$A$1:$I$89,5,0)</f>
        <v>-5.3205440053716299E-14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193.05670375142864</v>
      </c>
      <c r="T124" s="62">
        <f t="shared" si="88"/>
        <v>259.12914184994344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2.8505289954252078</v>
      </c>
      <c r="AA124" s="23">
        <f>EXP(-LN(2)/25)*AA123+(1-EXP(-LN(2)/25))/(LN(2)/25)*Calculateur!V124*Calculateur!X124*VLOOKUP('Données projet'!$B$9,Paramètres!$A$1:$I$89,3,0)*0.475*44/12</f>
        <v>0.49881552613799668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3.3493445215632045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645.99999999999955</v>
      </c>
      <c r="AJ124" s="14">
        <f>AI124*VLOOKUP('Données projet'!$B$10,Paramètres!$A$1:$I$89,3,0)*VLOOKUP('Données projet'!$B$10,Paramètres!$A$1:$I$89,5,0)</f>
        <v>361.11399999999975</v>
      </c>
      <c r="AK124" s="14">
        <f t="shared" si="89"/>
        <v>83.846819063373673</v>
      </c>
      <c r="AL124" s="22">
        <f t="shared" si="58"/>
        <v>774.97342653537532</v>
      </c>
      <c r="AM124" s="62">
        <f t="shared" si="59"/>
        <v>1068.3067598687087</v>
      </c>
      <c r="AN124" s="62">
        <f ca="1">AVERAGE(OFFSET($AM$3,0,0,'Données projet'!$E$10+1,1))-AVERAGE(OFFSET($H$3,0,0,'Données projet'!$E$10+1,1))</f>
        <v>512.21337090113502</v>
      </c>
      <c r="AO124" s="62">
        <f t="shared" si="90"/>
        <v>621.03633124474163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0.99917120565599837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4.9805226480061181E-13</v>
      </c>
      <c r="AX124" s="23">
        <f t="shared" si="60"/>
        <v>0.99917120565649642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1.1368683772161603E-13</v>
      </c>
      <c r="BE124" s="14">
        <f>BD124*VLOOKUP('Données projet'!$B$11,Paramètres!$A$1:$I$89,3,0)*VLOOKUP('Données projet'!$B$11,Paramètres!$A$1:$I$89,5,0)</f>
        <v>6.7984728957526396E-14</v>
      </c>
      <c r="BF124" s="14">
        <f t="shared" si="91"/>
        <v>1.0682447123141398E-12</v>
      </c>
      <c r="BG124" s="22">
        <f t="shared" si="61"/>
        <v>1.978932943548152E-12</v>
      </c>
      <c r="BH124" s="62">
        <f t="shared" si="62"/>
        <v>293.3333333333353</v>
      </c>
      <c r="BI124" s="62">
        <f ca="1">AVERAGE(OFFSET($BH$3,0,0,'Données projet'!$E$11+1,1))-AVERAGE(OFFSET($H$3,0,0,'Données projet'!$E$11+1,1))</f>
        <v>295.83974441964551</v>
      </c>
      <c r="BJ124" s="62">
        <f t="shared" si="92"/>
        <v>212.24900914818096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0.38223453316370948</v>
      </c>
      <c r="BR124" s="23">
        <f>EXP(-LN(2)/2)*BR123+(1-EXP(-LN(2)/2))/(LN(2)/2)*BL124*BO124*VLOOKUP('Données projet'!$B$11,Paramètres!$A$1:$I$89,3,0)*0.475*44/12</f>
        <v>1.2452924162096778E-13</v>
      </c>
      <c r="BS124" s="24">
        <f t="shared" si="63"/>
        <v>0.38223453316383399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-1.1368683772161603E-13</v>
      </c>
      <c r="O125" s="14">
        <f>N125*VLOOKUP('Données projet'!$B$9,Paramètres!$A$1:$I$89,3,0)*VLOOKUP('Données projet'!$B$9,Paramètres!$A$1:$I$89,5,0)</f>
        <v>-5.3205440053716299E-14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193.05670375142864</v>
      </c>
      <c r="T125" s="62">
        <f t="shared" si="88"/>
        <v>259.12914184994344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2.794631860475929</v>
      </c>
      <c r="AA125" s="23">
        <f>EXP(-LN(2)/25)*AA124+(1-EXP(-LN(2)/25))/(LN(2)/25)*Calculateur!V125*Calculateur!X125*VLOOKUP('Données projet'!$B$9,Paramètres!$A$1:$I$89,3,0)*0.475*44/12</f>
        <v>0.48517538934418469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3.2798072498201138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645.99999999999955</v>
      </c>
      <c r="AJ125" s="14">
        <f>AI125*VLOOKUP('Données projet'!$B$10,Paramètres!$A$1:$I$89,3,0)*VLOOKUP('Données projet'!$B$10,Paramètres!$A$1:$I$89,5,0)</f>
        <v>361.11399999999975</v>
      </c>
      <c r="AK125" s="14">
        <f t="shared" si="89"/>
        <v>83.846819063373673</v>
      </c>
      <c r="AL125" s="22">
        <f t="shared" si="58"/>
        <v>774.97342653537532</v>
      </c>
      <c r="AM125" s="62">
        <f t="shared" si="59"/>
        <v>1068.3067598687087</v>
      </c>
      <c r="AN125" s="62">
        <f ca="1">AVERAGE(OFFSET($AM$3,0,0,'Données projet'!$E$10+1,1))-AVERAGE(OFFSET($H$3,0,0,'Données projet'!$E$10+1,1))</f>
        <v>512.21337090113502</v>
      </c>
      <c r="AO125" s="62">
        <f t="shared" si="90"/>
        <v>621.03633124474163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0.97957806774734302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3.5217613382583064E-13</v>
      </c>
      <c r="AX125" s="23">
        <f t="shared" si="60"/>
        <v>0.97957806774769518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1.1368683772161603E-13</v>
      </c>
      <c r="BE125" s="14">
        <f>BD125*VLOOKUP('Données projet'!$B$11,Paramètres!$A$1:$I$89,3,0)*VLOOKUP('Données projet'!$B$11,Paramètres!$A$1:$I$89,5,0)</f>
        <v>6.7984728957526396E-14</v>
      </c>
      <c r="BF125" s="14">
        <f t="shared" si="91"/>
        <v>1.0682447123141398E-12</v>
      </c>
      <c r="BG125" s="22">
        <f t="shared" si="61"/>
        <v>1.978932943548152E-12</v>
      </c>
      <c r="BH125" s="62">
        <f t="shared" si="62"/>
        <v>293.3333333333353</v>
      </c>
      <c r="BI125" s="62">
        <f ca="1">AVERAGE(OFFSET($BH$3,0,0,'Données projet'!$E$11+1,1))-AVERAGE(OFFSET($H$3,0,0,'Données projet'!$E$11+1,1))</f>
        <v>295.83974441964551</v>
      </c>
      <c r="BJ125" s="62">
        <f t="shared" si="92"/>
        <v>212.24900914818096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0.37178230975350735</v>
      </c>
      <c r="BR125" s="23">
        <f>EXP(-LN(2)/2)*BR124+(1-EXP(-LN(2)/2))/(LN(2)/2)*BL125*BO125*VLOOKUP('Données projet'!$B$11,Paramètres!$A$1:$I$89,3,0)*0.475*44/12</f>
        <v>8.8055471206204372E-14</v>
      </c>
      <c r="BS125" s="24">
        <f t="shared" si="63"/>
        <v>0.37178230975359539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-1.1368683772161603E-13</v>
      </c>
      <c r="O126" s="14">
        <f>N126*VLOOKUP('Données projet'!$B$9,Paramètres!$A$1:$I$89,3,0)*VLOOKUP('Données projet'!$B$9,Paramètres!$A$1:$I$89,5,0)</f>
        <v>-5.3205440053716299E-14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193.05670375142864</v>
      </c>
      <c r="T126" s="62">
        <f t="shared" si="88"/>
        <v>259.12914184994344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2.73983083424912</v>
      </c>
      <c r="AA126" s="23">
        <f>EXP(-LN(2)/25)*AA125+(1-EXP(-LN(2)/25))/(LN(2)/25)*Calculateur!V126*Calculateur!X126*VLOOKUP('Données projet'!$B$9,Paramètres!$A$1:$I$89,3,0)*0.475*44/12</f>
        <v>0.47190824280830312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3.2117390770574232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645.99999999999955</v>
      </c>
      <c r="AJ126" s="14">
        <f>AI126*VLOOKUP('Données projet'!$B$10,Paramètres!$A$1:$I$89,3,0)*VLOOKUP('Données projet'!$B$10,Paramètres!$A$1:$I$89,5,0)</f>
        <v>361.11399999999975</v>
      </c>
      <c r="AK126" s="14">
        <f t="shared" si="89"/>
        <v>83.846819063373673</v>
      </c>
      <c r="AL126" s="22">
        <f t="shared" si="58"/>
        <v>774.97342653537532</v>
      </c>
      <c r="AM126" s="62">
        <f t="shared" si="59"/>
        <v>1068.3067598687087</v>
      </c>
      <c r="AN126" s="62">
        <f ca="1">AVERAGE(OFFSET($AM$3,0,0,'Données projet'!$E$10+1,1))-AVERAGE(OFFSET($H$3,0,0,'Données projet'!$E$10+1,1))</f>
        <v>512.21337090113502</v>
      </c>
      <c r="AO126" s="62">
        <f t="shared" si="90"/>
        <v>621.03633124474163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0.96036913932244239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2.490261324003059E-13</v>
      </c>
      <c r="AX126" s="23">
        <f t="shared" si="60"/>
        <v>0.96036913932269141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1.1368683772161603E-13</v>
      </c>
      <c r="BE126" s="14">
        <f>BD126*VLOOKUP('Données projet'!$B$11,Paramètres!$A$1:$I$89,3,0)*VLOOKUP('Données projet'!$B$11,Paramètres!$A$1:$I$89,5,0)</f>
        <v>6.7984728957526396E-14</v>
      </c>
      <c r="BF126" s="14">
        <f t="shared" si="91"/>
        <v>1.0682447123141398E-12</v>
      </c>
      <c r="BG126" s="22">
        <f t="shared" si="61"/>
        <v>1.978932943548152E-12</v>
      </c>
      <c r="BH126" s="62">
        <f t="shared" si="62"/>
        <v>293.3333333333353</v>
      </c>
      <c r="BI126" s="62">
        <f ca="1">AVERAGE(OFFSET($BH$3,0,0,'Données projet'!$E$11+1,1))-AVERAGE(OFFSET($H$3,0,0,'Données projet'!$E$11+1,1))</f>
        <v>295.83974441964551</v>
      </c>
      <c r="BJ126" s="62">
        <f t="shared" si="92"/>
        <v>212.24900914818096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0.36161590294211576</v>
      </c>
      <c r="BR126" s="23">
        <f>EXP(-LN(2)/2)*BR125+(1-EXP(-LN(2)/2))/(LN(2)/2)*BL126*BO126*VLOOKUP('Données projet'!$B$11,Paramètres!$A$1:$I$89,3,0)*0.475*44/12</f>
        <v>6.2264620810483891E-14</v>
      </c>
      <c r="BS126" s="24">
        <f t="shared" si="63"/>
        <v>0.36161590294217805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-1.1368683772161603E-13</v>
      </c>
      <c r="O127" s="14">
        <f>N127*VLOOKUP('Données projet'!$B$9,Paramètres!$A$1:$I$89,3,0)*VLOOKUP('Données projet'!$B$9,Paramètres!$A$1:$I$89,5,0)</f>
        <v>-5.3205440053716299E-14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193.05670375142864</v>
      </c>
      <c r="T127" s="62">
        <f t="shared" si="88"/>
        <v>259.12914184994344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2.6861044227212929</v>
      </c>
      <c r="AA127" s="23">
        <f>EXP(-LN(2)/25)*AA126+(1-EXP(-LN(2)/25))/(LN(2)/25)*Calculateur!V127*Calculateur!X127*VLOOKUP('Données projet'!$B$9,Paramètres!$A$1:$I$89,3,0)*0.475*44/12</f>
        <v>0.45900388709213413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3.1451083098134269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645.99999999999955</v>
      </c>
      <c r="AJ127" s="14">
        <f>AI127*VLOOKUP('Données projet'!$B$10,Paramètres!$A$1:$I$89,3,0)*VLOOKUP('Données projet'!$B$10,Paramètres!$A$1:$I$89,5,0)</f>
        <v>361.11399999999975</v>
      </c>
      <c r="AK127" s="14">
        <f t="shared" si="89"/>
        <v>83.846819063373673</v>
      </c>
      <c r="AL127" s="22">
        <f t="shared" si="58"/>
        <v>774.97342653537532</v>
      </c>
      <c r="AM127" s="62">
        <f t="shared" si="59"/>
        <v>1068.3067598687087</v>
      </c>
      <c r="AN127" s="62">
        <f ca="1">AVERAGE(OFFSET($AM$3,0,0,'Données projet'!$E$10+1,1))-AVERAGE(OFFSET($H$3,0,0,'Données projet'!$E$10+1,1))</f>
        <v>512.21337090113502</v>
      </c>
      <c r="AO127" s="62">
        <f t="shared" si="90"/>
        <v>621.03633124474163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0.94153688626766452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1.7608806691291532E-13</v>
      </c>
      <c r="AX127" s="23">
        <f t="shared" si="60"/>
        <v>0.9415368862678406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1.1368683772161603E-13</v>
      </c>
      <c r="BE127" s="14">
        <f>BD127*VLOOKUP('Données projet'!$B$11,Paramètres!$A$1:$I$89,3,0)*VLOOKUP('Données projet'!$B$11,Paramètres!$A$1:$I$89,5,0)</f>
        <v>6.7984728957526396E-14</v>
      </c>
      <c r="BF127" s="14">
        <f t="shared" si="91"/>
        <v>1.0682447123141398E-12</v>
      </c>
      <c r="BG127" s="22">
        <f t="shared" si="61"/>
        <v>1.978932943548152E-12</v>
      </c>
      <c r="BH127" s="62">
        <f t="shared" si="62"/>
        <v>293.3333333333353</v>
      </c>
      <c r="BI127" s="62">
        <f ca="1">AVERAGE(OFFSET($BH$3,0,0,'Données projet'!$E$11+1,1))-AVERAGE(OFFSET($H$3,0,0,'Données projet'!$E$11+1,1))</f>
        <v>295.83974441964551</v>
      </c>
      <c r="BJ127" s="62">
        <f t="shared" si="92"/>
        <v>212.24900914818096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0.35172749705960976</v>
      </c>
      <c r="BR127" s="23">
        <f>EXP(-LN(2)/2)*BR126+(1-EXP(-LN(2)/2))/(LN(2)/2)*BL127*BO127*VLOOKUP('Données projet'!$B$11,Paramètres!$A$1:$I$89,3,0)*0.475*44/12</f>
        <v>4.4027735603102186E-14</v>
      </c>
      <c r="BS127" s="24">
        <f t="shared" si="63"/>
        <v>0.35172749705965378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-1.1368683772161603E-13</v>
      </c>
      <c r="O128" s="14">
        <f>N128*VLOOKUP('Données projet'!$B$9,Paramètres!$A$1:$I$89,3,0)*VLOOKUP('Données projet'!$B$9,Paramètres!$A$1:$I$89,5,0)</f>
        <v>-5.3205440053716299E-14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193.05670375142864</v>
      </c>
      <c r="T128" s="62">
        <f t="shared" si="88"/>
        <v>259.12914184994344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2.6334315533536512</v>
      </c>
      <c r="AA128" s="23">
        <f>EXP(-LN(2)/25)*AA127+(1-EXP(-LN(2)/25))/(LN(2)/25)*Calculateur!V128*Calculateur!X128*VLOOKUP('Données projet'!$B$9,Paramètres!$A$1:$I$89,3,0)*0.475*44/12</f>
        <v>0.44645240166163436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3.0798839550152857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645.99999999999955</v>
      </c>
      <c r="AJ128" s="14">
        <f>AI128*VLOOKUP('Données projet'!$B$10,Paramètres!$A$1:$I$89,3,0)*VLOOKUP('Données projet'!$B$10,Paramètres!$A$1:$I$89,5,0)</f>
        <v>361.11399999999975</v>
      </c>
      <c r="AK128" s="14">
        <f t="shared" si="89"/>
        <v>83.846819063373673</v>
      </c>
      <c r="AL128" s="22">
        <f t="shared" si="58"/>
        <v>774.97342653537532</v>
      </c>
      <c r="AM128" s="62">
        <f t="shared" si="59"/>
        <v>1068.3067598687087</v>
      </c>
      <c r="AN128" s="62">
        <f ca="1">AVERAGE(OFFSET($AM$3,0,0,'Données projet'!$E$10+1,1))-AVERAGE(OFFSET($H$3,0,0,'Données projet'!$E$10+1,1))</f>
        <v>512.21337090113502</v>
      </c>
      <c r="AO128" s="62">
        <f t="shared" si="90"/>
        <v>621.03633124474163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0.92307392220875073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1.2451306620015295E-13</v>
      </c>
      <c r="AX128" s="23">
        <f t="shared" si="60"/>
        <v>0.9230739222088753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1.1368683772161603E-13</v>
      </c>
      <c r="BE128" s="14">
        <f>BD128*VLOOKUP('Données projet'!$B$11,Paramètres!$A$1:$I$89,3,0)*VLOOKUP('Données projet'!$B$11,Paramètres!$A$1:$I$89,5,0)</f>
        <v>6.7984728957526396E-14</v>
      </c>
      <c r="BF128" s="14">
        <f t="shared" si="91"/>
        <v>1.0682447123141398E-12</v>
      </c>
      <c r="BG128" s="22">
        <f t="shared" si="61"/>
        <v>1.978932943548152E-12</v>
      </c>
      <c r="BH128" s="62">
        <f t="shared" si="62"/>
        <v>293.3333333333353</v>
      </c>
      <c r="BI128" s="62">
        <f ca="1">AVERAGE(OFFSET($BH$3,0,0,'Données projet'!$E$11+1,1))-AVERAGE(OFFSET($H$3,0,0,'Données projet'!$E$11+1,1))</f>
        <v>295.83974441964551</v>
      </c>
      <c r="BJ128" s="62">
        <f t="shared" si="92"/>
        <v>212.24900914818096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0.34210949015596953</v>
      </c>
      <c r="BR128" s="23">
        <f>EXP(-LN(2)/2)*BR127+(1-EXP(-LN(2)/2))/(LN(2)/2)*BL128*BO128*VLOOKUP('Données projet'!$B$11,Paramètres!$A$1:$I$89,3,0)*0.475*44/12</f>
        <v>3.1132310405241946E-14</v>
      </c>
      <c r="BS128" s="24">
        <f t="shared" si="63"/>
        <v>0.34210949015600067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-1.1368683772161603E-13</v>
      </c>
      <c r="O129" s="14">
        <f>N129*VLOOKUP('Données projet'!$B$9,Paramètres!$A$1:$I$89,3,0)*VLOOKUP('Données projet'!$B$9,Paramètres!$A$1:$I$89,5,0)</f>
        <v>-5.3205440053716299E-14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193.05670375142864</v>
      </c>
      <c r="T129" s="62">
        <f t="shared" si="88"/>
        <v>259.12914184994344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2.581791566827031</v>
      </c>
      <c r="AA129" s="23">
        <f>EXP(-LN(2)/25)*AA128+(1-EXP(-LN(2)/25))/(LN(2)/25)*Calculateur!V129*Calculateur!X129*VLOOKUP('Données projet'!$B$9,Paramètres!$A$1:$I$89,3,0)*0.475*44/12</f>
        <v>0.43424413726028555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3.0160357040873165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645.99999999999955</v>
      </c>
      <c r="AJ129" s="14">
        <f>AI129*VLOOKUP('Données projet'!$B$10,Paramètres!$A$1:$I$89,3,0)*VLOOKUP('Données projet'!$B$10,Paramètres!$A$1:$I$89,5,0)</f>
        <v>361.11399999999975</v>
      </c>
      <c r="AK129" s="14">
        <f t="shared" si="89"/>
        <v>83.846819063373673</v>
      </c>
      <c r="AL129" s="22">
        <f t="shared" si="58"/>
        <v>774.97342653537532</v>
      </c>
      <c r="AM129" s="62">
        <f t="shared" si="59"/>
        <v>1068.3067598687087</v>
      </c>
      <c r="AN129" s="62">
        <f ca="1">AVERAGE(OFFSET($AM$3,0,0,'Données projet'!$E$10+1,1))-AVERAGE(OFFSET($H$3,0,0,'Données projet'!$E$10+1,1))</f>
        <v>512.21337090113502</v>
      </c>
      <c r="AO129" s="62">
        <f t="shared" si="90"/>
        <v>621.03633124474163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0.90497300561373617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8.804403345645766E-14</v>
      </c>
      <c r="AX129" s="23">
        <f t="shared" si="60"/>
        <v>0.90497300561382421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1.1368683772161603E-13</v>
      </c>
      <c r="BE129" s="14">
        <f>BD129*VLOOKUP('Données projet'!$B$11,Paramètres!$A$1:$I$89,3,0)*VLOOKUP('Données projet'!$B$11,Paramètres!$A$1:$I$89,5,0)</f>
        <v>6.7984728957526396E-14</v>
      </c>
      <c r="BF129" s="14">
        <f t="shared" si="91"/>
        <v>1.0682447123141398E-12</v>
      </c>
      <c r="BG129" s="22">
        <f t="shared" si="61"/>
        <v>1.978932943548152E-12</v>
      </c>
      <c r="BH129" s="62">
        <f t="shared" si="62"/>
        <v>293.3333333333353</v>
      </c>
      <c r="BI129" s="62">
        <f ca="1">AVERAGE(OFFSET($BH$3,0,0,'Données projet'!$E$11+1,1))-AVERAGE(OFFSET($H$3,0,0,'Données projet'!$E$11+1,1))</f>
        <v>295.83974441964551</v>
      </c>
      <c r="BJ129" s="62">
        <f t="shared" si="92"/>
        <v>212.24900914818096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0.33275448815689834</v>
      </c>
      <c r="BR129" s="23">
        <f>EXP(-LN(2)/2)*BR128+(1-EXP(-LN(2)/2))/(LN(2)/2)*BL129*BO129*VLOOKUP('Données projet'!$B$11,Paramètres!$A$1:$I$89,3,0)*0.475*44/12</f>
        <v>2.2013867801551093E-14</v>
      </c>
      <c r="BS129" s="24">
        <f t="shared" si="63"/>
        <v>0.33275448815692038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-1.1368683772161603E-13</v>
      </c>
      <c r="O130" s="14">
        <f>N130*VLOOKUP('Données projet'!$B$9,Paramètres!$A$1:$I$89,3,0)*VLOOKUP('Données projet'!$B$9,Paramètres!$A$1:$I$89,5,0)</f>
        <v>-5.3205440053716299E-14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193.05670375142864</v>
      </c>
      <c r="T130" s="62">
        <f t="shared" si="88"/>
        <v>259.12914184994344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2.5311642089389164</v>
      </c>
      <c r="AA130" s="23">
        <f>EXP(-LN(2)/25)*AA129+(1-EXP(-LN(2)/25))/(LN(2)/25)*Calculateur!V130*Calculateur!X130*VLOOKUP('Données projet'!$B$9,Paramètres!$A$1:$I$89,3,0)*0.475*44/12</f>
        <v>0.42236970849099631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2.9535339174299127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645.99999999999955</v>
      </c>
      <c r="AJ130" s="14">
        <f>AI130*VLOOKUP('Données projet'!$B$10,Paramètres!$A$1:$I$89,3,0)*VLOOKUP('Données projet'!$B$10,Paramètres!$A$1:$I$89,5,0)</f>
        <v>361.11399999999975</v>
      </c>
      <c r="AK130" s="14">
        <f t="shared" si="89"/>
        <v>83.846819063373673</v>
      </c>
      <c r="AL130" s="22">
        <f t="shared" si="58"/>
        <v>774.97342653537532</v>
      </c>
      <c r="AM130" s="62">
        <f t="shared" si="59"/>
        <v>1068.3067598687087</v>
      </c>
      <c r="AN130" s="62">
        <f ca="1">AVERAGE(OFFSET($AM$3,0,0,'Données projet'!$E$10+1,1))-AVERAGE(OFFSET($H$3,0,0,'Données projet'!$E$10+1,1))</f>
        <v>512.21337090113502</v>
      </c>
      <c r="AO130" s="62">
        <f t="shared" si="90"/>
        <v>621.03633124474163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0.88722703695268079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6.2256533100076476E-14</v>
      </c>
      <c r="AX130" s="23">
        <f t="shared" si="60"/>
        <v>0.88722703695274308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1.1368683772161603E-13</v>
      </c>
      <c r="BE130" s="14">
        <f>BD130*VLOOKUP('Données projet'!$B$11,Paramètres!$A$1:$I$89,3,0)*VLOOKUP('Données projet'!$B$11,Paramètres!$A$1:$I$89,5,0)</f>
        <v>6.7984728957526396E-14</v>
      </c>
      <c r="BF130" s="14">
        <f t="shared" si="91"/>
        <v>1.0682447123141398E-12</v>
      </c>
      <c r="BG130" s="22">
        <f t="shared" si="61"/>
        <v>1.978932943548152E-12</v>
      </c>
      <c r="BH130" s="62">
        <f t="shared" si="62"/>
        <v>293.3333333333353</v>
      </c>
      <c r="BI130" s="62">
        <f ca="1">AVERAGE(OFFSET($BH$3,0,0,'Données projet'!$E$11+1,1))-AVERAGE(OFFSET($H$3,0,0,'Données projet'!$E$11+1,1))</f>
        <v>295.83974441964551</v>
      </c>
      <c r="BJ130" s="62">
        <f t="shared" si="92"/>
        <v>212.24900914818096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0.32365529917944996</v>
      </c>
      <c r="BR130" s="23">
        <f>EXP(-LN(2)/2)*BR129+(1-EXP(-LN(2)/2))/(LN(2)/2)*BL130*BO130*VLOOKUP('Données projet'!$B$11,Paramètres!$A$1:$I$89,3,0)*0.475*44/12</f>
        <v>1.5566155202620973E-14</v>
      </c>
      <c r="BS130" s="24">
        <f t="shared" si="63"/>
        <v>0.32365529917946551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-1.1368683772161603E-13</v>
      </c>
      <c r="O131" s="14">
        <f>N131*VLOOKUP('Données projet'!$B$9,Paramètres!$A$1:$I$89,3,0)*VLOOKUP('Données projet'!$B$9,Paramètres!$A$1:$I$89,5,0)</f>
        <v>-5.3205440053716299E-14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193.05670375142864</v>
      </c>
      <c r="T131" s="62">
        <f t="shared" si="88"/>
        <v>259.12914184994344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2.4815296226593482</v>
      </c>
      <c r="AA131" s="23">
        <f>EXP(-LN(2)/25)*AA130+(1-EXP(-LN(2)/25))/(LN(2)/25)*Calculateur!V131*Calculateur!X131*VLOOKUP('Données projet'!$B$9,Paramètres!$A$1:$I$89,3,0)*0.475*44/12</f>
        <v>0.41081998660085239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2.8923496092602008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645.99999999999955</v>
      </c>
      <c r="AJ131" s="14">
        <f>AI131*VLOOKUP('Données projet'!$B$10,Paramètres!$A$1:$I$89,3,0)*VLOOKUP('Données projet'!$B$10,Paramètres!$A$1:$I$89,5,0)</f>
        <v>361.11399999999975</v>
      </c>
      <c r="AK131" s="14">
        <f t="shared" si="89"/>
        <v>83.846819063373673</v>
      </c>
      <c r="AL131" s="22">
        <f t="shared" si="58"/>
        <v>774.97342653537532</v>
      </c>
      <c r="AM131" s="62">
        <f t="shared" si="59"/>
        <v>1068.3067598687087</v>
      </c>
      <c r="AN131" s="62">
        <f ca="1">AVERAGE(OFFSET($AM$3,0,0,'Données projet'!$E$10+1,1))-AVERAGE(OFFSET($H$3,0,0,'Données projet'!$E$10+1,1))</f>
        <v>512.21337090113502</v>
      </c>
      <c r="AO131" s="62">
        <f t="shared" si="90"/>
        <v>621.03633124474163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0.86982905591309667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4.402201672822883E-14</v>
      </c>
      <c r="AX131" s="23">
        <f t="shared" si="60"/>
        <v>0.86982905591314075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1.1368683772161603E-13</v>
      </c>
      <c r="BE131" s="14">
        <f>BD131*VLOOKUP('Données projet'!$B$11,Paramètres!$A$1:$I$89,3,0)*VLOOKUP('Données projet'!$B$11,Paramètres!$A$1:$I$89,5,0)</f>
        <v>6.7984728957526396E-14</v>
      </c>
      <c r="BF131" s="14">
        <f t="shared" si="91"/>
        <v>1.0682447123141398E-12</v>
      </c>
      <c r="BG131" s="22">
        <f t="shared" si="61"/>
        <v>1.978932943548152E-12</v>
      </c>
      <c r="BH131" s="62">
        <f t="shared" si="62"/>
        <v>293.3333333333353</v>
      </c>
      <c r="BI131" s="62">
        <f ca="1">AVERAGE(OFFSET($BH$3,0,0,'Données projet'!$E$11+1,1))-AVERAGE(OFFSET($H$3,0,0,'Données projet'!$E$11+1,1))</f>
        <v>295.83974441964551</v>
      </c>
      <c r="BJ131" s="62">
        <f t="shared" si="92"/>
        <v>212.24900914818096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0.31480492800309545</v>
      </c>
      <c r="BR131" s="23">
        <f>EXP(-LN(2)/2)*BR130+(1-EXP(-LN(2)/2))/(LN(2)/2)*BL131*BO131*VLOOKUP('Données projet'!$B$11,Paramètres!$A$1:$I$89,3,0)*0.475*44/12</f>
        <v>1.1006933900775547E-14</v>
      </c>
      <c r="BS131" s="24">
        <f t="shared" si="63"/>
        <v>0.31480492800310644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-1.1368683772161603E-13</v>
      </c>
      <c r="O132" s="14">
        <f>N132*VLOOKUP('Données projet'!$B$9,Paramètres!$A$1:$I$89,3,0)*VLOOKUP('Données projet'!$B$9,Paramètres!$A$1:$I$89,5,0)</f>
        <v>-5.3205440053716299E-14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193.05670375142864</v>
      </c>
      <c r="T132" s="62">
        <f t="shared" si="88"/>
        <v>259.12914184994344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2.4328683403426141</v>
      </c>
      <c r="AA132" s="23">
        <f>EXP(-LN(2)/25)*AA131+(1-EXP(-LN(2)/25))/(LN(2)/25)*Calculateur!V132*Calculateur!X132*VLOOKUP('Données projet'!$B$9,Paramètres!$A$1:$I$89,3,0)*0.475*44/12</f>
        <v>0.39958609246316795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2.8324544328057821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645.99999999999955</v>
      </c>
      <c r="AJ132" s="14">
        <f>AI132*VLOOKUP('Données projet'!$B$10,Paramètres!$A$1:$I$89,3,0)*VLOOKUP('Données projet'!$B$10,Paramètres!$A$1:$I$89,5,0)</f>
        <v>361.11399999999975</v>
      </c>
      <c r="AK132" s="14">
        <f t="shared" si="89"/>
        <v>83.846819063373673</v>
      </c>
      <c r="AL132" s="22">
        <f t="shared" ref="AL132:AL153" si="112">(AJ132+AK132)*0.475*44/12</f>
        <v>774.97342653537532</v>
      </c>
      <c r="AM132" s="62">
        <f t="shared" ref="AM132:AM195" si="113">AL132+(AD132+AE132)*44/12</f>
        <v>1068.3067598687087</v>
      </c>
      <c r="AN132" s="62">
        <f ca="1">AVERAGE(OFFSET($AM$3,0,0,'Données projet'!$E$10+1,1))-AVERAGE(OFFSET($H$3,0,0,'Données projet'!$E$10+1,1))</f>
        <v>512.21337090113502</v>
      </c>
      <c r="AO132" s="62">
        <f t="shared" si="90"/>
        <v>621.03633124474163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0.8527722386699782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3.1128266550038238E-14</v>
      </c>
      <c r="AX132" s="23">
        <f t="shared" ref="AX132:AX153" si="114">SUM(AU132:AW132)</f>
        <v>0.85277223867000929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1.1368683772161603E-13</v>
      </c>
      <c r="BE132" s="14">
        <f>BD132*VLOOKUP('Données projet'!$B$11,Paramètres!$A$1:$I$89,3,0)*VLOOKUP('Données projet'!$B$11,Paramètres!$A$1:$I$89,5,0)</f>
        <v>6.7984728957526396E-14</v>
      </c>
      <c r="BF132" s="14">
        <f t="shared" si="91"/>
        <v>1.0682447123141398E-12</v>
      </c>
      <c r="BG132" s="22">
        <f t="shared" ref="BG132:BG153" si="115">(BE132+BF132)*0.475*44/12</f>
        <v>1.978932943548152E-12</v>
      </c>
      <c r="BH132" s="62">
        <f t="shared" ref="BH132:BH195" si="116">BG132+(AY132+AZ132)*44/12</f>
        <v>293.3333333333353</v>
      </c>
      <c r="BI132" s="62">
        <f ca="1">AVERAGE(OFFSET($BH$3,0,0,'Données projet'!$E$11+1,1))-AVERAGE(OFFSET($H$3,0,0,'Données projet'!$E$11+1,1))</f>
        <v>295.83974441964551</v>
      </c>
      <c r="BJ132" s="62">
        <f t="shared" si="92"/>
        <v>212.24900914818096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0.30619657069197914</v>
      </c>
      <c r="BR132" s="23">
        <f>EXP(-LN(2)/2)*BR131+(1-EXP(-LN(2)/2))/(LN(2)/2)*BL132*BO132*VLOOKUP('Données projet'!$B$11,Paramètres!$A$1:$I$89,3,0)*0.475*44/12</f>
        <v>7.7830776013104864E-15</v>
      </c>
      <c r="BS132" s="24">
        <f t="shared" ref="BS132:BS153" si="117">SUM(BP132:BR132)</f>
        <v>0.30619657069198691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-1.1368683772161603E-13</v>
      </c>
      <c r="O133" s="14">
        <f>N133*VLOOKUP('Données projet'!$B$9,Paramètres!$A$1:$I$89,3,0)*VLOOKUP('Données projet'!$B$9,Paramètres!$A$1:$I$89,5,0)</f>
        <v>-5.3205440053716299E-14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193.05670375142864</v>
      </c>
      <c r="T133" s="62">
        <f t="shared" ref="T133:T196" si="142">$T$3</f>
        <v>259.12914184994344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2.3851612760916598</v>
      </c>
      <c r="AA133" s="23">
        <f>EXP(-LN(2)/25)*AA132+(1-EXP(-LN(2)/25))/(LN(2)/25)*Calculateur!V133*Calculateur!X133*VLOOKUP('Données projet'!$B$9,Paramètres!$A$1:$I$89,3,0)*0.475*44/12</f>
        <v>0.38865938975144326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2.7738206658431031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645.99999999999955</v>
      </c>
      <c r="AJ133" s="14">
        <f>AI133*VLOOKUP('Données projet'!$B$10,Paramètres!$A$1:$I$89,3,0)*VLOOKUP('Données projet'!$B$10,Paramètres!$A$1:$I$89,5,0)</f>
        <v>361.11399999999975</v>
      </c>
      <c r="AK133" s="14">
        <f t="shared" ref="AK133:AK153" si="143">EXP(-1.0587+0.8836*LN(AJ133)+0.284)</f>
        <v>83.846819063373673</v>
      </c>
      <c r="AL133" s="22">
        <f t="shared" si="112"/>
        <v>774.97342653537532</v>
      </c>
      <c r="AM133" s="62">
        <f t="shared" si="113"/>
        <v>1068.3067598687087</v>
      </c>
      <c r="AN133" s="62">
        <f ca="1">AVERAGE(OFFSET($AM$3,0,0,'Données projet'!$E$10+1,1))-AVERAGE(OFFSET($H$3,0,0,'Données projet'!$E$10+1,1))</f>
        <v>512.21337090113502</v>
      </c>
      <c r="AO133" s="62">
        <f t="shared" ref="AO133:AO196" si="144">$AO$3</f>
        <v>621.03633124474163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0.83604989520936601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2.2011008364114415E-14</v>
      </c>
      <c r="AX133" s="23">
        <f t="shared" si="114"/>
        <v>0.83604989520938799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1.1368683772161603E-13</v>
      </c>
      <c r="BE133" s="14">
        <f>BD133*VLOOKUP('Données projet'!$B$11,Paramètres!$A$1:$I$89,3,0)*VLOOKUP('Données projet'!$B$11,Paramètres!$A$1:$I$89,5,0)</f>
        <v>6.7984728957526396E-14</v>
      </c>
      <c r="BF133" s="14">
        <f t="shared" ref="BF133:BF153" si="145">EXP(-1.0587+0.8836*LN(BE133)+0.284)</f>
        <v>1.0682447123141398E-12</v>
      </c>
      <c r="BG133" s="22">
        <f t="shared" si="115"/>
        <v>1.978932943548152E-12</v>
      </c>
      <c r="BH133" s="62">
        <f t="shared" si="116"/>
        <v>293.3333333333353</v>
      </c>
      <c r="BI133" s="62">
        <f ca="1">AVERAGE(OFFSET($BH$3,0,0,'Données projet'!$E$11+1,1))-AVERAGE(OFFSET($H$3,0,0,'Données projet'!$E$11+1,1))</f>
        <v>295.83974441964551</v>
      </c>
      <c r="BJ133" s="62">
        <f t="shared" ref="BJ133:BJ196" si="146">$BJ$3</f>
        <v>212.24900914818096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0.29782360936422914</v>
      </c>
      <c r="BR133" s="23">
        <f>EXP(-LN(2)/2)*BR132+(1-EXP(-LN(2)/2))/(LN(2)/2)*BL133*BO133*VLOOKUP('Données projet'!$B$11,Paramètres!$A$1:$I$89,3,0)*0.475*44/12</f>
        <v>5.5034669503877733E-15</v>
      </c>
      <c r="BS133" s="24">
        <f t="shared" si="117"/>
        <v>0.29782360936423463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-1.1368683772161603E-13</v>
      </c>
      <c r="O134" s="14">
        <f>N134*VLOOKUP('Données projet'!$B$9,Paramètres!$A$1:$I$89,3,0)*VLOOKUP('Données projet'!$B$9,Paramètres!$A$1:$I$89,5,0)</f>
        <v>-5.3205440053716299E-14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193.05670375142864</v>
      </c>
      <c r="T134" s="62">
        <f t="shared" si="142"/>
        <v>259.12914184994344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2.3383897182722309</v>
      </c>
      <c r="AA134" s="23">
        <f>EXP(-LN(2)/25)*AA133+(1-EXP(-LN(2)/25))/(LN(2)/25)*Calculateur!V134*Calculateur!X134*VLOOKUP('Données projet'!$B$9,Paramètres!$A$1:$I$89,3,0)*0.475*44/12</f>
        <v>0.37803147829998102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2.7164211965722118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645.99999999999955</v>
      </c>
      <c r="AJ134" s="14">
        <f>AI134*VLOOKUP('Données projet'!$B$10,Paramètres!$A$1:$I$89,3,0)*VLOOKUP('Données projet'!$B$10,Paramètres!$A$1:$I$89,5,0)</f>
        <v>361.11399999999975</v>
      </c>
      <c r="AK134" s="14">
        <f t="shared" si="143"/>
        <v>83.846819063373673</v>
      </c>
      <c r="AL134" s="22">
        <f t="shared" si="112"/>
        <v>774.97342653537532</v>
      </c>
      <c r="AM134" s="62">
        <f t="shared" si="113"/>
        <v>1068.3067598687087</v>
      </c>
      <c r="AN134" s="62">
        <f ca="1">AVERAGE(OFFSET($AM$3,0,0,'Données projet'!$E$10+1,1))-AVERAGE(OFFSET($H$3,0,0,'Données projet'!$E$10+1,1))</f>
        <v>512.21337090113502</v>
      </c>
      <c r="AO134" s="62">
        <f t="shared" si="144"/>
        <v>621.03633124474163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0.81965546670439404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1.5564133275019119E-14</v>
      </c>
      <c r="AX134" s="23">
        <f t="shared" si="114"/>
        <v>0.81965546670440959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1.1368683772161603E-13</v>
      </c>
      <c r="BE134" s="14">
        <f>BD134*VLOOKUP('Données projet'!$B$11,Paramètres!$A$1:$I$89,3,0)*VLOOKUP('Données projet'!$B$11,Paramètres!$A$1:$I$89,5,0)</f>
        <v>6.7984728957526396E-14</v>
      </c>
      <c r="BF134" s="14">
        <f t="shared" si="145"/>
        <v>1.0682447123141398E-12</v>
      </c>
      <c r="BG134" s="22">
        <f t="shared" si="115"/>
        <v>1.978932943548152E-12</v>
      </c>
      <c r="BH134" s="62">
        <f t="shared" si="116"/>
        <v>293.3333333333353</v>
      </c>
      <c r="BI134" s="62">
        <f ca="1">AVERAGE(OFFSET($BH$3,0,0,'Données projet'!$E$11+1,1))-AVERAGE(OFFSET($H$3,0,0,'Données projet'!$E$11+1,1))</f>
        <v>295.83974441964551</v>
      </c>
      <c r="BJ134" s="62">
        <f t="shared" si="146"/>
        <v>212.24900914818096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0.28967960710430135</v>
      </c>
      <c r="BR134" s="23">
        <f>EXP(-LN(2)/2)*BR133+(1-EXP(-LN(2)/2))/(LN(2)/2)*BL134*BO134*VLOOKUP('Données projet'!$B$11,Paramètres!$A$1:$I$89,3,0)*0.475*44/12</f>
        <v>3.8915388006552432E-15</v>
      </c>
      <c r="BS134" s="24">
        <f t="shared" si="117"/>
        <v>0.28967960710430524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-1.1368683772161603E-13</v>
      </c>
      <c r="O135" s="14">
        <f>N135*VLOOKUP('Données projet'!$B$9,Paramètres!$A$1:$I$89,3,0)*VLOOKUP('Données projet'!$B$9,Paramètres!$A$1:$I$89,5,0)</f>
        <v>-5.3205440053716299E-14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193.05670375142864</v>
      </c>
      <c r="T135" s="62">
        <f t="shared" si="142"/>
        <v>259.12914184994344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2.2925353221738076</v>
      </c>
      <c r="AA135" s="23">
        <f>EXP(-LN(2)/25)*AA134+(1-EXP(-LN(2)/25))/(LN(2)/25)*Calculateur!V135*Calculateur!X135*VLOOKUP('Données projet'!$B$9,Paramètres!$A$1:$I$89,3,0)*0.475*44/12</f>
        <v>0.3676941876460566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2.6602295098198643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645.99999999999955</v>
      </c>
      <c r="AJ135" s="14">
        <f>AI135*VLOOKUP('Données projet'!$B$10,Paramètres!$A$1:$I$89,3,0)*VLOOKUP('Données projet'!$B$10,Paramètres!$A$1:$I$89,5,0)</f>
        <v>361.11399999999975</v>
      </c>
      <c r="AK135" s="14">
        <f t="shared" si="143"/>
        <v>83.846819063373673</v>
      </c>
      <c r="AL135" s="22">
        <f t="shared" si="112"/>
        <v>774.97342653537532</v>
      </c>
      <c r="AM135" s="62">
        <f t="shared" si="113"/>
        <v>1068.3067598687087</v>
      </c>
      <c r="AN135" s="62">
        <f ca="1">AVERAGE(OFFSET($AM$3,0,0,'Données projet'!$E$10+1,1))-AVERAGE(OFFSET($H$3,0,0,'Données projet'!$E$10+1,1))</f>
        <v>512.21337090113502</v>
      </c>
      <c r="AO135" s="62">
        <f t="shared" si="144"/>
        <v>621.03633124474163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0.80358252294279053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1.1005504182057208E-14</v>
      </c>
      <c r="AX135" s="23">
        <f t="shared" si="114"/>
        <v>0.80358252294280152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1.1368683772161603E-13</v>
      </c>
      <c r="BE135" s="14">
        <f>BD135*VLOOKUP('Données projet'!$B$11,Paramètres!$A$1:$I$89,3,0)*VLOOKUP('Données projet'!$B$11,Paramètres!$A$1:$I$89,5,0)</f>
        <v>6.7984728957526396E-14</v>
      </c>
      <c r="BF135" s="14">
        <f t="shared" si="145"/>
        <v>1.0682447123141398E-12</v>
      </c>
      <c r="BG135" s="22">
        <f t="shared" si="115"/>
        <v>1.978932943548152E-12</v>
      </c>
      <c r="BH135" s="62">
        <f t="shared" si="116"/>
        <v>293.3333333333353</v>
      </c>
      <c r="BI135" s="62">
        <f ca="1">AVERAGE(OFFSET($BH$3,0,0,'Données projet'!$E$11+1,1))-AVERAGE(OFFSET($H$3,0,0,'Données projet'!$E$11+1,1))</f>
        <v>295.83974441964551</v>
      </c>
      <c r="BJ135" s="62">
        <f t="shared" si="146"/>
        <v>212.24900914818096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0.28175830301444577</v>
      </c>
      <c r="BR135" s="23">
        <f>EXP(-LN(2)/2)*BR134+(1-EXP(-LN(2)/2))/(LN(2)/2)*BL135*BO135*VLOOKUP('Données projet'!$B$11,Paramètres!$A$1:$I$89,3,0)*0.475*44/12</f>
        <v>2.7517334751938866E-15</v>
      </c>
      <c r="BS135" s="24">
        <f t="shared" si="117"/>
        <v>0.28175830301444854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-1.1368683772161603E-13</v>
      </c>
      <c r="O136" s="14">
        <f>N136*VLOOKUP('Données projet'!$B$9,Paramètres!$A$1:$I$89,3,0)*VLOOKUP('Données projet'!$B$9,Paramètres!$A$1:$I$89,5,0)</f>
        <v>-5.3205440053716299E-14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193.05670375142864</v>
      </c>
      <c r="T136" s="62">
        <f t="shared" si="142"/>
        <v>259.12914184994344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2.2475801028144544</v>
      </c>
      <c r="AA136" s="23">
        <f>EXP(-LN(2)/25)*AA135+(1-EXP(-LN(2)/25))/(LN(2)/25)*Calculateur!V136*Calculateur!X136*VLOOKUP('Données projet'!$B$9,Paramètres!$A$1:$I$89,3,0)*0.475*44/12</f>
        <v>0.35763957074867825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2.6052196735631328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645.99999999999955</v>
      </c>
      <c r="AJ136" s="14">
        <f>AI136*VLOOKUP('Données projet'!$B$10,Paramètres!$A$1:$I$89,3,0)*VLOOKUP('Données projet'!$B$10,Paramètres!$A$1:$I$89,5,0)</f>
        <v>361.11399999999975</v>
      </c>
      <c r="AK136" s="14">
        <f t="shared" si="143"/>
        <v>83.846819063373673</v>
      </c>
      <c r="AL136" s="22">
        <f t="shared" si="112"/>
        <v>774.97342653537532</v>
      </c>
      <c r="AM136" s="62">
        <f t="shared" si="113"/>
        <v>1068.3067598687087</v>
      </c>
      <c r="AN136" s="62">
        <f ca="1">AVERAGE(OFFSET($AM$3,0,0,'Données projet'!$E$10+1,1))-AVERAGE(OFFSET($H$3,0,0,'Données projet'!$E$10+1,1))</f>
        <v>512.21337090113502</v>
      </c>
      <c r="AO136" s="62">
        <f t="shared" si="144"/>
        <v>621.03633124474163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0.78782475980482436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7.7820666375095595E-15</v>
      </c>
      <c r="AX136" s="23">
        <f t="shared" si="114"/>
        <v>0.78782475980483213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1.1368683772161603E-13</v>
      </c>
      <c r="BE136" s="14">
        <f>BD136*VLOOKUP('Données projet'!$B$11,Paramètres!$A$1:$I$89,3,0)*VLOOKUP('Données projet'!$B$11,Paramètres!$A$1:$I$89,5,0)</f>
        <v>6.7984728957526396E-14</v>
      </c>
      <c r="BF136" s="14">
        <f t="shared" si="145"/>
        <v>1.0682447123141398E-12</v>
      </c>
      <c r="BG136" s="22">
        <f t="shared" si="115"/>
        <v>1.978932943548152E-12</v>
      </c>
      <c r="BH136" s="62">
        <f t="shared" si="116"/>
        <v>293.3333333333353</v>
      </c>
      <c r="BI136" s="62">
        <f ca="1">AVERAGE(OFFSET($BH$3,0,0,'Données projet'!$E$11+1,1))-AVERAGE(OFFSET($H$3,0,0,'Données projet'!$E$11+1,1))</f>
        <v>295.83974441964551</v>
      </c>
      <c r="BJ136" s="62">
        <f t="shared" si="146"/>
        <v>212.24900914818096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0.27405360740149054</v>
      </c>
      <c r="BR136" s="23">
        <f>EXP(-LN(2)/2)*BR135+(1-EXP(-LN(2)/2))/(LN(2)/2)*BL136*BO136*VLOOKUP('Données projet'!$B$11,Paramètres!$A$1:$I$89,3,0)*0.475*44/12</f>
        <v>1.9457694003276216E-15</v>
      </c>
      <c r="BS136" s="24">
        <f t="shared" si="117"/>
        <v>0.27405360740149248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-1.1368683772161603E-13</v>
      </c>
      <c r="O137" s="14">
        <f>N137*VLOOKUP('Données projet'!$B$9,Paramètres!$A$1:$I$89,3,0)*VLOOKUP('Données projet'!$B$9,Paramètres!$A$1:$I$89,5,0)</f>
        <v>-5.3205440053716299E-14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193.05670375142864</v>
      </c>
      <c r="T137" s="62">
        <f t="shared" si="142"/>
        <v>259.12914184994344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2.2035064278867615</v>
      </c>
      <c r="AA137" s="23">
        <f>EXP(-LN(2)/25)*AA136+(1-EXP(-LN(2)/25))/(LN(2)/25)*Calculateur!V137*Calculateur!X137*VLOOKUP('Données projet'!$B$9,Paramètres!$A$1:$I$89,3,0)*0.475*44/12</f>
        <v>0.34785989787910804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2.5513663257658696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645.99999999999955</v>
      </c>
      <c r="AJ137" s="14">
        <f>AI137*VLOOKUP('Données projet'!$B$10,Paramètres!$A$1:$I$89,3,0)*VLOOKUP('Données projet'!$B$10,Paramètres!$A$1:$I$89,5,0)</f>
        <v>361.11399999999975</v>
      </c>
      <c r="AK137" s="14">
        <f t="shared" si="143"/>
        <v>83.846819063373673</v>
      </c>
      <c r="AL137" s="22">
        <f t="shared" si="112"/>
        <v>774.97342653537532</v>
      </c>
      <c r="AM137" s="62">
        <f t="shared" si="113"/>
        <v>1068.3067598687087</v>
      </c>
      <c r="AN137" s="62">
        <f ca="1">AVERAGE(OFFSET($AM$3,0,0,'Données projet'!$E$10+1,1))-AVERAGE(OFFSET($H$3,0,0,'Données projet'!$E$10+1,1))</f>
        <v>512.21337090113502</v>
      </c>
      <c r="AO137" s="62">
        <f t="shared" si="144"/>
        <v>621.03633124474163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0.77237599679070723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5.5027520910286038E-15</v>
      </c>
      <c r="AX137" s="23">
        <f t="shared" si="114"/>
        <v>0.77237599679071278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1.1368683772161603E-13</v>
      </c>
      <c r="BE137" s="14">
        <f>BD137*VLOOKUP('Données projet'!$B$11,Paramètres!$A$1:$I$89,3,0)*VLOOKUP('Données projet'!$B$11,Paramètres!$A$1:$I$89,5,0)</f>
        <v>6.7984728957526396E-14</v>
      </c>
      <c r="BF137" s="14">
        <f t="shared" si="145"/>
        <v>1.0682447123141398E-12</v>
      </c>
      <c r="BG137" s="22">
        <f t="shared" si="115"/>
        <v>1.978932943548152E-12</v>
      </c>
      <c r="BH137" s="62">
        <f t="shared" si="116"/>
        <v>293.3333333333353</v>
      </c>
      <c r="BI137" s="62">
        <f ca="1">AVERAGE(OFFSET($BH$3,0,0,'Données projet'!$E$11+1,1))-AVERAGE(OFFSET($H$3,0,0,'Données projet'!$E$11+1,1))</f>
        <v>295.83974441964551</v>
      </c>
      <c r="BJ137" s="62">
        <f t="shared" si="146"/>
        <v>212.24900914818096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0.26655959709524391</v>
      </c>
      <c r="BR137" s="23">
        <f>EXP(-LN(2)/2)*BR136+(1-EXP(-LN(2)/2))/(LN(2)/2)*BL137*BO137*VLOOKUP('Données projet'!$B$11,Paramètres!$A$1:$I$89,3,0)*0.475*44/12</f>
        <v>1.3758667375969433E-15</v>
      </c>
      <c r="BS137" s="24">
        <f t="shared" si="117"/>
        <v>0.26655959709524529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-1.1368683772161603E-13</v>
      </c>
      <c r="O138" s="14">
        <f>N138*VLOOKUP('Données projet'!$B$9,Paramètres!$A$1:$I$89,3,0)*VLOOKUP('Données projet'!$B$9,Paramètres!$A$1:$I$89,5,0)</f>
        <v>-5.3205440053716299E-14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193.05670375142864</v>
      </c>
      <c r="T138" s="62">
        <f t="shared" si="142"/>
        <v>259.12914184994344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2.1602970108421138</v>
      </c>
      <c r="AA138" s="23">
        <f>EXP(-LN(2)/25)*AA137+(1-EXP(-LN(2)/25))/(LN(2)/25)*Calculateur!V138*Calculateur!X138*VLOOKUP('Données projet'!$B$9,Paramètres!$A$1:$I$89,3,0)*0.475*44/12</f>
        <v>0.33834765067844685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2.4986446615205606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645.99999999999955</v>
      </c>
      <c r="AJ138" s="14">
        <f>AI138*VLOOKUP('Données projet'!$B$10,Paramètres!$A$1:$I$89,3,0)*VLOOKUP('Données projet'!$B$10,Paramètres!$A$1:$I$89,5,0)</f>
        <v>361.11399999999975</v>
      </c>
      <c r="AK138" s="14">
        <f t="shared" si="143"/>
        <v>83.846819063373673</v>
      </c>
      <c r="AL138" s="22">
        <f t="shared" si="112"/>
        <v>774.97342653537532</v>
      </c>
      <c r="AM138" s="62">
        <f t="shared" si="113"/>
        <v>1068.3067598687087</v>
      </c>
      <c r="AN138" s="62">
        <f ca="1">AVERAGE(OFFSET($AM$3,0,0,'Données projet'!$E$10+1,1))-AVERAGE(OFFSET($H$3,0,0,'Données projet'!$E$10+1,1))</f>
        <v>512.21337090113502</v>
      </c>
      <c r="AO138" s="62">
        <f t="shared" si="144"/>
        <v>621.03633124474163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0.75723017459648201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3.8910333187547797E-15</v>
      </c>
      <c r="AX138" s="23">
        <f t="shared" si="114"/>
        <v>0.75723017459648589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1.1368683772161603E-13</v>
      </c>
      <c r="BE138" s="14">
        <f>BD138*VLOOKUP('Données projet'!$B$11,Paramètres!$A$1:$I$89,3,0)*VLOOKUP('Données projet'!$B$11,Paramètres!$A$1:$I$89,5,0)</f>
        <v>6.7984728957526396E-14</v>
      </c>
      <c r="BF138" s="14">
        <f t="shared" si="145"/>
        <v>1.0682447123141398E-12</v>
      </c>
      <c r="BG138" s="22">
        <f t="shared" si="115"/>
        <v>1.978932943548152E-12</v>
      </c>
      <c r="BH138" s="62">
        <f t="shared" si="116"/>
        <v>293.3333333333353</v>
      </c>
      <c r="BI138" s="62">
        <f ca="1">AVERAGE(OFFSET($BH$3,0,0,'Données projet'!$E$11+1,1))-AVERAGE(OFFSET($H$3,0,0,'Données projet'!$E$11+1,1))</f>
        <v>295.83974441964551</v>
      </c>
      <c r="BJ138" s="62">
        <f t="shared" si="146"/>
        <v>212.24900914818096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0.25927051089491449</v>
      </c>
      <c r="BR138" s="23">
        <f>EXP(-LN(2)/2)*BR137+(1-EXP(-LN(2)/2))/(LN(2)/2)*BL138*BO138*VLOOKUP('Données projet'!$B$11,Paramètres!$A$1:$I$89,3,0)*0.475*44/12</f>
        <v>9.728847001638108E-16</v>
      </c>
      <c r="BS138" s="24">
        <f t="shared" si="117"/>
        <v>0.25927051089491548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-1.1368683772161603E-13</v>
      </c>
      <c r="O139" s="14">
        <f>N139*VLOOKUP('Données projet'!$B$9,Paramètres!$A$1:$I$89,3,0)*VLOOKUP('Données projet'!$B$9,Paramètres!$A$1:$I$89,5,0)</f>
        <v>-5.3205440053716299E-14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193.05670375142864</v>
      </c>
      <c r="T139" s="62">
        <f t="shared" si="142"/>
        <v>259.12914184994344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2.1179349041105695</v>
      </c>
      <c r="AA139" s="23">
        <f>EXP(-LN(2)/25)*AA138+(1-EXP(-LN(2)/25))/(LN(2)/25)*Calculateur!V139*Calculateur!X139*VLOOKUP('Données projet'!$B$9,Paramètres!$A$1:$I$89,3,0)*0.475*44/12</f>
        <v>0.32909551637771506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2.4470304204882845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645.99999999999955</v>
      </c>
      <c r="AJ139" s="14">
        <f>AI139*VLOOKUP('Données projet'!$B$10,Paramètres!$A$1:$I$89,3,0)*VLOOKUP('Données projet'!$B$10,Paramètres!$A$1:$I$89,5,0)</f>
        <v>361.11399999999975</v>
      </c>
      <c r="AK139" s="14">
        <f t="shared" si="143"/>
        <v>83.846819063373673</v>
      </c>
      <c r="AL139" s="22">
        <f t="shared" si="112"/>
        <v>774.97342653537532</v>
      </c>
      <c r="AM139" s="62">
        <f t="shared" si="113"/>
        <v>1068.3067598687087</v>
      </c>
      <c r="AN139" s="62">
        <f ca="1">AVERAGE(OFFSET($AM$3,0,0,'Données projet'!$E$10+1,1))-AVERAGE(OFFSET($H$3,0,0,'Données projet'!$E$10+1,1))</f>
        <v>512.21337090113502</v>
      </c>
      <c r="AO139" s="62">
        <f t="shared" si="144"/>
        <v>621.03633124474163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0.7423813527374461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2.7513760455143019E-15</v>
      </c>
      <c r="AX139" s="23">
        <f t="shared" si="114"/>
        <v>0.74238135273744887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1.1368683772161603E-13</v>
      </c>
      <c r="BE139" s="14">
        <f>BD139*VLOOKUP('Données projet'!$B$11,Paramètres!$A$1:$I$89,3,0)*VLOOKUP('Données projet'!$B$11,Paramètres!$A$1:$I$89,5,0)</f>
        <v>6.7984728957526396E-14</v>
      </c>
      <c r="BF139" s="14">
        <f t="shared" si="145"/>
        <v>1.0682447123141398E-12</v>
      </c>
      <c r="BG139" s="22">
        <f t="shared" si="115"/>
        <v>1.978932943548152E-12</v>
      </c>
      <c r="BH139" s="62">
        <f t="shared" si="116"/>
        <v>293.3333333333353</v>
      </c>
      <c r="BI139" s="62">
        <f ca="1">AVERAGE(OFFSET($BH$3,0,0,'Données projet'!$E$11+1,1))-AVERAGE(OFFSET($H$3,0,0,'Données projet'!$E$11+1,1))</f>
        <v>295.83974441964551</v>
      </c>
      <c r="BJ139" s="62">
        <f t="shared" si="146"/>
        <v>212.24900914818096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0.25218074514004946</v>
      </c>
      <c r="BR139" s="23">
        <f>EXP(-LN(2)/2)*BR138+(1-EXP(-LN(2)/2))/(LN(2)/2)*BL139*BO139*VLOOKUP('Données projet'!$B$11,Paramètres!$A$1:$I$89,3,0)*0.475*44/12</f>
        <v>6.8793336879847166E-16</v>
      </c>
      <c r="BS139" s="24">
        <f t="shared" si="117"/>
        <v>0.25218074514005012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-1.1368683772161603E-13</v>
      </c>
      <c r="O140" s="14">
        <f>N140*VLOOKUP('Données projet'!$B$9,Paramètres!$A$1:$I$89,3,0)*VLOOKUP('Données projet'!$B$9,Paramètres!$A$1:$I$89,5,0)</f>
        <v>-5.3205440053716299E-14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193.05670375142864</v>
      </c>
      <c r="T140" s="62">
        <f t="shared" si="142"/>
        <v>259.12914184994344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2.0764034924536969</v>
      </c>
      <c r="AA140" s="23">
        <f>EXP(-LN(2)/25)*AA139+(1-EXP(-LN(2)/25))/(LN(2)/25)*Calculateur!V140*Calculateur!X140*VLOOKUP('Données projet'!$B$9,Paramètres!$A$1:$I$89,3,0)*0.475*44/12</f>
        <v>0.32009638217598541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2.3964998746296824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645.99999999999955</v>
      </c>
      <c r="AJ140" s="14">
        <f>AI140*VLOOKUP('Données projet'!$B$10,Paramètres!$A$1:$I$89,3,0)*VLOOKUP('Données projet'!$B$10,Paramètres!$A$1:$I$89,5,0)</f>
        <v>361.11399999999975</v>
      </c>
      <c r="AK140" s="14">
        <f t="shared" si="143"/>
        <v>83.846819063373673</v>
      </c>
      <c r="AL140" s="22">
        <f t="shared" si="112"/>
        <v>774.97342653537532</v>
      </c>
      <c r="AM140" s="62">
        <f t="shared" si="113"/>
        <v>1068.3067598687087</v>
      </c>
      <c r="AN140" s="62">
        <f ca="1">AVERAGE(OFFSET($AM$3,0,0,'Données projet'!$E$10+1,1))-AVERAGE(OFFSET($H$3,0,0,'Données projet'!$E$10+1,1))</f>
        <v>512.21337090113502</v>
      </c>
      <c r="AO140" s="62">
        <f t="shared" si="144"/>
        <v>621.03633124474163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0.72782370721817891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1.9455166593773899E-15</v>
      </c>
      <c r="AX140" s="23">
        <f t="shared" si="114"/>
        <v>0.7278237072181809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1.1368683772161603E-13</v>
      </c>
      <c r="BE140" s="14">
        <f>BD140*VLOOKUP('Données projet'!$B$11,Paramètres!$A$1:$I$89,3,0)*VLOOKUP('Données projet'!$B$11,Paramètres!$A$1:$I$89,5,0)</f>
        <v>6.7984728957526396E-14</v>
      </c>
      <c r="BF140" s="14">
        <f t="shared" si="145"/>
        <v>1.0682447123141398E-12</v>
      </c>
      <c r="BG140" s="22">
        <f t="shared" si="115"/>
        <v>1.978932943548152E-12</v>
      </c>
      <c r="BH140" s="62">
        <f t="shared" si="116"/>
        <v>293.3333333333353</v>
      </c>
      <c r="BI140" s="62">
        <f ca="1">AVERAGE(OFFSET($BH$3,0,0,'Données projet'!$E$11+1,1))-AVERAGE(OFFSET($H$3,0,0,'Données projet'!$E$11+1,1))</f>
        <v>295.83974441964551</v>
      </c>
      <c r="BJ140" s="62">
        <f t="shared" si="146"/>
        <v>212.24900914818096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0.2452848494025858</v>
      </c>
      <c r="BR140" s="23">
        <f>EXP(-LN(2)/2)*BR139+(1-EXP(-LN(2)/2))/(LN(2)/2)*BL140*BO140*VLOOKUP('Données projet'!$B$11,Paramètres!$A$1:$I$89,3,0)*0.475*44/12</f>
        <v>4.864423500819054E-16</v>
      </c>
      <c r="BS140" s="24">
        <f t="shared" si="117"/>
        <v>0.2452848494025863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-1.1368683772161603E-13</v>
      </c>
      <c r="O141" s="14">
        <f>N141*VLOOKUP('Données projet'!$B$9,Paramètres!$A$1:$I$89,3,0)*VLOOKUP('Données projet'!$B$9,Paramètres!$A$1:$I$89,5,0)</f>
        <v>-5.3205440053716299E-14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193.05670375142864</v>
      </c>
      <c r="T141" s="62">
        <f t="shared" si="142"/>
        <v>259.12914184994344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2.0356864864477555</v>
      </c>
      <c r="AA141" s="23">
        <f>EXP(-LN(2)/25)*AA140+(1-EXP(-LN(2)/25))/(LN(2)/25)*Calculateur!V141*Calculateur!X141*VLOOKUP('Données projet'!$B$9,Paramètres!$A$1:$I$89,3,0)*0.475*44/12</f>
        <v>0.31134332977224594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2.3470298162200014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645.99999999999955</v>
      </c>
      <c r="AJ141" s="14">
        <f>AI141*VLOOKUP('Données projet'!$B$10,Paramètres!$A$1:$I$89,3,0)*VLOOKUP('Données projet'!$B$10,Paramètres!$A$1:$I$89,5,0)</f>
        <v>361.11399999999975</v>
      </c>
      <c r="AK141" s="14">
        <f t="shared" si="143"/>
        <v>83.846819063373673</v>
      </c>
      <c r="AL141" s="22">
        <f t="shared" si="112"/>
        <v>774.97342653537532</v>
      </c>
      <c r="AM141" s="62">
        <f t="shared" si="113"/>
        <v>1068.3067598687087</v>
      </c>
      <c r="AN141" s="62">
        <f ca="1">AVERAGE(OFFSET($AM$3,0,0,'Données projet'!$E$10+1,1))-AVERAGE(OFFSET($H$3,0,0,'Données projet'!$E$10+1,1))</f>
        <v>512.21337090113502</v>
      </c>
      <c r="AO141" s="62">
        <f t="shared" si="144"/>
        <v>621.03633124474163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0.71355152824825752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1.3756880227571509E-15</v>
      </c>
      <c r="AX141" s="23">
        <f t="shared" si="114"/>
        <v>0.71355152824825885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1.1368683772161603E-13</v>
      </c>
      <c r="BE141" s="14">
        <f>BD141*VLOOKUP('Données projet'!$B$11,Paramètres!$A$1:$I$89,3,0)*VLOOKUP('Données projet'!$B$11,Paramètres!$A$1:$I$89,5,0)</f>
        <v>6.7984728957526396E-14</v>
      </c>
      <c r="BF141" s="14">
        <f t="shared" si="145"/>
        <v>1.0682447123141398E-12</v>
      </c>
      <c r="BG141" s="22">
        <f t="shared" si="115"/>
        <v>1.978932943548152E-12</v>
      </c>
      <c r="BH141" s="62">
        <f t="shared" si="116"/>
        <v>293.3333333333353</v>
      </c>
      <c r="BI141" s="62">
        <f ca="1">AVERAGE(OFFSET($BH$3,0,0,'Données projet'!$E$11+1,1))-AVERAGE(OFFSET($H$3,0,0,'Données projet'!$E$11+1,1))</f>
        <v>295.83974441964551</v>
      </c>
      <c r="BJ141" s="62">
        <f t="shared" si="146"/>
        <v>212.24900914818096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0.23857752229670245</v>
      </c>
      <c r="BR141" s="23">
        <f>EXP(-LN(2)/2)*BR140+(1-EXP(-LN(2)/2))/(LN(2)/2)*BL141*BO141*VLOOKUP('Données projet'!$B$11,Paramètres!$A$1:$I$89,3,0)*0.475*44/12</f>
        <v>3.4396668439923583E-16</v>
      </c>
      <c r="BS141" s="24">
        <f t="shared" si="117"/>
        <v>0.23857752229670279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-1.1368683772161603E-13</v>
      </c>
      <c r="O142" s="14">
        <f>N142*VLOOKUP('Données projet'!$B$9,Paramètres!$A$1:$I$89,3,0)*VLOOKUP('Données projet'!$B$9,Paramètres!$A$1:$I$89,5,0)</f>
        <v>-5.3205440053716299E-14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193.05670375142864</v>
      </c>
      <c r="T142" s="62">
        <f t="shared" si="142"/>
        <v>259.12914184994344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1.9957679160946693</v>
      </c>
      <c r="AA142" s="23">
        <f>EXP(-LN(2)/25)*AA141+(1-EXP(-LN(2)/25))/(LN(2)/25)*Calculateur!V142*Calculateur!X142*VLOOKUP('Données projet'!$B$9,Paramètres!$A$1:$I$89,3,0)*0.475*44/12</f>
        <v>0.30282963004678976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2.2985975461414592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645.99999999999955</v>
      </c>
      <c r="AJ142" s="14">
        <f>AI142*VLOOKUP('Données projet'!$B$10,Paramètres!$A$1:$I$89,3,0)*VLOOKUP('Données projet'!$B$10,Paramètres!$A$1:$I$89,5,0)</f>
        <v>361.11399999999975</v>
      </c>
      <c r="AK142" s="14">
        <f t="shared" si="143"/>
        <v>83.846819063373673</v>
      </c>
      <c r="AL142" s="22">
        <f t="shared" si="112"/>
        <v>774.97342653537532</v>
      </c>
      <c r="AM142" s="62">
        <f t="shared" si="113"/>
        <v>1068.3067598687087</v>
      </c>
      <c r="AN142" s="62">
        <f ca="1">AVERAGE(OFFSET($AM$3,0,0,'Données projet'!$E$10+1,1))-AVERAGE(OFFSET($H$3,0,0,'Données projet'!$E$10+1,1))</f>
        <v>512.21337090113502</v>
      </c>
      <c r="AO142" s="62">
        <f t="shared" si="144"/>
        <v>621.03633124474163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0.69955921800276666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9.7275832968869494E-16</v>
      </c>
      <c r="AX142" s="23">
        <f t="shared" si="114"/>
        <v>0.69955921800276766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1.1368683772161603E-13</v>
      </c>
      <c r="BE142" s="14">
        <f>BD142*VLOOKUP('Données projet'!$B$11,Paramètres!$A$1:$I$89,3,0)*VLOOKUP('Données projet'!$B$11,Paramètres!$A$1:$I$89,5,0)</f>
        <v>6.7984728957526396E-14</v>
      </c>
      <c r="BF142" s="14">
        <f t="shared" si="145"/>
        <v>1.0682447123141398E-12</v>
      </c>
      <c r="BG142" s="22">
        <f t="shared" si="115"/>
        <v>1.978932943548152E-12</v>
      </c>
      <c r="BH142" s="62">
        <f t="shared" si="116"/>
        <v>293.3333333333353</v>
      </c>
      <c r="BI142" s="62">
        <f ca="1">AVERAGE(OFFSET($BH$3,0,0,'Données projet'!$E$11+1,1))-AVERAGE(OFFSET($H$3,0,0,'Données projet'!$E$11+1,1))</f>
        <v>295.83974441964551</v>
      </c>
      <c r="BJ142" s="62">
        <f t="shared" si="146"/>
        <v>212.24900914818096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0.23205360740325251</v>
      </c>
      <c r="BR142" s="23">
        <f>EXP(-LN(2)/2)*BR141+(1-EXP(-LN(2)/2))/(LN(2)/2)*BL142*BO142*VLOOKUP('Données projet'!$B$11,Paramètres!$A$1:$I$89,3,0)*0.475*44/12</f>
        <v>2.432211750409527E-16</v>
      </c>
      <c r="BS142" s="24">
        <f t="shared" si="117"/>
        <v>0.23205360740325276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-1.1368683772161603E-13</v>
      </c>
      <c r="O143" s="14">
        <f>N143*VLOOKUP('Données projet'!$B$9,Paramètres!$A$1:$I$89,3,0)*VLOOKUP('Données projet'!$B$9,Paramètres!$A$1:$I$89,5,0)</f>
        <v>-5.3205440053716299E-14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193.05670375142864</v>
      </c>
      <c r="T143" s="62">
        <f t="shared" si="142"/>
        <v>259.12914184994344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1.9566321245582834</v>
      </c>
      <c r="AA143" s="23">
        <f>EXP(-LN(2)/25)*AA142+(1-EXP(-LN(2)/25))/(LN(2)/25)*Calculateur!V143*Calculateur!X143*VLOOKUP('Données projet'!$B$9,Paramètres!$A$1:$I$89,3,0)*0.475*44/12</f>
        <v>0.29454873788804214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2.2511808624463256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645.99999999999955</v>
      </c>
      <c r="AJ143" s="14">
        <f>AI143*VLOOKUP('Données projet'!$B$10,Paramètres!$A$1:$I$89,3,0)*VLOOKUP('Données projet'!$B$10,Paramètres!$A$1:$I$89,5,0)</f>
        <v>361.11399999999975</v>
      </c>
      <c r="AK143" s="14">
        <f t="shared" si="143"/>
        <v>83.846819063373673</v>
      </c>
      <c r="AL143" s="22">
        <f t="shared" si="112"/>
        <v>774.97342653537532</v>
      </c>
      <c r="AM143" s="62">
        <f t="shared" si="113"/>
        <v>1068.3067598687087</v>
      </c>
      <c r="AN143" s="62">
        <f ca="1">AVERAGE(OFFSET($AM$3,0,0,'Données projet'!$E$10+1,1))-AVERAGE(OFFSET($H$3,0,0,'Données projet'!$E$10+1,1))</f>
        <v>512.21337090113502</v>
      </c>
      <c r="AO143" s="62">
        <f t="shared" si="144"/>
        <v>621.03633124474163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0.68584128842672332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6.8784401137857547E-16</v>
      </c>
      <c r="AX143" s="23">
        <f t="shared" si="114"/>
        <v>0.68584128842672398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1.1368683772161603E-13</v>
      </c>
      <c r="BE143" s="14">
        <f>BD143*VLOOKUP('Données projet'!$B$11,Paramètres!$A$1:$I$89,3,0)*VLOOKUP('Données projet'!$B$11,Paramètres!$A$1:$I$89,5,0)</f>
        <v>6.7984728957526396E-14</v>
      </c>
      <c r="BF143" s="14">
        <f t="shared" si="145"/>
        <v>1.0682447123141398E-12</v>
      </c>
      <c r="BG143" s="22">
        <f t="shared" si="115"/>
        <v>1.978932943548152E-12</v>
      </c>
      <c r="BH143" s="62">
        <f t="shared" si="116"/>
        <v>293.3333333333353</v>
      </c>
      <c r="BI143" s="62">
        <f ca="1">AVERAGE(OFFSET($BH$3,0,0,'Données projet'!$E$11+1,1))-AVERAGE(OFFSET($H$3,0,0,'Données projet'!$E$11+1,1))</f>
        <v>295.83974441964551</v>
      </c>
      <c r="BJ143" s="62">
        <f t="shared" si="146"/>
        <v>212.24900914818096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0.22570808930564173</v>
      </c>
      <c r="BR143" s="23">
        <f>EXP(-LN(2)/2)*BR142+(1-EXP(-LN(2)/2))/(LN(2)/2)*BL143*BO143*VLOOKUP('Données projet'!$B$11,Paramètres!$A$1:$I$89,3,0)*0.475*44/12</f>
        <v>1.7198334219961792E-16</v>
      </c>
      <c r="BS143" s="24">
        <f t="shared" si="117"/>
        <v>0.2257080893056419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-1.1368683772161603E-13</v>
      </c>
      <c r="O144" s="14">
        <f>N144*VLOOKUP('Données projet'!$B$9,Paramètres!$A$1:$I$89,3,0)*VLOOKUP('Données projet'!$B$9,Paramètres!$A$1:$I$89,5,0)</f>
        <v>-5.3205440053716299E-14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193.05670375142864</v>
      </c>
      <c r="T144" s="62">
        <f t="shared" si="142"/>
        <v>259.12914184994344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1.9182637620234502</v>
      </c>
      <c r="AA144" s="23">
        <f>EXP(-LN(2)/25)*AA143+(1-EXP(-LN(2)/25))/(LN(2)/25)*Calculateur!V144*Calculateur!X144*VLOOKUP('Données projet'!$B$9,Paramètres!$A$1:$I$89,3,0)*0.475*44/12</f>
        <v>0.28649428716084868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2.2047580491842989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645.99999999999955</v>
      </c>
      <c r="AJ144" s="14">
        <f>AI144*VLOOKUP('Données projet'!$B$10,Paramètres!$A$1:$I$89,3,0)*VLOOKUP('Données projet'!$B$10,Paramètres!$A$1:$I$89,5,0)</f>
        <v>361.11399999999975</v>
      </c>
      <c r="AK144" s="14">
        <f t="shared" si="143"/>
        <v>83.846819063373673</v>
      </c>
      <c r="AL144" s="22">
        <f t="shared" si="112"/>
        <v>774.97342653537532</v>
      </c>
      <c r="AM144" s="62">
        <f t="shared" si="113"/>
        <v>1068.3067598687087</v>
      </c>
      <c r="AN144" s="62">
        <f ca="1">AVERAGE(OFFSET($AM$3,0,0,'Données projet'!$E$10+1,1))-AVERAGE(OFFSET($H$3,0,0,'Données projet'!$E$10+1,1))</f>
        <v>512.21337090113502</v>
      </c>
      <c r="AO144" s="62">
        <f t="shared" si="144"/>
        <v>621.03633124474163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0.67239235908255535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4.8637916484434747E-16</v>
      </c>
      <c r="AX144" s="23">
        <f t="shared" si="114"/>
        <v>0.67239235908255579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1.1368683772161603E-13</v>
      </c>
      <c r="BE144" s="14">
        <f>BD144*VLOOKUP('Données projet'!$B$11,Paramètres!$A$1:$I$89,3,0)*VLOOKUP('Données projet'!$B$11,Paramètres!$A$1:$I$89,5,0)</f>
        <v>6.7984728957526396E-14</v>
      </c>
      <c r="BF144" s="14">
        <f t="shared" si="145"/>
        <v>1.0682447123141398E-12</v>
      </c>
      <c r="BG144" s="22">
        <f t="shared" si="115"/>
        <v>1.978932943548152E-12</v>
      </c>
      <c r="BH144" s="62">
        <f t="shared" si="116"/>
        <v>293.3333333333353</v>
      </c>
      <c r="BI144" s="62">
        <f ca="1">AVERAGE(OFFSET($BH$3,0,0,'Données projet'!$E$11+1,1))-AVERAGE(OFFSET($H$3,0,0,'Données projet'!$E$11+1,1))</f>
        <v>295.83974441964551</v>
      </c>
      <c r="BJ144" s="62">
        <f t="shared" si="146"/>
        <v>212.24900914818096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0.2195360897341064</v>
      </c>
      <c r="BR144" s="23">
        <f>EXP(-LN(2)/2)*BR143+(1-EXP(-LN(2)/2))/(LN(2)/2)*BL144*BO144*VLOOKUP('Données projet'!$B$11,Paramètres!$A$1:$I$89,3,0)*0.475*44/12</f>
        <v>1.2161058752047635E-16</v>
      </c>
      <c r="BS144" s="24">
        <f t="shared" si="117"/>
        <v>0.21953608973410652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-1.1368683772161603E-13</v>
      </c>
      <c r="O145" s="14">
        <f>N145*VLOOKUP('Données projet'!$B$9,Paramètres!$A$1:$I$89,3,0)*VLOOKUP('Données projet'!$B$9,Paramètres!$A$1:$I$89,5,0)</f>
        <v>-5.3205440053716299E-14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193.05670375142864</v>
      </c>
      <c r="T145" s="62">
        <f t="shared" si="142"/>
        <v>259.12914184994344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1.8806477796755348</v>
      </c>
      <c r="AA145" s="23">
        <f>EXP(-LN(2)/25)*AA144+(1-EXP(-LN(2)/25))/(LN(2)/25)*Calculateur!V145*Calculateur!X145*VLOOKUP('Données projet'!$B$9,Paramètres!$A$1:$I$89,3,0)*0.475*44/12</f>
        <v>0.27866008581235552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2.1593078654878903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645.99999999999955</v>
      </c>
      <c r="AJ145" s="14">
        <f>AI145*VLOOKUP('Données projet'!$B$10,Paramètres!$A$1:$I$89,3,0)*VLOOKUP('Données projet'!$B$10,Paramètres!$A$1:$I$89,5,0)</f>
        <v>361.11399999999975</v>
      </c>
      <c r="AK145" s="14">
        <f t="shared" si="143"/>
        <v>83.846819063373673</v>
      </c>
      <c r="AL145" s="22">
        <f t="shared" si="112"/>
        <v>774.97342653537532</v>
      </c>
      <c r="AM145" s="62">
        <f t="shared" si="113"/>
        <v>1068.3067598687087</v>
      </c>
      <c r="AN145" s="62">
        <f ca="1">AVERAGE(OFFSET($AM$3,0,0,'Données projet'!$E$10+1,1))-AVERAGE(OFFSET($H$3,0,0,'Données projet'!$E$10+1,1))</f>
        <v>512.21337090113502</v>
      </c>
      <c r="AO145" s="62">
        <f t="shared" si="144"/>
        <v>621.03633124474163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0.65920715503978955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3.4392200568928774E-16</v>
      </c>
      <c r="AX145" s="23">
        <f t="shared" si="114"/>
        <v>0.65920715503978988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1.1368683772161603E-13</v>
      </c>
      <c r="BE145" s="14">
        <f>BD145*VLOOKUP('Données projet'!$B$11,Paramètres!$A$1:$I$89,3,0)*VLOOKUP('Données projet'!$B$11,Paramètres!$A$1:$I$89,5,0)</f>
        <v>6.7984728957526396E-14</v>
      </c>
      <c r="BF145" s="14">
        <f t="shared" si="145"/>
        <v>1.0682447123141398E-12</v>
      </c>
      <c r="BG145" s="22">
        <f t="shared" si="115"/>
        <v>1.978932943548152E-12</v>
      </c>
      <c r="BH145" s="62">
        <f t="shared" si="116"/>
        <v>293.3333333333353</v>
      </c>
      <c r="BI145" s="62">
        <f ca="1">AVERAGE(OFFSET($BH$3,0,0,'Données projet'!$E$11+1,1))-AVERAGE(OFFSET($H$3,0,0,'Données projet'!$E$11+1,1))</f>
        <v>295.83974441964551</v>
      </c>
      <c r="BJ145" s="62">
        <f t="shared" si="146"/>
        <v>212.24900914818096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0.21353286381542605</v>
      </c>
      <c r="BR145" s="23">
        <f>EXP(-LN(2)/2)*BR144+(1-EXP(-LN(2)/2))/(LN(2)/2)*BL145*BO145*VLOOKUP('Données projet'!$B$11,Paramètres!$A$1:$I$89,3,0)*0.475*44/12</f>
        <v>8.5991671099808958E-17</v>
      </c>
      <c r="BS145" s="24">
        <f t="shared" si="117"/>
        <v>0.21353286381542613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-1.1368683772161603E-13</v>
      </c>
      <c r="O146" s="14">
        <f>N146*VLOOKUP('Données projet'!$B$9,Paramètres!$A$1:$I$89,3,0)*VLOOKUP('Données projet'!$B$9,Paramètres!$A$1:$I$89,5,0)</f>
        <v>-5.3205440053716299E-14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193.05670375142864</v>
      </c>
      <c r="T146" s="62">
        <f t="shared" si="142"/>
        <v>259.12914184994344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1.8437694237979783</v>
      </c>
      <c r="AA146" s="23">
        <f>EXP(-LN(2)/25)*AA145+(1-EXP(-LN(2)/25))/(LN(2)/25)*Calculateur!V146*Calculateur!X146*VLOOKUP('Données projet'!$B$9,Paramètres!$A$1:$I$89,3,0)*0.475*44/12</f>
        <v>0.27104011111171961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2.114809534909698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645.99999999999955</v>
      </c>
      <c r="AJ146" s="14">
        <f>AI146*VLOOKUP('Données projet'!$B$10,Paramètres!$A$1:$I$89,3,0)*VLOOKUP('Données projet'!$B$10,Paramètres!$A$1:$I$89,5,0)</f>
        <v>361.11399999999975</v>
      </c>
      <c r="AK146" s="14">
        <f t="shared" si="143"/>
        <v>83.846819063373673</v>
      </c>
      <c r="AL146" s="22">
        <f t="shared" si="112"/>
        <v>774.97342653537532</v>
      </c>
      <c r="AM146" s="62">
        <f t="shared" si="113"/>
        <v>1068.3067598687087</v>
      </c>
      <c r="AN146" s="62">
        <f ca="1">AVERAGE(OFFSET($AM$3,0,0,'Données projet'!$E$10+1,1))-AVERAGE(OFFSET($H$3,0,0,'Données projet'!$E$10+1,1))</f>
        <v>512.21337090113502</v>
      </c>
      <c r="AO146" s="62">
        <f t="shared" si="144"/>
        <v>621.03633124474163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0.64628050480612209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2.4318958242217373E-16</v>
      </c>
      <c r="AX146" s="23">
        <f t="shared" si="114"/>
        <v>0.64628050480612231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1.1368683772161603E-13</v>
      </c>
      <c r="BE146" s="14">
        <f>BD146*VLOOKUP('Données projet'!$B$11,Paramètres!$A$1:$I$89,3,0)*VLOOKUP('Données projet'!$B$11,Paramètres!$A$1:$I$89,5,0)</f>
        <v>6.7984728957526396E-14</v>
      </c>
      <c r="BF146" s="14">
        <f t="shared" si="145"/>
        <v>1.0682447123141398E-12</v>
      </c>
      <c r="BG146" s="22">
        <f t="shared" si="115"/>
        <v>1.978932943548152E-12</v>
      </c>
      <c r="BH146" s="62">
        <f t="shared" si="116"/>
        <v>293.3333333333353</v>
      </c>
      <c r="BI146" s="62">
        <f ca="1">AVERAGE(OFFSET($BH$3,0,0,'Données projet'!$E$11+1,1))-AVERAGE(OFFSET($H$3,0,0,'Données projet'!$E$11+1,1))</f>
        <v>295.83974441964551</v>
      </c>
      <c r="BJ146" s="62">
        <f t="shared" si="146"/>
        <v>212.24900914818096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0.20769379642518795</v>
      </c>
      <c r="BR146" s="23">
        <f>EXP(-LN(2)/2)*BR145+(1-EXP(-LN(2)/2))/(LN(2)/2)*BL146*BO146*VLOOKUP('Données projet'!$B$11,Paramètres!$A$1:$I$89,3,0)*0.475*44/12</f>
        <v>6.0805293760238175E-17</v>
      </c>
      <c r="BS146" s="24">
        <f t="shared" si="117"/>
        <v>0.20769379642518801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-1.1368683772161603E-13</v>
      </c>
      <c r="O147" s="14">
        <f>N147*VLOOKUP('Données projet'!$B$9,Paramètres!$A$1:$I$89,3,0)*VLOOKUP('Données projet'!$B$9,Paramètres!$A$1:$I$89,5,0)</f>
        <v>-5.3205440053716299E-14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193.05670375142864</v>
      </c>
      <c r="T147" s="62">
        <f t="shared" si="142"/>
        <v>259.12914184994344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1.8076142299856046</v>
      </c>
      <c r="AA147" s="23">
        <f>EXP(-LN(2)/25)*AA146+(1-EXP(-LN(2)/25))/(LN(2)/25)*Calculateur!V147*Calculateur!X147*VLOOKUP('Données projet'!$B$9,Paramètres!$A$1:$I$89,3,0)*0.475*44/12</f>
        <v>0.26362850501998963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2.0712427350055944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645.99999999999955</v>
      </c>
      <c r="AJ147" s="14">
        <f>AI147*VLOOKUP('Données projet'!$B$10,Paramètres!$A$1:$I$89,3,0)*VLOOKUP('Données projet'!$B$10,Paramètres!$A$1:$I$89,5,0)</f>
        <v>361.11399999999975</v>
      </c>
      <c r="AK147" s="14">
        <f t="shared" si="143"/>
        <v>83.846819063373673</v>
      </c>
      <c r="AL147" s="22">
        <f t="shared" si="112"/>
        <v>774.97342653537532</v>
      </c>
      <c r="AM147" s="62">
        <f t="shared" si="113"/>
        <v>1068.3067598687087</v>
      </c>
      <c r="AN147" s="62">
        <f ca="1">AVERAGE(OFFSET($AM$3,0,0,'Données projet'!$E$10+1,1))-AVERAGE(OFFSET($H$3,0,0,'Données projet'!$E$10+1,1))</f>
        <v>512.21337090113502</v>
      </c>
      <c r="AO147" s="62">
        <f t="shared" si="144"/>
        <v>621.03633124474163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0.63360733829905869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1.7196100284464387E-16</v>
      </c>
      <c r="AX147" s="23">
        <f t="shared" si="114"/>
        <v>0.63360733829905891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1.1368683772161603E-13</v>
      </c>
      <c r="BE147" s="14">
        <f>BD147*VLOOKUP('Données projet'!$B$11,Paramètres!$A$1:$I$89,3,0)*VLOOKUP('Données projet'!$B$11,Paramètres!$A$1:$I$89,5,0)</f>
        <v>6.7984728957526396E-14</v>
      </c>
      <c r="BF147" s="14">
        <f t="shared" si="145"/>
        <v>1.0682447123141398E-12</v>
      </c>
      <c r="BG147" s="22">
        <f t="shared" si="115"/>
        <v>1.978932943548152E-12</v>
      </c>
      <c r="BH147" s="62">
        <f t="shared" si="116"/>
        <v>293.3333333333353</v>
      </c>
      <c r="BI147" s="62">
        <f ca="1">AVERAGE(OFFSET($BH$3,0,0,'Données projet'!$E$11+1,1))-AVERAGE(OFFSET($H$3,0,0,'Données projet'!$E$11+1,1))</f>
        <v>295.83974441964551</v>
      </c>
      <c r="BJ147" s="62">
        <f t="shared" si="146"/>
        <v>212.24900914818096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0.20201439863979911</v>
      </c>
      <c r="BR147" s="23">
        <f>EXP(-LN(2)/2)*BR146+(1-EXP(-LN(2)/2))/(LN(2)/2)*BL147*BO147*VLOOKUP('Données projet'!$B$11,Paramètres!$A$1:$I$89,3,0)*0.475*44/12</f>
        <v>4.2995835549904479E-17</v>
      </c>
      <c r="BS147" s="24">
        <f t="shared" si="117"/>
        <v>0.20201439863979917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-1.1368683772161603E-13</v>
      </c>
      <c r="O148" s="14">
        <f>N148*VLOOKUP('Données projet'!$B$9,Paramètres!$A$1:$I$89,3,0)*VLOOKUP('Données projet'!$B$9,Paramètres!$A$1:$I$89,5,0)</f>
        <v>-5.3205440053716299E-14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193.05670375142864</v>
      </c>
      <c r="T148" s="62">
        <f t="shared" si="142"/>
        <v>259.12914184994344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1.7721680174714007</v>
      </c>
      <c r="AA148" s="23">
        <f>EXP(-LN(2)/25)*AA147+(1-EXP(-LN(2)/25))/(LN(2)/25)*Calculateur!V148*Calculateur!X148*VLOOKUP('Données projet'!$B$9,Paramètres!$A$1:$I$89,3,0)*0.475*44/12</f>
        <v>0.25641956968659746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2.0285875871579981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645.99999999999955</v>
      </c>
      <c r="AJ148" s="14">
        <f>AI148*VLOOKUP('Données projet'!$B$10,Paramètres!$A$1:$I$89,3,0)*VLOOKUP('Données projet'!$B$10,Paramètres!$A$1:$I$89,5,0)</f>
        <v>361.11399999999975</v>
      </c>
      <c r="AK148" s="14">
        <f t="shared" si="143"/>
        <v>83.846819063373673</v>
      </c>
      <c r="AL148" s="22">
        <f t="shared" si="112"/>
        <v>774.97342653537532</v>
      </c>
      <c r="AM148" s="62">
        <f t="shared" si="113"/>
        <v>1068.3067598687087</v>
      </c>
      <c r="AN148" s="62">
        <f ca="1">AVERAGE(OFFSET($AM$3,0,0,'Données projet'!$E$10+1,1))-AVERAGE(OFFSET($H$3,0,0,'Données projet'!$E$10+1,1))</f>
        <v>512.21337090113502</v>
      </c>
      <c r="AO148" s="62">
        <f t="shared" si="144"/>
        <v>621.03633124474163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0.62118268485733052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1.2159479121108687E-16</v>
      </c>
      <c r="AX148" s="23">
        <f t="shared" si="114"/>
        <v>0.62118268485733064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1.1368683772161603E-13</v>
      </c>
      <c r="BE148" s="14">
        <f>BD148*VLOOKUP('Données projet'!$B$11,Paramètres!$A$1:$I$89,3,0)*VLOOKUP('Données projet'!$B$11,Paramètres!$A$1:$I$89,5,0)</f>
        <v>6.7984728957526396E-14</v>
      </c>
      <c r="BF148" s="14">
        <f t="shared" si="145"/>
        <v>1.0682447123141398E-12</v>
      </c>
      <c r="BG148" s="22">
        <f t="shared" si="115"/>
        <v>1.978932943548152E-12</v>
      </c>
      <c r="BH148" s="62">
        <f t="shared" si="116"/>
        <v>293.3333333333353</v>
      </c>
      <c r="BI148" s="62">
        <f ca="1">AVERAGE(OFFSET($BH$3,0,0,'Données projet'!$E$11+1,1))-AVERAGE(OFFSET($H$3,0,0,'Données projet'!$E$11+1,1))</f>
        <v>295.83974441964551</v>
      </c>
      <c r="BJ148" s="62">
        <f t="shared" si="146"/>
        <v>212.24900914818096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0.19649030428551828</v>
      </c>
      <c r="BR148" s="23">
        <f>EXP(-LN(2)/2)*BR147+(1-EXP(-LN(2)/2))/(LN(2)/2)*BL148*BO148*VLOOKUP('Données projet'!$B$11,Paramètres!$A$1:$I$89,3,0)*0.475*44/12</f>
        <v>3.0402646880119087E-17</v>
      </c>
      <c r="BS148" s="24">
        <f t="shared" si="117"/>
        <v>0.19649030428551831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-1.1368683772161603E-13</v>
      </c>
      <c r="O149" s="14">
        <f>N149*VLOOKUP('Données projet'!$B$9,Paramètres!$A$1:$I$89,3,0)*VLOOKUP('Données projet'!$B$9,Paramètres!$A$1:$I$89,5,0)</f>
        <v>-5.3205440053716299E-14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193.05670375142864</v>
      </c>
      <c r="T149" s="62">
        <f t="shared" si="142"/>
        <v>259.12914184994344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1.7374168835645456</v>
      </c>
      <c r="AA149" s="23">
        <f>EXP(-LN(2)/25)*AA148+(1-EXP(-LN(2)/25))/(LN(2)/25)*Calculateur!V149*Calculateur!X149*VLOOKUP('Données projet'!$B$9,Paramètres!$A$1:$I$89,3,0)*0.475*44/12</f>
        <v>0.24940776306899834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1.986824646633544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645.99999999999955</v>
      </c>
      <c r="AJ149" s="14">
        <f>AI149*VLOOKUP('Données projet'!$B$10,Paramètres!$A$1:$I$89,3,0)*VLOOKUP('Données projet'!$B$10,Paramètres!$A$1:$I$89,5,0)</f>
        <v>361.11399999999975</v>
      </c>
      <c r="AK149" s="14">
        <f t="shared" si="143"/>
        <v>83.846819063373673</v>
      </c>
      <c r="AL149" s="22">
        <f t="shared" si="112"/>
        <v>774.97342653537532</v>
      </c>
      <c r="AM149" s="62">
        <f t="shared" si="113"/>
        <v>1068.3067598687087</v>
      </c>
      <c r="AN149" s="62">
        <f ca="1">AVERAGE(OFFSET($AM$3,0,0,'Données projet'!$E$10+1,1))-AVERAGE(OFFSET($H$3,0,0,'Données projet'!$E$10+1,1))</f>
        <v>512.21337090113502</v>
      </c>
      <c r="AO149" s="62">
        <f t="shared" si="144"/>
        <v>621.03633124474163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0.60900167129130434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8.5980501422321934E-17</v>
      </c>
      <c r="AX149" s="23">
        <f t="shared" si="114"/>
        <v>0.60900167129130445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1.1368683772161603E-13</v>
      </c>
      <c r="BE149" s="14">
        <f>BD149*VLOOKUP('Données projet'!$B$11,Paramètres!$A$1:$I$89,3,0)*VLOOKUP('Données projet'!$B$11,Paramètres!$A$1:$I$89,5,0)</f>
        <v>6.7984728957526396E-14</v>
      </c>
      <c r="BF149" s="14">
        <f t="shared" si="145"/>
        <v>1.0682447123141398E-12</v>
      </c>
      <c r="BG149" s="22">
        <f t="shared" si="115"/>
        <v>1.978932943548152E-12</v>
      </c>
      <c r="BH149" s="62">
        <f t="shared" si="116"/>
        <v>293.3333333333353</v>
      </c>
      <c r="BI149" s="62">
        <f ca="1">AVERAGE(OFFSET($BH$3,0,0,'Données projet'!$E$11+1,1))-AVERAGE(OFFSET($H$3,0,0,'Données projet'!$E$11+1,1))</f>
        <v>295.83974441964551</v>
      </c>
      <c r="BJ149" s="62">
        <f t="shared" si="146"/>
        <v>212.24900914818096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0.19111726658185477</v>
      </c>
      <c r="BR149" s="23">
        <f>EXP(-LN(2)/2)*BR148+(1-EXP(-LN(2)/2))/(LN(2)/2)*BL149*BO149*VLOOKUP('Données projet'!$B$11,Paramètres!$A$1:$I$89,3,0)*0.475*44/12</f>
        <v>2.1497917774952239E-17</v>
      </c>
      <c r="BS149" s="24">
        <f t="shared" si="117"/>
        <v>0.19111726658185479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-1.1368683772161603E-13</v>
      </c>
      <c r="O150" s="14">
        <f>N150*VLOOKUP('Données projet'!$B$9,Paramètres!$A$1:$I$89,3,0)*VLOOKUP('Données projet'!$B$9,Paramètres!$A$1:$I$89,5,0)</f>
        <v>-5.3205440053716299E-14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193.05670375142864</v>
      </c>
      <c r="T150" s="62">
        <f t="shared" si="142"/>
        <v>259.12914184994344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1.7033471981975052</v>
      </c>
      <c r="AA150" s="23">
        <f>EXP(-LN(2)/25)*AA149+(1-EXP(-LN(2)/25))/(LN(2)/25)*Calculateur!V150*Calculateur!X150*VLOOKUP('Données projet'!$B$9,Paramètres!$A$1:$I$89,3,0)*0.475*44/12</f>
        <v>0.24258769467209235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1.9459348928695976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645.99999999999955</v>
      </c>
      <c r="AJ150" s="14">
        <f>AI150*VLOOKUP('Données projet'!$B$10,Paramètres!$A$1:$I$89,3,0)*VLOOKUP('Données projet'!$B$10,Paramètres!$A$1:$I$89,5,0)</f>
        <v>361.11399999999975</v>
      </c>
      <c r="AK150" s="14">
        <f t="shared" si="143"/>
        <v>83.846819063373673</v>
      </c>
      <c r="AL150" s="22">
        <f t="shared" si="112"/>
        <v>774.97342653537532</v>
      </c>
      <c r="AM150" s="62">
        <f t="shared" si="113"/>
        <v>1068.3067598687087</v>
      </c>
      <c r="AN150" s="62">
        <f ca="1">AVERAGE(OFFSET($AM$3,0,0,'Données projet'!$E$10+1,1))-AVERAGE(OFFSET($H$3,0,0,'Données projet'!$E$10+1,1))</f>
        <v>512.21337090113502</v>
      </c>
      <c r="AO150" s="62">
        <f t="shared" si="144"/>
        <v>621.03633124474163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0.59705951997162332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6.0797395605543433E-17</v>
      </c>
      <c r="AX150" s="23">
        <f t="shared" si="114"/>
        <v>0.59705951997162343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1.1368683772161603E-13</v>
      </c>
      <c r="BE150" s="14">
        <f>BD150*VLOOKUP('Données projet'!$B$11,Paramètres!$A$1:$I$89,3,0)*VLOOKUP('Données projet'!$B$11,Paramètres!$A$1:$I$89,5,0)</f>
        <v>6.7984728957526396E-14</v>
      </c>
      <c r="BF150" s="14">
        <f t="shared" si="145"/>
        <v>1.0682447123141398E-12</v>
      </c>
      <c r="BG150" s="22">
        <f t="shared" si="115"/>
        <v>1.978932943548152E-12</v>
      </c>
      <c r="BH150" s="62">
        <f t="shared" si="116"/>
        <v>293.3333333333353</v>
      </c>
      <c r="BI150" s="62">
        <f ca="1">AVERAGE(OFFSET($BH$3,0,0,'Données projet'!$E$11+1,1))-AVERAGE(OFFSET($H$3,0,0,'Données projet'!$E$11+1,1))</f>
        <v>295.83974441964551</v>
      </c>
      <c r="BJ150" s="62">
        <f t="shared" si="146"/>
        <v>212.24900914818096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0.1858911548767537</v>
      </c>
      <c r="BR150" s="23">
        <f>EXP(-LN(2)/2)*BR149+(1-EXP(-LN(2)/2))/(LN(2)/2)*BL150*BO150*VLOOKUP('Données projet'!$B$11,Paramètres!$A$1:$I$89,3,0)*0.475*44/12</f>
        <v>1.5201323440059544E-17</v>
      </c>
      <c r="BS150" s="24">
        <f t="shared" si="117"/>
        <v>0.18589115487675373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-1.1368683772161603E-13</v>
      </c>
      <c r="O151" s="14">
        <f>N151*VLOOKUP('Données projet'!$B$9,Paramètres!$A$1:$I$89,3,0)*VLOOKUP('Données projet'!$B$9,Paramètres!$A$1:$I$89,5,0)</f>
        <v>-5.3205440053716299E-14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193.05670375142864</v>
      </c>
      <c r="T151" s="62">
        <f t="shared" si="142"/>
        <v>259.12914184994344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1.6699455985800564</v>
      </c>
      <c r="AA151" s="23">
        <f>EXP(-LN(2)/25)*AA150+(1-EXP(-LN(2)/25))/(LN(2)/25)*Calculateur!V151*Calculateur!X151*VLOOKUP('Données projet'!$B$9,Paramètres!$A$1:$I$89,3,0)*0.475*44/12</f>
        <v>0.23595412140415156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1.905899719984208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645.99999999999955</v>
      </c>
      <c r="AJ151" s="14">
        <f>AI151*VLOOKUP('Données projet'!$B$10,Paramètres!$A$1:$I$89,3,0)*VLOOKUP('Données projet'!$B$10,Paramètres!$A$1:$I$89,5,0)</f>
        <v>361.11399999999975</v>
      </c>
      <c r="AK151" s="14">
        <f t="shared" si="143"/>
        <v>83.846819063373673</v>
      </c>
      <c r="AL151" s="22">
        <f t="shared" si="112"/>
        <v>774.97342653537532</v>
      </c>
      <c r="AM151" s="62">
        <f t="shared" si="113"/>
        <v>1068.3067598687087</v>
      </c>
      <c r="AN151" s="62">
        <f ca="1">AVERAGE(OFFSET($AM$3,0,0,'Données projet'!$E$10+1,1))-AVERAGE(OFFSET($H$3,0,0,'Données projet'!$E$10+1,1))</f>
        <v>512.21337090113502</v>
      </c>
      <c r="AO151" s="62">
        <f t="shared" si="144"/>
        <v>621.03633124474163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0.58535154695532809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4.2990250711160967E-17</v>
      </c>
      <c r="AX151" s="23">
        <f t="shared" si="114"/>
        <v>0.58535154695532809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1.1368683772161603E-13</v>
      </c>
      <c r="BE151" s="14">
        <f>BD151*VLOOKUP('Données projet'!$B$11,Paramètres!$A$1:$I$89,3,0)*VLOOKUP('Données projet'!$B$11,Paramètres!$A$1:$I$89,5,0)</f>
        <v>6.7984728957526396E-14</v>
      </c>
      <c r="BF151" s="14">
        <f t="shared" si="145"/>
        <v>1.0682447123141398E-12</v>
      </c>
      <c r="BG151" s="22">
        <f t="shared" si="115"/>
        <v>1.978932943548152E-12</v>
      </c>
      <c r="BH151" s="62">
        <f t="shared" si="116"/>
        <v>293.3333333333353</v>
      </c>
      <c r="BI151" s="62">
        <f ca="1">AVERAGE(OFFSET($BH$3,0,0,'Données projet'!$E$11+1,1))-AVERAGE(OFFSET($H$3,0,0,'Données projet'!$E$11+1,1))</f>
        <v>295.83974441964551</v>
      </c>
      <c r="BJ151" s="62">
        <f t="shared" si="146"/>
        <v>212.24900914818096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0.18080795147105788</v>
      </c>
      <c r="BR151" s="23">
        <f>EXP(-LN(2)/2)*BR150+(1-EXP(-LN(2)/2))/(LN(2)/2)*BL151*BO151*VLOOKUP('Données projet'!$B$11,Paramètres!$A$1:$I$89,3,0)*0.475*44/12</f>
        <v>1.074895888747612E-17</v>
      </c>
      <c r="BS151" s="24">
        <f t="shared" si="117"/>
        <v>0.18080795147105788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-1.1368683772161603E-13</v>
      </c>
      <c r="O152" s="14">
        <f>N152*VLOOKUP('Données projet'!$B$9,Paramètres!$A$1:$I$89,3,0)*VLOOKUP('Données projet'!$B$9,Paramètres!$A$1:$I$89,5,0)</f>
        <v>-5.3205440053716299E-14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193.05670375142864</v>
      </c>
      <c r="T152" s="62">
        <f t="shared" si="142"/>
        <v>259.12914184994344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1.6371989839581416</v>
      </c>
      <c r="AA152" s="23">
        <f>EXP(-LN(2)/25)*AA151+(1-EXP(-LN(2)/25))/(LN(2)/25)*Calculateur!V152*Calculateur!X152*VLOOKUP('Données projet'!$B$9,Paramètres!$A$1:$I$89,3,0)*0.475*44/12</f>
        <v>0.22950194354606707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1.8667009275042086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645.99999999999955</v>
      </c>
      <c r="AJ152" s="14">
        <f>AI152*VLOOKUP('Données projet'!$B$10,Paramètres!$A$1:$I$89,3,0)*VLOOKUP('Données projet'!$B$10,Paramètres!$A$1:$I$89,5,0)</f>
        <v>361.11399999999975</v>
      </c>
      <c r="AK152" s="14">
        <f t="shared" si="143"/>
        <v>83.846819063373673</v>
      </c>
      <c r="AL152" s="22">
        <f t="shared" si="112"/>
        <v>774.97342653537532</v>
      </c>
      <c r="AM152" s="62">
        <f t="shared" si="113"/>
        <v>1068.3067598687087</v>
      </c>
      <c r="AN152" s="62">
        <f ca="1">AVERAGE(OFFSET($AM$3,0,0,'Données projet'!$E$10+1,1))-AVERAGE(OFFSET($H$3,0,0,'Données projet'!$E$10+1,1))</f>
        <v>512.21337090113502</v>
      </c>
      <c r="AO152" s="62">
        <f t="shared" si="144"/>
        <v>621.03633124474163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0.57387316014872403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3.0398697802771717E-17</v>
      </c>
      <c r="AX152" s="23">
        <f t="shared" si="114"/>
        <v>0.57387316014872403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1.1368683772161603E-13</v>
      </c>
      <c r="BE152" s="14">
        <f>BD152*VLOOKUP('Données projet'!$B$11,Paramètres!$A$1:$I$89,3,0)*VLOOKUP('Données projet'!$B$11,Paramètres!$A$1:$I$89,5,0)</f>
        <v>6.7984728957526396E-14</v>
      </c>
      <c r="BF152" s="14">
        <f t="shared" si="145"/>
        <v>1.0682447123141398E-12</v>
      </c>
      <c r="BG152" s="22">
        <f t="shared" si="115"/>
        <v>1.978932943548152E-12</v>
      </c>
      <c r="BH152" s="62">
        <f t="shared" si="116"/>
        <v>293.3333333333353</v>
      </c>
      <c r="BI152" s="62">
        <f ca="1">AVERAGE(OFFSET($BH$3,0,0,'Données projet'!$E$11+1,1))-AVERAGE(OFFSET($H$3,0,0,'Données projet'!$E$11+1,1))</f>
        <v>295.83974441964551</v>
      </c>
      <c r="BJ152" s="62">
        <f t="shared" si="146"/>
        <v>212.24900914818096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0.17586374852980488</v>
      </c>
      <c r="BR152" s="23">
        <f>EXP(-LN(2)/2)*BR151+(1-EXP(-LN(2)/2))/(LN(2)/2)*BL152*BO152*VLOOKUP('Données projet'!$B$11,Paramètres!$A$1:$I$89,3,0)*0.475*44/12</f>
        <v>7.6006617200297719E-18</v>
      </c>
      <c r="BS152" s="24">
        <f t="shared" si="117"/>
        <v>0.17586374852980488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-1.1368683772161603E-13</v>
      </c>
      <c r="O153" s="14">
        <f>N153*VLOOKUP('Données projet'!$B$9,Paramètres!$A$1:$I$89,3,0)*VLOOKUP('Données projet'!$B$9,Paramètres!$A$1:$I$89,5,0)</f>
        <v>-5.3205440053716299E-14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193.05670375142864</v>
      </c>
      <c r="T153" s="62">
        <f t="shared" si="142"/>
        <v>259.12914184994344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1.6050945104754997</v>
      </c>
      <c r="AA153" s="23">
        <f>EXP(-LN(2)/25)*AA152+(1-EXP(-LN(2)/25))/(LN(2)/25)*Calculateur!V153*Calculateur!X153*VLOOKUP('Données projet'!$B$9,Paramètres!$A$1:$I$89,3,0)*0.475*44/12</f>
        <v>0.22322620083081718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1.8283207113063169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645.99999999999955</v>
      </c>
      <c r="AJ153" s="14">
        <f>AI153*VLOOKUP('Données projet'!$B$10,Paramètres!$A$1:$I$89,3,0)*VLOOKUP('Données projet'!$B$10,Paramètres!$A$1:$I$89,5,0)</f>
        <v>361.11399999999975</v>
      </c>
      <c r="AK153" s="14">
        <f t="shared" si="143"/>
        <v>83.846819063373673</v>
      </c>
      <c r="AL153" s="22">
        <f t="shared" si="112"/>
        <v>774.97342653537532</v>
      </c>
      <c r="AM153" s="62">
        <f t="shared" si="113"/>
        <v>1068.3067598687087</v>
      </c>
      <c r="AN153" s="62">
        <f ca="1">AVERAGE(OFFSET($AM$3,0,0,'Données projet'!$E$10+1,1))-AVERAGE(OFFSET($H$3,0,0,'Données projet'!$E$10+1,1))</f>
        <v>512.21337090113502</v>
      </c>
      <c r="AO153" s="62">
        <f t="shared" si="144"/>
        <v>621.03633124474163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0.56261985750627286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2.1495125355580483E-17</v>
      </c>
      <c r="AX153" s="23">
        <f t="shared" si="114"/>
        <v>0.56261985750627286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1.1368683772161603E-13</v>
      </c>
      <c r="BE153" s="14">
        <f>BD153*VLOOKUP('Données projet'!$B$11,Paramètres!$A$1:$I$89,3,0)*VLOOKUP('Données projet'!$B$11,Paramètres!$A$1:$I$89,5,0)</f>
        <v>6.7984728957526396E-14</v>
      </c>
      <c r="BF153" s="14">
        <f t="shared" si="145"/>
        <v>1.0682447123141398E-12</v>
      </c>
      <c r="BG153" s="22">
        <f t="shared" si="115"/>
        <v>1.978932943548152E-12</v>
      </c>
      <c r="BH153" s="62">
        <f t="shared" si="116"/>
        <v>293.3333333333353</v>
      </c>
      <c r="BI153" s="62">
        <f ca="1">AVERAGE(OFFSET($BH$3,0,0,'Données projet'!$E$11+1,1))-AVERAGE(OFFSET($H$3,0,0,'Données projet'!$E$11+1,1))</f>
        <v>295.83974441964551</v>
      </c>
      <c r="BJ153" s="62">
        <f t="shared" si="146"/>
        <v>212.24900914818096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0.17105474507798477</v>
      </c>
      <c r="BR153" s="23">
        <f>EXP(-LN(2)/2)*BR152+(1-EXP(-LN(2)/2))/(LN(2)/2)*BL153*BO153*VLOOKUP('Données projet'!$B$11,Paramètres!$A$1:$I$89,3,0)*0.475*44/12</f>
        <v>5.3744794437380598E-18</v>
      </c>
      <c r="BS153" s="24">
        <f t="shared" si="117"/>
        <v>0.17105474507798477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-1.1368683772161603E-13</v>
      </c>
      <c r="O154" s="14">
        <f>N154*VLOOKUP('Données projet'!$B$9,Paramètres!$A$1:$I$89,3,0)*VLOOKUP('Données projet'!$B$9,Paramètres!$A$1:$I$89,5,0)</f>
        <v>-5.3205440053716299E-14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193.05670375142864</v>
      </c>
      <c r="T154" s="62">
        <f t="shared" si="142"/>
        <v>259.12914184994344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1.5736195861360571</v>
      </c>
      <c r="AA154" s="23">
        <f>EXP(-LN(2)/25)*AA153+(1-EXP(-LN(2)/25))/(LN(2)/25)*Calculateur!V154*Calculateur!X154*VLOOKUP('Données projet'!$B$9,Paramètres!$A$1:$I$89,3,0)*0.475*44/12</f>
        <v>0.21712206863014277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1.7907416547661998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645.99999999999955</v>
      </c>
      <c r="AJ154" s="14">
        <f>AI154*VLOOKUP('Données projet'!$B$10,Paramètres!$A$1:$I$89,3,0)*VLOOKUP('Données projet'!$B$10,Paramètres!$A$1:$I$89,5,0)</f>
        <v>361.11399999999975</v>
      </c>
      <c r="AK154" s="14">
        <f t="shared" ref="AK154:AK203" si="164">EXP(-1.0587+0.8836*LN(AJ154)+0.284)</f>
        <v>83.846819063373673</v>
      </c>
      <c r="AL154" s="22">
        <f t="shared" ref="AL154:AL203" si="165">(AJ154+AK154)*0.475*44/12</f>
        <v>774.97342653537532</v>
      </c>
      <c r="AM154" s="62">
        <f t="shared" si="113"/>
        <v>1068.3067598687087</v>
      </c>
      <c r="AN154" s="62">
        <f ca="1">AVERAGE(OFFSET($AM$3,0,0,'Données projet'!$E$10+1,1))-AVERAGE(OFFSET($H$3,0,0,'Données projet'!$E$10+1,1))</f>
        <v>512.21337090113502</v>
      </c>
      <c r="AO154" s="62">
        <f t="shared" si="144"/>
        <v>621.03633124474163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0.5515872252648033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1.5199348901385858E-17</v>
      </c>
      <c r="AX154" s="23">
        <f t="shared" ref="AX154:AX203" si="166">SUM(AU154:AW154)</f>
        <v>0.5515872252648033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1.1368683772161603E-13</v>
      </c>
      <c r="BE154" s="14">
        <f>BD154*VLOOKUP('Données projet'!$B$11,Paramètres!$A$1:$I$89,3,0)*VLOOKUP('Données projet'!$B$11,Paramètres!$A$1:$I$89,5,0)</f>
        <v>6.7984728957526396E-14</v>
      </c>
      <c r="BF154" s="14">
        <f t="shared" ref="BF154:BF203" si="167">EXP(-1.0587+0.8836*LN(BE154)+0.284)</f>
        <v>1.0682447123141398E-12</v>
      </c>
      <c r="BG154" s="22">
        <f t="shared" ref="BG154:BG203" si="168">(BE154+BF154)*0.475*44/12</f>
        <v>1.978932943548152E-12</v>
      </c>
      <c r="BH154" s="62">
        <f t="shared" si="116"/>
        <v>293.3333333333353</v>
      </c>
      <c r="BI154" s="62">
        <f ca="1">AVERAGE(OFFSET($BH$3,0,0,'Données projet'!$E$11+1,1))-AVERAGE(OFFSET($H$3,0,0,'Données projet'!$E$11+1,1))</f>
        <v>295.83974441964551</v>
      </c>
      <c r="BJ154" s="62">
        <f t="shared" si="146"/>
        <v>212.24900914818096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0.16637724407844917</v>
      </c>
      <c r="BR154" s="23">
        <f>EXP(-LN(2)/2)*BR153+(1-EXP(-LN(2)/2))/(LN(2)/2)*BL154*BO154*VLOOKUP('Données projet'!$B$11,Paramètres!$A$1:$I$89,3,0)*0.475*44/12</f>
        <v>3.8003308600148859E-18</v>
      </c>
      <c r="BS154" s="24">
        <f t="shared" ref="BS154:BS203" si="169">SUM(BP154:BR154)</f>
        <v>0.16637724407844917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-1.1368683772161603E-13</v>
      </c>
      <c r="O155" s="14">
        <f>N155*VLOOKUP('Données projet'!$B$9,Paramètres!$A$1:$I$89,3,0)*VLOOKUP('Données projet'!$B$9,Paramètres!$A$1:$I$89,5,0)</f>
        <v>-5.3205440053716299E-14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193.05670375142864</v>
      </c>
      <c r="T155" s="62">
        <f t="shared" si="142"/>
        <v>259.12914184994344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1.542761865865103</v>
      </c>
      <c r="AA155" s="23">
        <f>EXP(-LN(2)/25)*AA154+(1-EXP(-LN(2)/25))/(LN(2)/25)*Calculateur!V155*Calculateur!X155*VLOOKUP('Données projet'!$B$9,Paramètres!$A$1:$I$89,3,0)*0.475*44/12</f>
        <v>0.21118485424549815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1.7539467201106012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645.99999999999955</v>
      </c>
      <c r="AJ155" s="14">
        <f>AI155*VLOOKUP('Données projet'!$B$10,Paramètres!$A$1:$I$89,3,0)*VLOOKUP('Données projet'!$B$10,Paramètres!$A$1:$I$89,5,0)</f>
        <v>361.11399999999975</v>
      </c>
      <c r="AK155" s="14">
        <f t="shared" si="164"/>
        <v>83.846819063373673</v>
      </c>
      <c r="AL155" s="22">
        <f t="shared" si="165"/>
        <v>774.97342653537532</v>
      </c>
      <c r="AM155" s="62">
        <f t="shared" si="113"/>
        <v>1068.3067598687087</v>
      </c>
      <c r="AN155" s="62">
        <f ca="1">AVERAGE(OFFSET($AM$3,0,0,'Données projet'!$E$10+1,1))-AVERAGE(OFFSET($H$3,0,0,'Données projet'!$E$10+1,1))</f>
        <v>512.21337090113502</v>
      </c>
      <c r="AO155" s="62">
        <f t="shared" si="144"/>
        <v>621.03633124474163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0.54077093621234773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1.0747562677790242E-17</v>
      </c>
      <c r="AX155" s="23">
        <f t="shared" si="166"/>
        <v>0.54077093621234773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1.1368683772161603E-13</v>
      </c>
      <c r="BE155" s="14">
        <f>BD155*VLOOKUP('Données projet'!$B$11,Paramètres!$A$1:$I$89,3,0)*VLOOKUP('Données projet'!$B$11,Paramètres!$A$1:$I$89,5,0)</f>
        <v>6.7984728957526396E-14</v>
      </c>
      <c r="BF155" s="14">
        <f t="shared" si="167"/>
        <v>1.0682447123141398E-12</v>
      </c>
      <c r="BG155" s="22">
        <f t="shared" si="168"/>
        <v>1.978932943548152E-12</v>
      </c>
      <c r="BH155" s="62">
        <f t="shared" si="116"/>
        <v>293.3333333333353</v>
      </c>
      <c r="BI155" s="62">
        <f ca="1">AVERAGE(OFFSET($BH$3,0,0,'Données projet'!$E$11+1,1))-AVERAGE(OFFSET($H$3,0,0,'Données projet'!$E$11+1,1))</f>
        <v>295.83974441964551</v>
      </c>
      <c r="BJ155" s="62">
        <f t="shared" si="146"/>
        <v>212.24900914818096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0.16182764958972498</v>
      </c>
      <c r="BR155" s="23">
        <f>EXP(-LN(2)/2)*BR154+(1-EXP(-LN(2)/2))/(LN(2)/2)*BL155*BO155*VLOOKUP('Données projet'!$B$11,Paramètres!$A$1:$I$89,3,0)*0.475*44/12</f>
        <v>2.6872397218690299E-18</v>
      </c>
      <c r="BS155" s="24">
        <f t="shared" si="169"/>
        <v>0.16182764958972498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-1.1368683772161603E-13</v>
      </c>
      <c r="O156" s="14">
        <f>N156*VLOOKUP('Données projet'!$B$9,Paramètres!$A$1:$I$89,3,0)*VLOOKUP('Données projet'!$B$9,Paramètres!$A$1:$I$89,5,0)</f>
        <v>-5.3205440053716299E-14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193.05670375142864</v>
      </c>
      <c r="T156" s="62">
        <f t="shared" si="142"/>
        <v>259.12914184994344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1.5125092466673113</v>
      </c>
      <c r="AA156" s="23">
        <f>EXP(-LN(2)/25)*AA155+(1-EXP(-LN(2)/25))/(LN(2)/25)*Calculateur!V156*Calculateur!X156*VLOOKUP('Données projet'!$B$9,Paramètres!$A$1:$I$89,3,0)*0.475*44/12</f>
        <v>0.2054099933004262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1.7179192399677374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645.99999999999955</v>
      </c>
      <c r="AJ156" s="14">
        <f>AI156*VLOOKUP('Données projet'!$B$10,Paramètres!$A$1:$I$89,3,0)*VLOOKUP('Données projet'!$B$10,Paramètres!$A$1:$I$89,5,0)</f>
        <v>361.11399999999975</v>
      </c>
      <c r="AK156" s="14">
        <f t="shared" si="164"/>
        <v>83.846819063373673</v>
      </c>
      <c r="AL156" s="22">
        <f t="shared" si="165"/>
        <v>774.97342653537532</v>
      </c>
      <c r="AM156" s="62">
        <f t="shared" si="113"/>
        <v>1068.3067598687087</v>
      </c>
      <c r="AN156" s="62">
        <f ca="1">AVERAGE(OFFSET($AM$3,0,0,'Données projet'!$E$10+1,1))-AVERAGE(OFFSET($H$3,0,0,'Données projet'!$E$10+1,1))</f>
        <v>512.21337090113502</v>
      </c>
      <c r="AO156" s="62">
        <f t="shared" si="144"/>
        <v>621.03633124474163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0.53016674799092589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7.5996744506929292E-18</v>
      </c>
      <c r="AX156" s="23">
        <f t="shared" si="166"/>
        <v>0.53016674799092589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1.1368683772161603E-13</v>
      </c>
      <c r="BE156" s="14">
        <f>BD156*VLOOKUP('Données projet'!$B$11,Paramètres!$A$1:$I$89,3,0)*VLOOKUP('Données projet'!$B$11,Paramètres!$A$1:$I$89,5,0)</f>
        <v>6.7984728957526396E-14</v>
      </c>
      <c r="BF156" s="14">
        <f t="shared" si="167"/>
        <v>1.0682447123141398E-12</v>
      </c>
      <c r="BG156" s="22">
        <f t="shared" si="168"/>
        <v>1.978932943548152E-12</v>
      </c>
      <c r="BH156" s="62">
        <f t="shared" si="116"/>
        <v>293.3333333333353</v>
      </c>
      <c r="BI156" s="62">
        <f ca="1">AVERAGE(OFFSET($BH$3,0,0,'Données projet'!$E$11+1,1))-AVERAGE(OFFSET($H$3,0,0,'Données projet'!$E$11+1,1))</f>
        <v>295.83974441964551</v>
      </c>
      <c r="BJ156" s="62">
        <f t="shared" si="146"/>
        <v>212.24900914818096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0.15740246400154773</v>
      </c>
      <c r="BR156" s="23">
        <f>EXP(-LN(2)/2)*BR155+(1-EXP(-LN(2)/2))/(LN(2)/2)*BL156*BO156*VLOOKUP('Données projet'!$B$11,Paramètres!$A$1:$I$89,3,0)*0.475*44/12</f>
        <v>1.900165430007443E-18</v>
      </c>
      <c r="BS156" s="24">
        <f t="shared" si="169"/>
        <v>0.15740246400154773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-1.1368683772161603E-13</v>
      </c>
      <c r="O157" s="14">
        <f>N157*VLOOKUP('Données projet'!$B$9,Paramètres!$A$1:$I$89,3,0)*VLOOKUP('Données projet'!$B$9,Paramètres!$A$1:$I$89,5,0)</f>
        <v>-5.3205440053716299E-14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193.05670375142864</v>
      </c>
      <c r="T157" s="62">
        <f t="shared" si="142"/>
        <v>259.12914184994344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1.4828498628797127</v>
      </c>
      <c r="AA157" s="23">
        <f>EXP(-LN(2)/25)*AA156+(1-EXP(-LN(2)/25))/(LN(2)/25)*Calculateur!V157*Calculateur!X157*VLOOKUP('Données projet'!$B$9,Paramètres!$A$1:$I$89,3,0)*0.475*44/12</f>
        <v>0.19979304623158398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1.6826429091112967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645.99999999999955</v>
      </c>
      <c r="AJ157" s="14">
        <f>AI157*VLOOKUP('Données projet'!$B$10,Paramètres!$A$1:$I$89,3,0)*VLOOKUP('Données projet'!$B$10,Paramètres!$A$1:$I$89,5,0)</f>
        <v>361.11399999999975</v>
      </c>
      <c r="AK157" s="14">
        <f t="shared" si="164"/>
        <v>83.846819063373673</v>
      </c>
      <c r="AL157" s="22">
        <f t="shared" si="165"/>
        <v>774.97342653537532</v>
      </c>
      <c r="AM157" s="62">
        <f t="shared" si="113"/>
        <v>1068.3067598687087</v>
      </c>
      <c r="AN157" s="62">
        <f ca="1">AVERAGE(OFFSET($AM$3,0,0,'Données projet'!$E$10+1,1))-AVERAGE(OFFSET($H$3,0,0,'Données projet'!$E$10+1,1))</f>
        <v>512.21337090113502</v>
      </c>
      <c r="AO157" s="62">
        <f t="shared" si="144"/>
        <v>621.03633124474163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0.51977050143260994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5.3737813388951209E-18</v>
      </c>
      <c r="AX157" s="23">
        <f t="shared" si="166"/>
        <v>0.51977050143260994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1.1368683772161603E-13</v>
      </c>
      <c r="BE157" s="14">
        <f>BD157*VLOOKUP('Données projet'!$B$11,Paramètres!$A$1:$I$89,3,0)*VLOOKUP('Données projet'!$B$11,Paramètres!$A$1:$I$89,5,0)</f>
        <v>6.7984728957526396E-14</v>
      </c>
      <c r="BF157" s="14">
        <f t="shared" si="167"/>
        <v>1.0682447123141398E-12</v>
      </c>
      <c r="BG157" s="22">
        <f t="shared" si="168"/>
        <v>1.978932943548152E-12</v>
      </c>
      <c r="BH157" s="62">
        <f t="shared" si="116"/>
        <v>293.3333333333353</v>
      </c>
      <c r="BI157" s="62">
        <f ca="1">AVERAGE(OFFSET($BH$3,0,0,'Données projet'!$E$11+1,1))-AVERAGE(OFFSET($H$3,0,0,'Données projet'!$E$11+1,1))</f>
        <v>295.83974441964551</v>
      </c>
      <c r="BJ157" s="62">
        <f t="shared" si="146"/>
        <v>212.24900914818096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0.15309828534598957</v>
      </c>
      <c r="BR157" s="23">
        <f>EXP(-LN(2)/2)*BR156+(1-EXP(-LN(2)/2))/(LN(2)/2)*BL157*BO157*VLOOKUP('Données projet'!$B$11,Paramètres!$A$1:$I$89,3,0)*0.475*44/12</f>
        <v>1.343619860934515E-18</v>
      </c>
      <c r="BS157" s="24">
        <f t="shared" si="169"/>
        <v>0.15309828534598957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-1.1368683772161603E-13</v>
      </c>
      <c r="O158" s="14">
        <f>N158*VLOOKUP('Données projet'!$B$9,Paramètres!$A$1:$I$89,3,0)*VLOOKUP('Données projet'!$B$9,Paramètres!$A$1:$I$89,5,0)</f>
        <v>-5.3205440053716299E-14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193.05670375142864</v>
      </c>
      <c r="T158" s="62">
        <f t="shared" si="142"/>
        <v>259.12914184994344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1.4537720815177508</v>
      </c>
      <c r="AA158" s="23">
        <f>EXP(-LN(2)/25)*AA157+(1-EXP(-LN(2)/25))/(LN(2)/25)*Calculateur!V158*Calculateur!X158*VLOOKUP('Données projet'!$B$9,Paramètres!$A$1:$I$89,3,0)*0.475*44/12</f>
        <v>0.19432969487572163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1.6481017763934724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645.99999999999955</v>
      </c>
      <c r="AJ158" s="14">
        <f>AI158*VLOOKUP('Données projet'!$B$10,Paramètres!$A$1:$I$89,3,0)*VLOOKUP('Données projet'!$B$10,Paramètres!$A$1:$I$89,5,0)</f>
        <v>361.11399999999975</v>
      </c>
      <c r="AK158" s="14">
        <f t="shared" si="164"/>
        <v>83.846819063373673</v>
      </c>
      <c r="AL158" s="22">
        <f t="shared" si="165"/>
        <v>774.97342653537532</v>
      </c>
      <c r="AM158" s="62">
        <f t="shared" si="113"/>
        <v>1068.3067598687087</v>
      </c>
      <c r="AN158" s="62">
        <f ca="1">AVERAGE(OFFSET($AM$3,0,0,'Données projet'!$E$10+1,1))-AVERAGE(OFFSET($H$3,0,0,'Données projet'!$E$10+1,1))</f>
        <v>512.21337090113502</v>
      </c>
      <c r="AO158" s="62">
        <f t="shared" si="144"/>
        <v>621.03633124474163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0.50957811892821836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3.7998372253464646E-18</v>
      </c>
      <c r="AX158" s="23">
        <f t="shared" si="166"/>
        <v>0.50957811892821836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1.1368683772161603E-13</v>
      </c>
      <c r="BE158" s="14">
        <f>BD158*VLOOKUP('Données projet'!$B$11,Paramètres!$A$1:$I$89,3,0)*VLOOKUP('Données projet'!$B$11,Paramètres!$A$1:$I$89,5,0)</f>
        <v>6.7984728957526396E-14</v>
      </c>
      <c r="BF158" s="14">
        <f t="shared" si="167"/>
        <v>1.0682447123141398E-12</v>
      </c>
      <c r="BG158" s="22">
        <f t="shared" si="168"/>
        <v>1.978932943548152E-12</v>
      </c>
      <c r="BH158" s="62">
        <f t="shared" si="116"/>
        <v>293.3333333333353</v>
      </c>
      <c r="BI158" s="62">
        <f ca="1">AVERAGE(OFFSET($BH$3,0,0,'Données projet'!$E$11+1,1))-AVERAGE(OFFSET($H$3,0,0,'Données projet'!$E$11+1,1))</f>
        <v>295.83974441964551</v>
      </c>
      <c r="BJ158" s="62">
        <f t="shared" si="146"/>
        <v>212.24900914818096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0.14891180468211457</v>
      </c>
      <c r="BR158" s="23">
        <f>EXP(-LN(2)/2)*BR157+(1-EXP(-LN(2)/2))/(LN(2)/2)*BL158*BO158*VLOOKUP('Données projet'!$B$11,Paramètres!$A$1:$I$89,3,0)*0.475*44/12</f>
        <v>9.5008271500372148E-19</v>
      </c>
      <c r="BS158" s="24">
        <f t="shared" si="169"/>
        <v>0.14891180468211457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-1.1368683772161603E-13</v>
      </c>
      <c r="O159" s="14">
        <f>N159*VLOOKUP('Données projet'!$B$9,Paramètres!$A$1:$I$89,3,0)*VLOOKUP('Données projet'!$B$9,Paramètres!$A$1:$I$89,5,0)</f>
        <v>-5.3205440053716299E-14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193.05670375142864</v>
      </c>
      <c r="T159" s="62">
        <f t="shared" si="142"/>
        <v>259.12914184994344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1.4252644977126019</v>
      </c>
      <c r="AA159" s="23">
        <f>EXP(-LN(2)/25)*AA158+(1-EXP(-LN(2)/25))/(LN(2)/25)*Calculateur!V159*Calculateur!X159*VLOOKUP('Données projet'!$B$9,Paramètres!$A$1:$I$89,3,0)*0.475*44/12</f>
        <v>0.18901573914999051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1.6142802368625924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645.99999999999955</v>
      </c>
      <c r="AJ159" s="14">
        <f>AI159*VLOOKUP('Données projet'!$B$10,Paramètres!$A$1:$I$89,3,0)*VLOOKUP('Données projet'!$B$10,Paramètres!$A$1:$I$89,5,0)</f>
        <v>361.11399999999975</v>
      </c>
      <c r="AK159" s="14">
        <f t="shared" si="164"/>
        <v>83.846819063373673</v>
      </c>
      <c r="AL159" s="22">
        <f t="shared" si="165"/>
        <v>774.97342653537532</v>
      </c>
      <c r="AM159" s="62">
        <f t="shared" si="113"/>
        <v>1068.3067598687087</v>
      </c>
      <c r="AN159" s="62">
        <f ca="1">AVERAGE(OFFSET($AM$3,0,0,'Données projet'!$E$10+1,1))-AVERAGE(OFFSET($H$3,0,0,'Données projet'!$E$10+1,1))</f>
        <v>512.21337090113502</v>
      </c>
      <c r="AO159" s="62">
        <f t="shared" si="144"/>
        <v>621.03633124474163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0.49958560282799841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2.6868906694475604E-18</v>
      </c>
      <c r="AX159" s="23">
        <f t="shared" si="166"/>
        <v>0.49958560282799841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1.1368683772161603E-13</v>
      </c>
      <c r="BE159" s="14">
        <f>BD159*VLOOKUP('Données projet'!$B$11,Paramètres!$A$1:$I$89,3,0)*VLOOKUP('Données projet'!$B$11,Paramètres!$A$1:$I$89,5,0)</f>
        <v>6.7984728957526396E-14</v>
      </c>
      <c r="BF159" s="14">
        <f t="shared" si="167"/>
        <v>1.0682447123141398E-12</v>
      </c>
      <c r="BG159" s="22">
        <f t="shared" si="168"/>
        <v>1.978932943548152E-12</v>
      </c>
      <c r="BH159" s="62">
        <f t="shared" si="116"/>
        <v>293.3333333333353</v>
      </c>
      <c r="BI159" s="62">
        <f ca="1">AVERAGE(OFFSET($BH$3,0,0,'Données projet'!$E$11+1,1))-AVERAGE(OFFSET($H$3,0,0,'Données projet'!$E$11+1,1))</f>
        <v>295.83974441964551</v>
      </c>
      <c r="BJ159" s="62">
        <f t="shared" si="146"/>
        <v>212.24900914818096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0.14483980355215068</v>
      </c>
      <c r="BR159" s="23">
        <f>EXP(-LN(2)/2)*BR158+(1-EXP(-LN(2)/2))/(LN(2)/2)*BL159*BO159*VLOOKUP('Données projet'!$B$11,Paramètres!$A$1:$I$89,3,0)*0.475*44/12</f>
        <v>6.7180993046725748E-19</v>
      </c>
      <c r="BS159" s="24">
        <f t="shared" si="169"/>
        <v>0.14483980355215068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-1.1368683772161603E-13</v>
      </c>
      <c r="O160" s="14">
        <f>N160*VLOOKUP('Données projet'!$B$9,Paramètres!$A$1:$I$89,3,0)*VLOOKUP('Données projet'!$B$9,Paramètres!$A$1:$I$89,5,0)</f>
        <v>-5.3205440053716299E-14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193.05670375142864</v>
      </c>
      <c r="T160" s="62">
        <f t="shared" si="142"/>
        <v>259.12914184994344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1.3973159302379625</v>
      </c>
      <c r="AA160" s="23">
        <f>EXP(-LN(2)/25)*AA159+(1-EXP(-LN(2)/25))/(LN(2)/25)*Calculateur!V160*Calculateur!X160*VLOOKUP('Données projet'!$B$9,Paramètres!$A$1:$I$89,3,0)*0.475*44/12</f>
        <v>0.1838470938230283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1.5811630240609909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645.99999999999955</v>
      </c>
      <c r="AJ160" s="14">
        <f>AI160*VLOOKUP('Données projet'!$B$10,Paramètres!$A$1:$I$89,3,0)*VLOOKUP('Données projet'!$B$10,Paramètres!$A$1:$I$89,5,0)</f>
        <v>361.11399999999975</v>
      </c>
      <c r="AK160" s="14">
        <f t="shared" si="164"/>
        <v>83.846819063373673</v>
      </c>
      <c r="AL160" s="22">
        <f t="shared" si="165"/>
        <v>774.97342653537532</v>
      </c>
      <c r="AM160" s="62">
        <f t="shared" si="113"/>
        <v>1068.3067598687087</v>
      </c>
      <c r="AN160" s="62">
        <f ca="1">AVERAGE(OFFSET($AM$3,0,0,'Données projet'!$E$10+1,1))-AVERAGE(OFFSET($H$3,0,0,'Données projet'!$E$10+1,1))</f>
        <v>512.21337090113502</v>
      </c>
      <c r="AO160" s="62">
        <f t="shared" si="144"/>
        <v>621.03633124474163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0.48978903387367079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1.8999186126732323E-18</v>
      </c>
      <c r="AX160" s="23">
        <f t="shared" si="166"/>
        <v>0.48978903387367079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1.1368683772161603E-13</v>
      </c>
      <c r="BE160" s="14">
        <f>BD160*VLOOKUP('Données projet'!$B$11,Paramètres!$A$1:$I$89,3,0)*VLOOKUP('Données projet'!$B$11,Paramètres!$A$1:$I$89,5,0)</f>
        <v>6.7984728957526396E-14</v>
      </c>
      <c r="BF160" s="14">
        <f t="shared" si="167"/>
        <v>1.0682447123141398E-12</v>
      </c>
      <c r="BG160" s="22">
        <f t="shared" si="168"/>
        <v>1.978932943548152E-12</v>
      </c>
      <c r="BH160" s="62">
        <f t="shared" si="116"/>
        <v>293.3333333333353</v>
      </c>
      <c r="BI160" s="62">
        <f ca="1">AVERAGE(OFFSET($BH$3,0,0,'Données projet'!$E$11+1,1))-AVERAGE(OFFSET($H$3,0,0,'Données projet'!$E$11+1,1))</f>
        <v>295.83974441964551</v>
      </c>
      <c r="BJ160" s="62">
        <f t="shared" si="146"/>
        <v>212.24900914818096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0.14087915150722288</v>
      </c>
      <c r="BR160" s="23">
        <f>EXP(-LN(2)/2)*BR159+(1-EXP(-LN(2)/2))/(LN(2)/2)*BL160*BO160*VLOOKUP('Données projet'!$B$11,Paramètres!$A$1:$I$89,3,0)*0.475*44/12</f>
        <v>4.7504135750186074E-19</v>
      </c>
      <c r="BS160" s="24">
        <f t="shared" si="169"/>
        <v>0.14087915150722288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-1.1368683772161603E-13</v>
      </c>
      <c r="O161" s="14">
        <f>N161*VLOOKUP('Données projet'!$B$9,Paramètres!$A$1:$I$89,3,0)*VLOOKUP('Données projet'!$B$9,Paramètres!$A$1:$I$89,5,0)</f>
        <v>-5.3205440053716299E-14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193.05670375142864</v>
      </c>
      <c r="T161" s="62">
        <f t="shared" si="142"/>
        <v>259.12914184994344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1.369915417124558</v>
      </c>
      <c r="AA161" s="23">
        <f>EXP(-LN(2)/25)*AA160+(1-EXP(-LN(2)/25))/(LN(2)/25)*Calculateur!V161*Calculateur!X161*VLOOKUP('Données projet'!$B$9,Paramètres!$A$1:$I$89,3,0)*0.475*44/12</f>
        <v>0.17881978537433912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1.5487352024988972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645.99999999999955</v>
      </c>
      <c r="AJ161" s="14">
        <f>AI161*VLOOKUP('Données projet'!$B$10,Paramètres!$A$1:$I$89,3,0)*VLOOKUP('Données projet'!$B$10,Paramètres!$A$1:$I$89,5,0)</f>
        <v>361.11399999999975</v>
      </c>
      <c r="AK161" s="14">
        <f t="shared" si="164"/>
        <v>83.846819063373673</v>
      </c>
      <c r="AL161" s="22">
        <f t="shared" si="165"/>
        <v>774.97342653537532</v>
      </c>
      <c r="AM161" s="62">
        <f t="shared" si="113"/>
        <v>1068.3067598687087</v>
      </c>
      <c r="AN161" s="62">
        <f ca="1">AVERAGE(OFFSET($AM$3,0,0,'Données projet'!$E$10+1,1))-AVERAGE(OFFSET($H$3,0,0,'Données projet'!$E$10+1,1))</f>
        <v>512.21337090113502</v>
      </c>
      <c r="AO161" s="62">
        <f t="shared" si="144"/>
        <v>621.03633124474163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0.48018456966122047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1.3434453347237802E-18</v>
      </c>
      <c r="AX161" s="23">
        <f t="shared" si="166"/>
        <v>0.48018456966122047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1.1368683772161603E-13</v>
      </c>
      <c r="BE161" s="14">
        <f>BD161*VLOOKUP('Données projet'!$B$11,Paramètres!$A$1:$I$89,3,0)*VLOOKUP('Données projet'!$B$11,Paramètres!$A$1:$I$89,5,0)</f>
        <v>6.7984728957526396E-14</v>
      </c>
      <c r="BF161" s="14">
        <f t="shared" si="167"/>
        <v>1.0682447123141398E-12</v>
      </c>
      <c r="BG161" s="22">
        <f t="shared" si="168"/>
        <v>1.978932943548152E-12</v>
      </c>
      <c r="BH161" s="62">
        <f t="shared" si="116"/>
        <v>293.3333333333353</v>
      </c>
      <c r="BI161" s="62">
        <f ca="1">AVERAGE(OFFSET($BH$3,0,0,'Données projet'!$E$11+1,1))-AVERAGE(OFFSET($H$3,0,0,'Données projet'!$E$11+1,1))</f>
        <v>295.83974441964551</v>
      </c>
      <c r="BJ161" s="62">
        <f t="shared" si="146"/>
        <v>212.24900914818096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0.13702680370074527</v>
      </c>
      <c r="BR161" s="23">
        <f>EXP(-LN(2)/2)*BR160+(1-EXP(-LN(2)/2))/(LN(2)/2)*BL161*BO161*VLOOKUP('Données projet'!$B$11,Paramètres!$A$1:$I$89,3,0)*0.475*44/12</f>
        <v>3.3590496523362874E-19</v>
      </c>
      <c r="BS161" s="24">
        <f t="shared" si="169"/>
        <v>0.13702680370074527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-1.1368683772161603E-13</v>
      </c>
      <c r="O162" s="14">
        <f>N162*VLOOKUP('Données projet'!$B$9,Paramètres!$A$1:$I$89,3,0)*VLOOKUP('Données projet'!$B$9,Paramètres!$A$1:$I$89,5,0)</f>
        <v>-5.3205440053716299E-14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193.05670375142864</v>
      </c>
      <c r="T162" s="62">
        <f t="shared" si="142"/>
        <v>259.12914184994344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1.3430522113606447</v>
      </c>
      <c r="AA162" s="23">
        <f>EXP(-LN(2)/25)*AA161+(1-EXP(-LN(2)/25))/(LN(2)/25)*Calculateur!V162*Calculateur!X162*VLOOKUP('Données projet'!$B$9,Paramètres!$A$1:$I$89,3,0)*0.475*44/12</f>
        <v>0.17392994893955402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1.5169821603001987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645.99999999999955</v>
      </c>
      <c r="AJ162" s="14">
        <f>AI162*VLOOKUP('Données projet'!$B$10,Paramètres!$A$1:$I$89,3,0)*VLOOKUP('Données projet'!$B$10,Paramètres!$A$1:$I$89,5,0)</f>
        <v>361.11399999999975</v>
      </c>
      <c r="AK162" s="14">
        <f t="shared" si="164"/>
        <v>83.846819063373673</v>
      </c>
      <c r="AL162" s="22">
        <f t="shared" si="165"/>
        <v>774.97342653537532</v>
      </c>
      <c r="AM162" s="62">
        <f t="shared" si="113"/>
        <v>1068.3067598687087</v>
      </c>
      <c r="AN162" s="62">
        <f ca="1">AVERAGE(OFFSET($AM$3,0,0,'Données projet'!$E$10+1,1))-AVERAGE(OFFSET($H$3,0,0,'Données projet'!$E$10+1,1))</f>
        <v>512.21337090113502</v>
      </c>
      <c r="AO162" s="62">
        <f t="shared" si="144"/>
        <v>621.03633124474163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0.47076844313383159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9.4995930633661615E-19</v>
      </c>
      <c r="AX162" s="23">
        <f t="shared" si="166"/>
        <v>0.47076844313383159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1.1368683772161603E-13</v>
      </c>
      <c r="BE162" s="14">
        <f>BD162*VLOOKUP('Données projet'!$B$11,Paramètres!$A$1:$I$89,3,0)*VLOOKUP('Données projet'!$B$11,Paramètres!$A$1:$I$89,5,0)</f>
        <v>6.7984728957526396E-14</v>
      </c>
      <c r="BF162" s="14">
        <f t="shared" si="167"/>
        <v>1.0682447123141398E-12</v>
      </c>
      <c r="BG162" s="22">
        <f t="shared" si="168"/>
        <v>1.978932943548152E-12</v>
      </c>
      <c r="BH162" s="62">
        <f t="shared" si="116"/>
        <v>293.3333333333353</v>
      </c>
      <c r="BI162" s="62">
        <f ca="1">AVERAGE(OFFSET($BH$3,0,0,'Données projet'!$E$11+1,1))-AVERAGE(OFFSET($H$3,0,0,'Données projet'!$E$11+1,1))</f>
        <v>295.83974441964551</v>
      </c>
      <c r="BJ162" s="62">
        <f t="shared" si="146"/>
        <v>212.24900914818096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0.13327979854762195</v>
      </c>
      <c r="BR162" s="23">
        <f>EXP(-LN(2)/2)*BR161+(1-EXP(-LN(2)/2))/(LN(2)/2)*BL162*BO162*VLOOKUP('Données projet'!$B$11,Paramètres!$A$1:$I$89,3,0)*0.475*44/12</f>
        <v>2.3752067875093037E-19</v>
      </c>
      <c r="BS162" s="24">
        <f t="shared" si="169"/>
        <v>0.13327979854762195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-1.1368683772161603E-13</v>
      </c>
      <c r="O163" s="14">
        <f>N163*VLOOKUP('Données projet'!$B$9,Paramètres!$A$1:$I$89,3,0)*VLOOKUP('Données projet'!$B$9,Paramètres!$A$1:$I$89,5,0)</f>
        <v>-5.3205440053716299E-14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193.05670375142864</v>
      </c>
      <c r="T163" s="62">
        <f t="shared" si="142"/>
        <v>259.12914184994344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1.316715776676824</v>
      </c>
      <c r="AA163" s="23">
        <f>EXP(-LN(2)/25)*AA162+(1-EXP(-LN(2)/25))/(LN(2)/25)*Calculateur!V163*Calculateur!X163*VLOOKUP('Données projet'!$B$9,Paramètres!$A$1:$I$89,3,0)*0.475*44/12</f>
        <v>0.16917382533922343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1.4858896020160475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645.99999999999955</v>
      </c>
      <c r="AJ163" s="14">
        <f>AI163*VLOOKUP('Données projet'!$B$10,Paramètres!$A$1:$I$89,3,0)*VLOOKUP('Données projet'!$B$10,Paramètres!$A$1:$I$89,5,0)</f>
        <v>361.11399999999975</v>
      </c>
      <c r="AK163" s="14">
        <f t="shared" si="164"/>
        <v>83.846819063373673</v>
      </c>
      <c r="AL163" s="22">
        <f t="shared" si="165"/>
        <v>774.97342653537532</v>
      </c>
      <c r="AM163" s="62">
        <f t="shared" si="113"/>
        <v>1068.3067598687087</v>
      </c>
      <c r="AN163" s="62">
        <f ca="1">AVERAGE(OFFSET($AM$3,0,0,'Données projet'!$E$10+1,1))-AVERAGE(OFFSET($H$3,0,0,'Données projet'!$E$10+1,1))</f>
        <v>512.21337090113502</v>
      </c>
      <c r="AO163" s="62">
        <f t="shared" si="144"/>
        <v>621.03633124474163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0.4615369611043747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6.7172266736189011E-19</v>
      </c>
      <c r="AX163" s="23">
        <f t="shared" si="166"/>
        <v>0.4615369611043747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1.1368683772161603E-13</v>
      </c>
      <c r="BE163" s="14">
        <f>BD163*VLOOKUP('Données projet'!$B$11,Paramètres!$A$1:$I$89,3,0)*VLOOKUP('Données projet'!$B$11,Paramètres!$A$1:$I$89,5,0)</f>
        <v>6.7984728957526396E-14</v>
      </c>
      <c r="BF163" s="14">
        <f t="shared" si="167"/>
        <v>1.0682447123141398E-12</v>
      </c>
      <c r="BG163" s="22">
        <f t="shared" si="168"/>
        <v>1.978932943548152E-12</v>
      </c>
      <c r="BH163" s="62">
        <f t="shared" si="116"/>
        <v>293.3333333333353</v>
      </c>
      <c r="BI163" s="62">
        <f ca="1">AVERAGE(OFFSET($BH$3,0,0,'Données projet'!$E$11+1,1))-AVERAGE(OFFSET($H$3,0,0,'Données projet'!$E$11+1,1))</f>
        <v>295.83974441964551</v>
      </c>
      <c r="BJ163" s="62">
        <f t="shared" si="146"/>
        <v>212.24900914818096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0.12963525544745724</v>
      </c>
      <c r="BR163" s="23">
        <f>EXP(-LN(2)/2)*BR162+(1-EXP(-LN(2)/2))/(LN(2)/2)*BL163*BO163*VLOOKUP('Données projet'!$B$11,Paramètres!$A$1:$I$89,3,0)*0.475*44/12</f>
        <v>1.6795248261681437E-19</v>
      </c>
      <c r="BS163" s="24">
        <f t="shared" si="169"/>
        <v>0.12963525544745724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-1.1368683772161603E-13</v>
      </c>
      <c r="O164" s="14">
        <f>N164*VLOOKUP('Données projet'!$B$9,Paramètres!$A$1:$I$89,3,0)*VLOOKUP('Données projet'!$B$9,Paramètres!$A$1:$I$89,5,0)</f>
        <v>-5.3205440053716299E-14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193.05670375142864</v>
      </c>
      <c r="T164" s="62">
        <f t="shared" si="142"/>
        <v>259.12914184994344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1.290895783413514</v>
      </c>
      <c r="AA164" s="23">
        <f>EXP(-LN(2)/25)*AA163+(1-EXP(-LN(2)/25))/(LN(2)/25)*Calculateur!V164*Calculateur!X164*VLOOKUP('Données projet'!$B$9,Paramètres!$A$1:$I$89,3,0)*0.475*44/12</f>
        <v>0.16454775818885753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1.4554435416023714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645.99999999999955</v>
      </c>
      <c r="AJ164" s="14">
        <f>AI164*VLOOKUP('Données projet'!$B$10,Paramètres!$A$1:$I$89,3,0)*VLOOKUP('Données projet'!$B$10,Paramètres!$A$1:$I$89,5,0)</f>
        <v>361.11399999999975</v>
      </c>
      <c r="AK164" s="14">
        <f t="shared" si="164"/>
        <v>83.846819063373673</v>
      </c>
      <c r="AL164" s="22">
        <f t="shared" si="165"/>
        <v>774.97342653537532</v>
      </c>
      <c r="AM164" s="62">
        <f t="shared" si="113"/>
        <v>1068.3067598687087</v>
      </c>
      <c r="AN164" s="62">
        <f ca="1">AVERAGE(OFFSET($AM$3,0,0,'Données projet'!$E$10+1,1))-AVERAGE(OFFSET($H$3,0,0,'Données projet'!$E$10+1,1))</f>
        <v>512.21337090113502</v>
      </c>
      <c r="AO164" s="62">
        <f t="shared" si="144"/>
        <v>621.03633124474163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0.45248650280686742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4.7497965316830807E-19</v>
      </c>
      <c r="AX164" s="23">
        <f t="shared" si="166"/>
        <v>0.45248650280686742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1.1368683772161603E-13</v>
      </c>
      <c r="BE164" s="14">
        <f>BD164*VLOOKUP('Données projet'!$B$11,Paramètres!$A$1:$I$89,3,0)*VLOOKUP('Données projet'!$B$11,Paramètres!$A$1:$I$89,5,0)</f>
        <v>6.7984728957526396E-14</v>
      </c>
      <c r="BF164" s="14">
        <f t="shared" si="167"/>
        <v>1.0682447123141398E-12</v>
      </c>
      <c r="BG164" s="22">
        <f t="shared" si="168"/>
        <v>1.978932943548152E-12</v>
      </c>
      <c r="BH164" s="62">
        <f t="shared" si="116"/>
        <v>293.3333333333353</v>
      </c>
      <c r="BI164" s="62">
        <f ca="1">AVERAGE(OFFSET($BH$3,0,0,'Données projet'!$E$11+1,1))-AVERAGE(OFFSET($H$3,0,0,'Données projet'!$E$11+1,1))</f>
        <v>295.83974441964551</v>
      </c>
      <c r="BJ164" s="62">
        <f t="shared" si="146"/>
        <v>212.24900914818096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0.12609037257002473</v>
      </c>
      <c r="BR164" s="23">
        <f>EXP(-LN(2)/2)*BR163+(1-EXP(-LN(2)/2))/(LN(2)/2)*BL164*BO164*VLOOKUP('Données projet'!$B$11,Paramètres!$A$1:$I$89,3,0)*0.475*44/12</f>
        <v>1.1876033937546519E-19</v>
      </c>
      <c r="BS164" s="24">
        <f t="shared" si="169"/>
        <v>0.12609037257002473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-1.1368683772161603E-13</v>
      </c>
      <c r="O165" s="14">
        <f>N165*VLOOKUP('Données projet'!$B$9,Paramètres!$A$1:$I$89,3,0)*VLOOKUP('Données projet'!$B$9,Paramètres!$A$1:$I$89,5,0)</f>
        <v>-5.3205440053716299E-14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193.05670375142864</v>
      </c>
      <c r="T165" s="62">
        <f t="shared" si="142"/>
        <v>259.12914184994344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1.2655821044694566</v>
      </c>
      <c r="AA165" s="23">
        <f>EXP(-LN(2)/25)*AA164+(1-EXP(-LN(2)/25))/(LN(2)/25)*Calculateur!V165*Calculateur!X165*VLOOKUP('Données projet'!$B$9,Paramètres!$A$1:$I$89,3,0)*0.475*44/12</f>
        <v>0.1600481910879927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1.4256302955574494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645.99999999999955</v>
      </c>
      <c r="AJ165" s="14">
        <f>AI165*VLOOKUP('Données projet'!$B$10,Paramètres!$A$1:$I$89,3,0)*VLOOKUP('Données projet'!$B$10,Paramètres!$A$1:$I$89,5,0)</f>
        <v>361.11399999999975</v>
      </c>
      <c r="AK165" s="14">
        <f t="shared" si="164"/>
        <v>83.846819063373673</v>
      </c>
      <c r="AL165" s="22">
        <f t="shared" si="165"/>
        <v>774.97342653537532</v>
      </c>
      <c r="AM165" s="62">
        <f t="shared" si="113"/>
        <v>1068.3067598687087</v>
      </c>
      <c r="AN165" s="62">
        <f ca="1">AVERAGE(OFFSET($AM$3,0,0,'Données projet'!$E$10+1,1))-AVERAGE(OFFSET($H$3,0,0,'Données projet'!$E$10+1,1))</f>
        <v>512.21337090113502</v>
      </c>
      <c r="AO165" s="62">
        <f t="shared" si="144"/>
        <v>621.03633124474163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0.44361351847633979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3.3586133368094505E-19</v>
      </c>
      <c r="AX165" s="23">
        <f t="shared" si="166"/>
        <v>0.44361351847633979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1.1368683772161603E-13</v>
      </c>
      <c r="BE165" s="14">
        <f>BD165*VLOOKUP('Données projet'!$B$11,Paramètres!$A$1:$I$89,3,0)*VLOOKUP('Données projet'!$B$11,Paramètres!$A$1:$I$89,5,0)</f>
        <v>6.7984728957526396E-14</v>
      </c>
      <c r="BF165" s="14">
        <f t="shared" si="167"/>
        <v>1.0682447123141398E-12</v>
      </c>
      <c r="BG165" s="22">
        <f t="shared" si="168"/>
        <v>1.978932943548152E-12</v>
      </c>
      <c r="BH165" s="62">
        <f t="shared" si="116"/>
        <v>293.3333333333353</v>
      </c>
      <c r="BI165" s="62">
        <f ca="1">AVERAGE(OFFSET($BH$3,0,0,'Données projet'!$E$11+1,1))-AVERAGE(OFFSET($H$3,0,0,'Données projet'!$E$11+1,1))</f>
        <v>295.83974441964551</v>
      </c>
      <c r="BJ165" s="62">
        <f t="shared" si="146"/>
        <v>212.24900914818096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0.1226424247012929</v>
      </c>
      <c r="BR165" s="23">
        <f>EXP(-LN(2)/2)*BR164+(1-EXP(-LN(2)/2))/(LN(2)/2)*BL165*BO165*VLOOKUP('Données projet'!$B$11,Paramètres!$A$1:$I$89,3,0)*0.475*44/12</f>
        <v>8.3976241308407185E-20</v>
      </c>
      <c r="BS165" s="24">
        <f t="shared" si="169"/>
        <v>0.1226424247012929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-1.1368683772161603E-13</v>
      </c>
      <c r="O166" s="14">
        <f>N166*VLOOKUP('Données projet'!$B$9,Paramètres!$A$1:$I$89,3,0)*VLOOKUP('Données projet'!$B$9,Paramètres!$A$1:$I$89,5,0)</f>
        <v>-5.3205440053716299E-14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193.05670375142864</v>
      </c>
      <c r="T166" s="62">
        <f t="shared" si="142"/>
        <v>259.12914184994344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1.2407648113296728</v>
      </c>
      <c r="AA166" s="23">
        <f>EXP(-LN(2)/25)*AA165+(1-EXP(-LN(2)/25))/(LN(2)/25)*Calculateur!V166*Calculateur!X166*VLOOKUP('Données projet'!$B$9,Paramètres!$A$1:$I$89,3,0)*0.475*44/12</f>
        <v>0.15567166488612297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1.3964364762157957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645.99999999999955</v>
      </c>
      <c r="AJ166" s="14">
        <f>AI166*VLOOKUP('Données projet'!$B$10,Paramètres!$A$1:$I$89,3,0)*VLOOKUP('Données projet'!$B$10,Paramètres!$A$1:$I$89,5,0)</f>
        <v>361.11399999999975</v>
      </c>
      <c r="AK166" s="14">
        <f t="shared" si="164"/>
        <v>83.846819063373673</v>
      </c>
      <c r="AL166" s="22">
        <f t="shared" si="165"/>
        <v>774.97342653537532</v>
      </c>
      <c r="AM166" s="62">
        <f t="shared" si="113"/>
        <v>1068.3067598687087</v>
      </c>
      <c r="AN166" s="62">
        <f ca="1">AVERAGE(OFFSET($AM$3,0,0,'Données projet'!$E$10+1,1))-AVERAGE(OFFSET($H$3,0,0,'Données projet'!$E$10+1,1))</f>
        <v>512.21337090113502</v>
      </c>
      <c r="AO166" s="62">
        <f t="shared" si="144"/>
        <v>621.03633124474163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0.43491452795654773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2.3748982658415404E-19</v>
      </c>
      <c r="AX166" s="23">
        <f t="shared" si="166"/>
        <v>0.43491452795654773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1.1368683772161603E-13</v>
      </c>
      <c r="BE166" s="14">
        <f>BD166*VLOOKUP('Données projet'!$B$11,Paramètres!$A$1:$I$89,3,0)*VLOOKUP('Données projet'!$B$11,Paramètres!$A$1:$I$89,5,0)</f>
        <v>6.7984728957526396E-14</v>
      </c>
      <c r="BF166" s="14">
        <f t="shared" si="167"/>
        <v>1.0682447123141398E-12</v>
      </c>
      <c r="BG166" s="22">
        <f t="shared" si="168"/>
        <v>1.978932943548152E-12</v>
      </c>
      <c r="BH166" s="62">
        <f t="shared" si="116"/>
        <v>293.3333333333353</v>
      </c>
      <c r="BI166" s="62">
        <f ca="1">AVERAGE(OFFSET($BH$3,0,0,'Données projet'!$E$11+1,1))-AVERAGE(OFFSET($H$3,0,0,'Données projet'!$E$11+1,1))</f>
        <v>295.83974441964551</v>
      </c>
      <c r="BJ166" s="62">
        <f t="shared" si="146"/>
        <v>212.24900914818096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0.11928876114835123</v>
      </c>
      <c r="BR166" s="23">
        <f>EXP(-LN(2)/2)*BR165+(1-EXP(-LN(2)/2))/(LN(2)/2)*BL166*BO166*VLOOKUP('Données projet'!$B$11,Paramètres!$A$1:$I$89,3,0)*0.475*44/12</f>
        <v>5.9380169687732593E-20</v>
      </c>
      <c r="BS166" s="24">
        <f t="shared" si="169"/>
        <v>0.11928876114835123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-1.1368683772161603E-13</v>
      </c>
      <c r="O167" s="14">
        <f>N167*VLOOKUP('Données projet'!$B$9,Paramètres!$A$1:$I$89,3,0)*VLOOKUP('Données projet'!$B$9,Paramètres!$A$1:$I$89,5,0)</f>
        <v>-5.3205440053716299E-14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193.05670375142864</v>
      </c>
      <c r="T167" s="62">
        <f t="shared" si="142"/>
        <v>259.12914184994344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1.2164341701713057</v>
      </c>
      <c r="AA167" s="23">
        <f>EXP(-LN(2)/25)*AA166+(1-EXP(-LN(2)/25))/(LN(2)/25)*Calculateur!V167*Calculateur!X167*VLOOKUP('Données projet'!$B$9,Paramètres!$A$1:$I$89,3,0)*0.475*44/12</f>
        <v>0.15141481502339488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1.3678489851947007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645.99999999999955</v>
      </c>
      <c r="AJ167" s="14">
        <f>AI167*VLOOKUP('Données projet'!$B$10,Paramètres!$A$1:$I$89,3,0)*VLOOKUP('Données projet'!$B$10,Paramètres!$A$1:$I$89,5,0)</f>
        <v>361.11399999999975</v>
      </c>
      <c r="AK167" s="14">
        <f t="shared" si="164"/>
        <v>83.846819063373673</v>
      </c>
      <c r="AL167" s="22">
        <f t="shared" si="165"/>
        <v>774.97342653537532</v>
      </c>
      <c r="AM167" s="62">
        <f t="shared" si="113"/>
        <v>1068.3067598687087</v>
      </c>
      <c r="AN167" s="62">
        <f ca="1">AVERAGE(OFFSET($AM$3,0,0,'Données projet'!$E$10+1,1))-AVERAGE(OFFSET($H$3,0,0,'Données projet'!$E$10+1,1))</f>
        <v>512.21337090113502</v>
      </c>
      <c r="AO167" s="62">
        <f t="shared" si="144"/>
        <v>621.03633124474163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0.42638611933498849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1.6793066684047253E-19</v>
      </c>
      <c r="AX167" s="23">
        <f t="shared" si="166"/>
        <v>0.42638611933498849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1.1368683772161603E-13</v>
      </c>
      <c r="BE167" s="14">
        <f>BD167*VLOOKUP('Données projet'!$B$11,Paramètres!$A$1:$I$89,3,0)*VLOOKUP('Données projet'!$B$11,Paramètres!$A$1:$I$89,5,0)</f>
        <v>6.7984728957526396E-14</v>
      </c>
      <c r="BF167" s="14">
        <f t="shared" si="167"/>
        <v>1.0682447123141398E-12</v>
      </c>
      <c r="BG167" s="22">
        <f t="shared" si="168"/>
        <v>1.978932943548152E-12</v>
      </c>
      <c r="BH167" s="62">
        <f t="shared" si="116"/>
        <v>293.3333333333353</v>
      </c>
      <c r="BI167" s="62">
        <f ca="1">AVERAGE(OFFSET($BH$3,0,0,'Données projet'!$E$11+1,1))-AVERAGE(OFFSET($H$3,0,0,'Données projet'!$E$11+1,1))</f>
        <v>295.83974441964551</v>
      </c>
      <c r="BJ167" s="62">
        <f t="shared" si="146"/>
        <v>212.24900914818096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0.11602680370162625</v>
      </c>
      <c r="BR167" s="23">
        <f>EXP(-LN(2)/2)*BR166+(1-EXP(-LN(2)/2))/(LN(2)/2)*BL167*BO167*VLOOKUP('Données projet'!$B$11,Paramètres!$A$1:$I$89,3,0)*0.475*44/12</f>
        <v>4.1988120654203593E-20</v>
      </c>
      <c r="BS167" s="24">
        <f t="shared" si="169"/>
        <v>0.11602680370162625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-1.1368683772161603E-13</v>
      </c>
      <c r="O168" s="14">
        <f>N168*VLOOKUP('Données projet'!$B$9,Paramètres!$A$1:$I$89,3,0)*VLOOKUP('Données projet'!$B$9,Paramètres!$A$1:$I$89,5,0)</f>
        <v>-5.3205440053716299E-14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193.05670375142864</v>
      </c>
      <c r="T168" s="62">
        <f t="shared" si="142"/>
        <v>259.12914184994344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1.1925806380458286</v>
      </c>
      <c r="AA168" s="23">
        <f>EXP(-LN(2)/25)*AA167+(1-EXP(-LN(2)/25))/(LN(2)/25)*Calculateur!V168*Calculateur!X168*VLOOKUP('Données projet'!$B$9,Paramètres!$A$1:$I$89,3,0)*0.475*44/12</f>
        <v>0.14727436894402107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1.3398550069898496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645.99999999999955</v>
      </c>
      <c r="AJ168" s="14">
        <f>AI168*VLOOKUP('Données projet'!$B$10,Paramètres!$A$1:$I$89,3,0)*VLOOKUP('Données projet'!$B$10,Paramètres!$A$1:$I$89,5,0)</f>
        <v>361.11399999999975</v>
      </c>
      <c r="AK168" s="14">
        <f t="shared" si="164"/>
        <v>83.846819063373673</v>
      </c>
      <c r="AL168" s="22">
        <f t="shared" si="165"/>
        <v>774.97342653537532</v>
      </c>
      <c r="AM168" s="62">
        <f t="shared" si="113"/>
        <v>1068.3067598687087</v>
      </c>
      <c r="AN168" s="62">
        <f ca="1">AVERAGE(OFFSET($AM$3,0,0,'Données projet'!$E$10+1,1))-AVERAGE(OFFSET($H$3,0,0,'Données projet'!$E$10+1,1))</f>
        <v>512.21337090113502</v>
      </c>
      <c r="AO168" s="62">
        <f t="shared" si="144"/>
        <v>621.03633124474163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0.4180249476046824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1.1874491329207702E-19</v>
      </c>
      <c r="AX168" s="23">
        <f t="shared" si="166"/>
        <v>0.4180249476046824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1.1368683772161603E-13</v>
      </c>
      <c r="BE168" s="14">
        <f>BD168*VLOOKUP('Données projet'!$B$11,Paramètres!$A$1:$I$89,3,0)*VLOOKUP('Données projet'!$B$11,Paramètres!$A$1:$I$89,5,0)</f>
        <v>6.7984728957526396E-14</v>
      </c>
      <c r="BF168" s="14">
        <f t="shared" si="167"/>
        <v>1.0682447123141398E-12</v>
      </c>
      <c r="BG168" s="22">
        <f t="shared" si="168"/>
        <v>1.978932943548152E-12</v>
      </c>
      <c r="BH168" s="62">
        <f t="shared" si="116"/>
        <v>293.3333333333353</v>
      </c>
      <c r="BI168" s="62">
        <f ca="1">AVERAGE(OFFSET($BH$3,0,0,'Données projet'!$E$11+1,1))-AVERAGE(OFFSET($H$3,0,0,'Données projet'!$E$11+1,1))</f>
        <v>295.83974441964551</v>
      </c>
      <c r="BJ168" s="62">
        <f t="shared" si="146"/>
        <v>212.24900914818096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0.11285404465282087</v>
      </c>
      <c r="BR168" s="23">
        <f>EXP(-LN(2)/2)*BR167+(1-EXP(-LN(2)/2))/(LN(2)/2)*BL168*BO168*VLOOKUP('Données projet'!$B$11,Paramètres!$A$1:$I$89,3,0)*0.475*44/12</f>
        <v>2.9690084843866296E-20</v>
      </c>
      <c r="BS168" s="24">
        <f t="shared" si="169"/>
        <v>0.11285404465282087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-1.1368683772161603E-13</v>
      </c>
      <c r="O169" s="14">
        <f>N169*VLOOKUP('Données projet'!$B$9,Paramètres!$A$1:$I$89,3,0)*VLOOKUP('Données projet'!$B$9,Paramètres!$A$1:$I$89,5,0)</f>
        <v>-5.3205440053716299E-14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193.05670375142864</v>
      </c>
      <c r="T169" s="62">
        <f t="shared" si="142"/>
        <v>259.12914184994344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1.1691948591361141</v>
      </c>
      <c r="AA169" s="23">
        <f>EXP(-LN(2)/25)*AA168+(1-EXP(-LN(2)/25))/(LN(2)/25)*Calculateur!V169*Calculateur!X169*VLOOKUP('Données projet'!$B$9,Paramètres!$A$1:$I$89,3,0)*0.475*44/12</f>
        <v>0.14324714358042434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1.3124420027165384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645.99999999999955</v>
      </c>
      <c r="AJ169" s="14">
        <f>AI169*VLOOKUP('Données projet'!$B$10,Paramètres!$A$1:$I$89,3,0)*VLOOKUP('Données projet'!$B$10,Paramètres!$A$1:$I$89,5,0)</f>
        <v>361.11399999999975</v>
      </c>
      <c r="AK169" s="14">
        <f t="shared" si="164"/>
        <v>83.846819063373673</v>
      </c>
      <c r="AL169" s="22">
        <f t="shared" si="165"/>
        <v>774.97342653537532</v>
      </c>
      <c r="AM169" s="62">
        <f t="shared" si="113"/>
        <v>1068.3067598687087</v>
      </c>
      <c r="AN169" s="62">
        <f ca="1">AVERAGE(OFFSET($AM$3,0,0,'Données projet'!$E$10+1,1))-AVERAGE(OFFSET($H$3,0,0,'Données projet'!$E$10+1,1))</f>
        <v>512.21337090113502</v>
      </c>
      <c r="AO169" s="62">
        <f t="shared" si="144"/>
        <v>621.03633124474163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0.40982773335219641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8.3965333420236264E-20</v>
      </c>
      <c r="AX169" s="23">
        <f t="shared" si="166"/>
        <v>0.40982773335219641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1.1368683772161603E-13</v>
      </c>
      <c r="BE169" s="14">
        <f>BD169*VLOOKUP('Données projet'!$B$11,Paramètres!$A$1:$I$89,3,0)*VLOOKUP('Données projet'!$B$11,Paramètres!$A$1:$I$89,5,0)</f>
        <v>6.7984728957526396E-14</v>
      </c>
      <c r="BF169" s="14">
        <f t="shared" si="167"/>
        <v>1.0682447123141398E-12</v>
      </c>
      <c r="BG169" s="22">
        <f t="shared" si="168"/>
        <v>1.978932943548152E-12</v>
      </c>
      <c r="BH169" s="62">
        <f t="shared" si="116"/>
        <v>293.3333333333353</v>
      </c>
      <c r="BI169" s="62">
        <f ca="1">AVERAGE(OFFSET($BH$3,0,0,'Données projet'!$E$11+1,1))-AVERAGE(OFFSET($H$3,0,0,'Données projet'!$E$11+1,1))</f>
        <v>295.83974441964551</v>
      </c>
      <c r="BJ169" s="62">
        <f t="shared" si="146"/>
        <v>212.24900914818096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0.1097680448670532</v>
      </c>
      <c r="BR169" s="23">
        <f>EXP(-LN(2)/2)*BR168+(1-EXP(-LN(2)/2))/(LN(2)/2)*BL169*BO169*VLOOKUP('Données projet'!$B$11,Paramètres!$A$1:$I$89,3,0)*0.475*44/12</f>
        <v>2.0994060327101796E-20</v>
      </c>
      <c r="BS169" s="24">
        <f t="shared" si="169"/>
        <v>0.1097680448670532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-1.1368683772161603E-13</v>
      </c>
      <c r="O170" s="14">
        <f>N170*VLOOKUP('Données projet'!$B$9,Paramètres!$A$1:$I$89,3,0)*VLOOKUP('Données projet'!$B$9,Paramètres!$A$1:$I$89,5,0)</f>
        <v>-5.3205440053716299E-14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193.05670375142864</v>
      </c>
      <c r="T170" s="62">
        <f t="shared" si="142"/>
        <v>259.12914184994344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1.1462676610869025</v>
      </c>
      <c r="AA170" s="23">
        <f>EXP(-LN(2)/25)*AA169+(1-EXP(-LN(2)/25))/(LN(2)/25)*Calculateur!V170*Calculateur!X170*VLOOKUP('Données projet'!$B$9,Paramètres!$A$1:$I$89,3,0)*0.475*44/12</f>
        <v>0.13933004290617776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1.2855977039930802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645.99999999999955</v>
      </c>
      <c r="AJ170" s="14">
        <f>AI170*VLOOKUP('Données projet'!$B$10,Paramètres!$A$1:$I$89,3,0)*VLOOKUP('Données projet'!$B$10,Paramètres!$A$1:$I$89,5,0)</f>
        <v>361.11399999999975</v>
      </c>
      <c r="AK170" s="14">
        <f t="shared" si="164"/>
        <v>83.846819063373673</v>
      </c>
      <c r="AL170" s="22">
        <f t="shared" si="165"/>
        <v>774.97342653537532</v>
      </c>
      <c r="AM170" s="62">
        <f t="shared" si="113"/>
        <v>1068.3067598687087</v>
      </c>
      <c r="AN170" s="62">
        <f ca="1">AVERAGE(OFFSET($AM$3,0,0,'Données projet'!$E$10+1,1))-AVERAGE(OFFSET($H$3,0,0,'Données projet'!$E$10+1,1))</f>
        <v>512.21337090113502</v>
      </c>
      <c r="AO170" s="62">
        <f t="shared" si="144"/>
        <v>621.03633124474163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0.40179126147139466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5.9372456646038509E-20</v>
      </c>
      <c r="AX170" s="23">
        <f t="shared" si="166"/>
        <v>0.40179126147139466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1.1368683772161603E-13</v>
      </c>
      <c r="BE170" s="14">
        <f>BD170*VLOOKUP('Données projet'!$B$11,Paramètres!$A$1:$I$89,3,0)*VLOOKUP('Données projet'!$B$11,Paramètres!$A$1:$I$89,5,0)</f>
        <v>6.7984728957526396E-14</v>
      </c>
      <c r="BF170" s="14">
        <f t="shared" si="167"/>
        <v>1.0682447123141398E-12</v>
      </c>
      <c r="BG170" s="22">
        <f t="shared" si="168"/>
        <v>1.978932943548152E-12</v>
      </c>
      <c r="BH170" s="62">
        <f t="shared" si="116"/>
        <v>293.3333333333353</v>
      </c>
      <c r="BI170" s="62">
        <f ca="1">AVERAGE(OFFSET($BH$3,0,0,'Données projet'!$E$11+1,1))-AVERAGE(OFFSET($H$3,0,0,'Données projet'!$E$11+1,1))</f>
        <v>295.83974441964551</v>
      </c>
      <c r="BJ170" s="62">
        <f t="shared" si="146"/>
        <v>212.24900914818096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0.10676643190771302</v>
      </c>
      <c r="BR170" s="23">
        <f>EXP(-LN(2)/2)*BR169+(1-EXP(-LN(2)/2))/(LN(2)/2)*BL170*BO170*VLOOKUP('Données projet'!$B$11,Paramètres!$A$1:$I$89,3,0)*0.475*44/12</f>
        <v>1.4845042421933148E-20</v>
      </c>
      <c r="BS170" s="24">
        <f t="shared" si="169"/>
        <v>0.10676643190771302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-1.1368683772161603E-13</v>
      </c>
      <c r="O171" s="14">
        <f>N171*VLOOKUP('Données projet'!$B$9,Paramètres!$A$1:$I$89,3,0)*VLOOKUP('Données projet'!$B$9,Paramètres!$A$1:$I$89,5,0)</f>
        <v>-5.3205440053716299E-14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193.05670375142864</v>
      </c>
      <c r="T171" s="62">
        <f t="shared" si="142"/>
        <v>259.12914184994344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1.1237900514072259</v>
      </c>
      <c r="AA171" s="23">
        <f>EXP(-LN(2)/25)*AA170+(1-EXP(-LN(2)/25))/(LN(2)/25)*Calculateur!V171*Calculateur!X171*VLOOKUP('Données projet'!$B$9,Paramètres!$A$1:$I$89,3,0)*0.475*44/12</f>
        <v>0.1355200555558598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1.2593101069630857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645.99999999999955</v>
      </c>
      <c r="AJ171" s="14">
        <f>AI171*VLOOKUP('Données projet'!$B$10,Paramètres!$A$1:$I$89,3,0)*VLOOKUP('Données projet'!$B$10,Paramètres!$A$1:$I$89,5,0)</f>
        <v>361.11399999999975</v>
      </c>
      <c r="AK171" s="14">
        <f t="shared" si="164"/>
        <v>83.846819063373673</v>
      </c>
      <c r="AL171" s="22">
        <f t="shared" si="165"/>
        <v>774.97342653537532</v>
      </c>
      <c r="AM171" s="62">
        <f t="shared" si="113"/>
        <v>1068.3067598687087</v>
      </c>
      <c r="AN171" s="62">
        <f ca="1">AVERAGE(OFFSET($AM$3,0,0,'Données projet'!$E$10+1,1))-AVERAGE(OFFSET($H$3,0,0,'Données projet'!$E$10+1,1))</f>
        <v>512.21337090113502</v>
      </c>
      <c r="AO171" s="62">
        <f t="shared" si="144"/>
        <v>621.03633124474163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0.39391237990241162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4.1982666710118132E-20</v>
      </c>
      <c r="AX171" s="23">
        <f t="shared" si="166"/>
        <v>0.39391237990241162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1.1368683772161603E-13</v>
      </c>
      <c r="BE171" s="14">
        <f>BD171*VLOOKUP('Données projet'!$B$11,Paramètres!$A$1:$I$89,3,0)*VLOOKUP('Données projet'!$B$11,Paramètres!$A$1:$I$89,5,0)</f>
        <v>6.7984728957526396E-14</v>
      </c>
      <c r="BF171" s="14">
        <f t="shared" si="167"/>
        <v>1.0682447123141398E-12</v>
      </c>
      <c r="BG171" s="22">
        <f t="shared" si="168"/>
        <v>1.978932943548152E-12</v>
      </c>
      <c r="BH171" s="62">
        <f t="shared" si="116"/>
        <v>293.3333333333353</v>
      </c>
      <c r="BI171" s="62">
        <f ca="1">AVERAGE(OFFSET($BH$3,0,0,'Données projet'!$E$11+1,1))-AVERAGE(OFFSET($H$3,0,0,'Données projet'!$E$11+1,1))</f>
        <v>295.83974441964551</v>
      </c>
      <c r="BJ171" s="62">
        <f t="shared" si="146"/>
        <v>212.24900914818096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0.10384689821259398</v>
      </c>
      <c r="BR171" s="23">
        <f>EXP(-LN(2)/2)*BR170+(1-EXP(-LN(2)/2))/(LN(2)/2)*BL171*BO171*VLOOKUP('Données projet'!$B$11,Paramètres!$A$1:$I$89,3,0)*0.475*44/12</f>
        <v>1.0497030163550898E-20</v>
      </c>
      <c r="BS171" s="24">
        <f t="shared" si="169"/>
        <v>0.10384689821259398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-1.1368683772161603E-13</v>
      </c>
      <c r="O172" s="14">
        <f>N172*VLOOKUP('Données projet'!$B$9,Paramètres!$A$1:$I$89,3,0)*VLOOKUP('Données projet'!$B$9,Paramètres!$A$1:$I$89,5,0)</f>
        <v>-5.3205440053716299E-14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193.05670375142864</v>
      </c>
      <c r="T172" s="62">
        <f t="shared" si="142"/>
        <v>259.12914184994344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1.1017532139433794</v>
      </c>
      <c r="AA172" s="23">
        <f>EXP(-LN(2)/25)*AA171+(1-EXP(-LN(2)/25))/(LN(2)/25)*Calculateur!V172*Calculateur!X172*VLOOKUP('Données projet'!$B$9,Paramètres!$A$1:$I$89,3,0)*0.475*44/12</f>
        <v>0.13181425250999482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1.2335674664533742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645.99999999999955</v>
      </c>
      <c r="AJ172" s="14">
        <f>AI172*VLOOKUP('Données projet'!$B$10,Paramètres!$A$1:$I$89,3,0)*VLOOKUP('Données projet'!$B$10,Paramètres!$A$1:$I$89,5,0)</f>
        <v>361.11399999999975</v>
      </c>
      <c r="AK172" s="14">
        <f t="shared" si="164"/>
        <v>83.846819063373673</v>
      </c>
      <c r="AL172" s="22">
        <f t="shared" si="165"/>
        <v>774.97342653537532</v>
      </c>
      <c r="AM172" s="62">
        <f t="shared" si="113"/>
        <v>1068.3067598687087</v>
      </c>
      <c r="AN172" s="62">
        <f ca="1">AVERAGE(OFFSET($AM$3,0,0,'Données projet'!$E$10+1,1))-AVERAGE(OFFSET($H$3,0,0,'Données projet'!$E$10+1,1))</f>
        <v>512.21337090113502</v>
      </c>
      <c r="AO172" s="62">
        <f t="shared" si="144"/>
        <v>621.03633124474163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0.38618799839535312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2.9686228323019255E-20</v>
      </c>
      <c r="AX172" s="23">
        <f t="shared" si="166"/>
        <v>0.38618799839535312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1.1368683772161603E-13</v>
      </c>
      <c r="BE172" s="14">
        <f>BD172*VLOOKUP('Données projet'!$B$11,Paramètres!$A$1:$I$89,3,0)*VLOOKUP('Données projet'!$B$11,Paramètres!$A$1:$I$89,5,0)</f>
        <v>6.7984728957526396E-14</v>
      </c>
      <c r="BF172" s="14">
        <f t="shared" si="167"/>
        <v>1.0682447123141398E-12</v>
      </c>
      <c r="BG172" s="22">
        <f t="shared" si="168"/>
        <v>1.978932943548152E-12</v>
      </c>
      <c r="BH172" s="62">
        <f t="shared" si="116"/>
        <v>293.3333333333353</v>
      </c>
      <c r="BI172" s="62">
        <f ca="1">AVERAGE(OFFSET($BH$3,0,0,'Données projet'!$E$11+1,1))-AVERAGE(OFFSET($H$3,0,0,'Données projet'!$E$11+1,1))</f>
        <v>295.83974441964551</v>
      </c>
      <c r="BJ172" s="62">
        <f t="shared" si="146"/>
        <v>212.24900914818096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0.10100719931989956</v>
      </c>
      <c r="BR172" s="23">
        <f>EXP(-LN(2)/2)*BR171+(1-EXP(-LN(2)/2))/(LN(2)/2)*BL172*BO172*VLOOKUP('Données projet'!$B$11,Paramètres!$A$1:$I$89,3,0)*0.475*44/12</f>
        <v>7.4225212109665741E-21</v>
      </c>
      <c r="BS172" s="24">
        <f t="shared" si="169"/>
        <v>0.10100719931989956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-1.1368683772161603E-13</v>
      </c>
      <c r="O173" s="14">
        <f>N173*VLOOKUP('Données projet'!$B$9,Paramètres!$A$1:$I$89,3,0)*VLOOKUP('Données projet'!$B$9,Paramètres!$A$1:$I$89,5,0)</f>
        <v>-5.3205440053716299E-14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193.05670375142864</v>
      </c>
      <c r="T173" s="62">
        <f t="shared" si="142"/>
        <v>259.12914184994344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1.0801485054210556</v>
      </c>
      <c r="AA173" s="23">
        <f>EXP(-LN(2)/25)*AA172+(1-EXP(-LN(2)/25))/(LN(2)/25)*Calculateur!V173*Calculateur!X173*VLOOKUP('Données projet'!$B$9,Paramètres!$A$1:$I$89,3,0)*0.475*44/12</f>
        <v>0.12820978484329873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1.2083582902643544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645.99999999999955</v>
      </c>
      <c r="AJ173" s="14">
        <f>AI173*VLOOKUP('Données projet'!$B$10,Paramètres!$A$1:$I$89,3,0)*VLOOKUP('Données projet'!$B$10,Paramètres!$A$1:$I$89,5,0)</f>
        <v>361.11399999999975</v>
      </c>
      <c r="AK173" s="14">
        <f t="shared" si="164"/>
        <v>83.846819063373673</v>
      </c>
      <c r="AL173" s="22">
        <f t="shared" si="165"/>
        <v>774.97342653537532</v>
      </c>
      <c r="AM173" s="62">
        <f t="shared" si="113"/>
        <v>1068.3067598687087</v>
      </c>
      <c r="AN173" s="62">
        <f ca="1">AVERAGE(OFFSET($AM$3,0,0,'Données projet'!$E$10+1,1))-AVERAGE(OFFSET($H$3,0,0,'Données projet'!$E$10+1,1))</f>
        <v>512.21337090113502</v>
      </c>
      <c r="AO173" s="62">
        <f t="shared" si="144"/>
        <v>621.03633124474163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0.3786150872982405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2.0991333355059066E-20</v>
      </c>
      <c r="AX173" s="23">
        <f t="shared" si="166"/>
        <v>0.3786150872982405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1.1368683772161603E-13</v>
      </c>
      <c r="BE173" s="14">
        <f>BD173*VLOOKUP('Données projet'!$B$11,Paramètres!$A$1:$I$89,3,0)*VLOOKUP('Données projet'!$B$11,Paramètres!$A$1:$I$89,5,0)</f>
        <v>6.7984728957526396E-14</v>
      </c>
      <c r="BF173" s="14">
        <f t="shared" si="167"/>
        <v>1.0682447123141398E-12</v>
      </c>
      <c r="BG173" s="22">
        <f t="shared" si="168"/>
        <v>1.978932943548152E-12</v>
      </c>
      <c r="BH173" s="62">
        <f t="shared" si="116"/>
        <v>293.3333333333353</v>
      </c>
      <c r="BI173" s="62">
        <f ca="1">AVERAGE(OFFSET($BH$3,0,0,'Données projet'!$E$11+1,1))-AVERAGE(OFFSET($H$3,0,0,'Données projet'!$E$11+1,1))</f>
        <v>295.83974441964551</v>
      </c>
      <c r="BJ173" s="62">
        <f t="shared" si="146"/>
        <v>212.24900914818096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9.824515214275914E-2</v>
      </c>
      <c r="BR173" s="23">
        <f>EXP(-LN(2)/2)*BR172+(1-EXP(-LN(2)/2))/(LN(2)/2)*BL173*BO173*VLOOKUP('Données projet'!$B$11,Paramètres!$A$1:$I$89,3,0)*0.475*44/12</f>
        <v>5.2485150817754491E-21</v>
      </c>
      <c r="BS173" s="24">
        <f t="shared" si="169"/>
        <v>9.824515214275914E-2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-1.1368683772161603E-13</v>
      </c>
      <c r="O174" s="14">
        <f>N174*VLOOKUP('Données projet'!$B$9,Paramètres!$A$1:$I$89,3,0)*VLOOKUP('Données projet'!$B$9,Paramètres!$A$1:$I$89,5,0)</f>
        <v>-5.3205440053716299E-14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193.05670375142864</v>
      </c>
      <c r="T174" s="62">
        <f t="shared" si="142"/>
        <v>259.12914184994344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1.0589674520552834</v>
      </c>
      <c r="AA174" s="23">
        <f>EXP(-LN(2)/25)*AA173+(1-EXP(-LN(2)/25))/(LN(2)/25)*Calculateur!V174*Calculateur!X174*VLOOKUP('Données projet'!$B$9,Paramètres!$A$1:$I$89,3,0)*0.475*44/12</f>
        <v>0.12470388153449917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1.1836713335897826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645.99999999999955</v>
      </c>
      <c r="AJ174" s="14">
        <f>AI174*VLOOKUP('Données projet'!$B$10,Paramètres!$A$1:$I$89,3,0)*VLOOKUP('Données projet'!$B$10,Paramètres!$A$1:$I$89,5,0)</f>
        <v>361.11399999999975</v>
      </c>
      <c r="AK174" s="14">
        <f t="shared" si="164"/>
        <v>83.846819063373673</v>
      </c>
      <c r="AL174" s="22">
        <f t="shared" si="165"/>
        <v>774.97342653537532</v>
      </c>
      <c r="AM174" s="62">
        <f t="shared" si="113"/>
        <v>1068.3067598687087</v>
      </c>
      <c r="AN174" s="62">
        <f ca="1">AVERAGE(OFFSET($AM$3,0,0,'Données projet'!$E$10+1,1))-AVERAGE(OFFSET($H$3,0,0,'Données projet'!$E$10+1,1))</f>
        <v>512.21337090113502</v>
      </c>
      <c r="AO174" s="62">
        <f t="shared" si="144"/>
        <v>621.03633124474163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0.37119067636872261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1.4843114161509627E-20</v>
      </c>
      <c r="AX174" s="23">
        <f t="shared" si="166"/>
        <v>0.37119067636872261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1.1368683772161603E-13</v>
      </c>
      <c r="BE174" s="14">
        <f>BD174*VLOOKUP('Données projet'!$B$11,Paramètres!$A$1:$I$89,3,0)*VLOOKUP('Données projet'!$B$11,Paramètres!$A$1:$I$89,5,0)</f>
        <v>6.7984728957526396E-14</v>
      </c>
      <c r="BF174" s="14">
        <f t="shared" si="167"/>
        <v>1.0682447123141398E-12</v>
      </c>
      <c r="BG174" s="22">
        <f t="shared" si="168"/>
        <v>1.978932943548152E-12</v>
      </c>
      <c r="BH174" s="62">
        <f t="shared" si="116"/>
        <v>293.3333333333353</v>
      </c>
      <c r="BI174" s="62">
        <f ca="1">AVERAGE(OFFSET($BH$3,0,0,'Données projet'!$E$11+1,1))-AVERAGE(OFFSET($H$3,0,0,'Données projet'!$E$11+1,1))</f>
        <v>295.83974441964551</v>
      </c>
      <c r="BJ174" s="62">
        <f t="shared" si="146"/>
        <v>212.24900914818096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9.5558633290927383E-2</v>
      </c>
      <c r="BR174" s="23">
        <f>EXP(-LN(2)/2)*BR173+(1-EXP(-LN(2)/2))/(LN(2)/2)*BL174*BO174*VLOOKUP('Données projet'!$B$11,Paramètres!$A$1:$I$89,3,0)*0.475*44/12</f>
        <v>3.711260605483287E-21</v>
      </c>
      <c r="BS174" s="24">
        <f t="shared" si="169"/>
        <v>9.5558633290927383E-2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-1.1368683772161603E-13</v>
      </c>
      <c r="O175" s="14">
        <f>N175*VLOOKUP('Données projet'!$B$9,Paramètres!$A$1:$I$89,3,0)*VLOOKUP('Données projet'!$B$9,Paramètres!$A$1:$I$89,5,0)</f>
        <v>-5.3205440053716299E-14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193.05670375142864</v>
      </c>
      <c r="T175" s="62">
        <f t="shared" si="142"/>
        <v>259.12914184994344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1.0382017462268471</v>
      </c>
      <c r="AA175" s="23">
        <f>EXP(-LN(2)/25)*AA174+(1-EXP(-LN(2)/25))/(LN(2)/25)*Calculateur!V175*Calculateur!X175*VLOOKUP('Données projet'!$B$9,Paramètres!$A$1:$I$89,3,0)*0.475*44/12</f>
        <v>0.12129384733604617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1.1594955935628932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645.99999999999955</v>
      </c>
      <c r="AJ175" s="14">
        <f>AI175*VLOOKUP('Données projet'!$B$10,Paramètres!$A$1:$I$89,3,0)*VLOOKUP('Données projet'!$B$10,Paramètres!$A$1:$I$89,5,0)</f>
        <v>361.11399999999975</v>
      </c>
      <c r="AK175" s="14">
        <f t="shared" si="164"/>
        <v>83.846819063373673</v>
      </c>
      <c r="AL175" s="22">
        <f t="shared" si="165"/>
        <v>774.97342653537532</v>
      </c>
      <c r="AM175" s="62">
        <f t="shared" si="113"/>
        <v>1068.3067598687087</v>
      </c>
      <c r="AN175" s="62">
        <f ca="1">AVERAGE(OFFSET($AM$3,0,0,'Données projet'!$E$10+1,1))-AVERAGE(OFFSET($H$3,0,0,'Données projet'!$E$10+1,1))</f>
        <v>512.21337090113502</v>
      </c>
      <c r="AO175" s="62">
        <f t="shared" si="144"/>
        <v>621.03633124474163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0.36391185360908901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1.0495666677529533E-20</v>
      </c>
      <c r="AX175" s="23">
        <f t="shared" si="166"/>
        <v>0.36391185360908901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1.1368683772161603E-13</v>
      </c>
      <c r="BE175" s="14">
        <f>BD175*VLOOKUP('Données projet'!$B$11,Paramètres!$A$1:$I$89,3,0)*VLOOKUP('Données projet'!$B$11,Paramètres!$A$1:$I$89,5,0)</f>
        <v>6.7984728957526396E-14</v>
      </c>
      <c r="BF175" s="14">
        <f t="shared" si="167"/>
        <v>1.0682447123141398E-12</v>
      </c>
      <c r="BG175" s="22">
        <f t="shared" si="168"/>
        <v>1.978932943548152E-12</v>
      </c>
      <c r="BH175" s="62">
        <f t="shared" si="116"/>
        <v>293.3333333333353</v>
      </c>
      <c r="BI175" s="62">
        <f ca="1">AVERAGE(OFFSET($BH$3,0,0,'Données projet'!$E$11+1,1))-AVERAGE(OFFSET($H$3,0,0,'Données projet'!$E$11+1,1))</f>
        <v>295.83974441964551</v>
      </c>
      <c r="BJ175" s="62">
        <f t="shared" si="146"/>
        <v>212.24900914818096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9.294557743837685E-2</v>
      </c>
      <c r="BR175" s="23">
        <f>EXP(-LN(2)/2)*BR174+(1-EXP(-LN(2)/2))/(LN(2)/2)*BL175*BO175*VLOOKUP('Données projet'!$B$11,Paramètres!$A$1:$I$89,3,0)*0.475*44/12</f>
        <v>2.6242575408877245E-21</v>
      </c>
      <c r="BS175" s="24">
        <f t="shared" si="169"/>
        <v>9.294557743837685E-2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-1.1368683772161603E-13</v>
      </c>
      <c r="O176" s="14">
        <f>N176*VLOOKUP('Données projet'!$B$9,Paramètres!$A$1:$I$89,3,0)*VLOOKUP('Données projet'!$B$9,Paramètres!$A$1:$I$89,5,0)</f>
        <v>-5.3205440053716299E-14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193.05670375142864</v>
      </c>
      <c r="T176" s="62">
        <f t="shared" si="142"/>
        <v>259.12914184994344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1.0178432432238766</v>
      </c>
      <c r="AA176" s="23">
        <f>EXP(-LN(2)/25)*AA175+(1-EXP(-LN(2)/25))/(LN(2)/25)*Calculateur!V176*Calculateur!X176*VLOOKUP('Données projet'!$B$9,Paramètres!$A$1:$I$89,3,0)*0.475*44/12</f>
        <v>0.11797706070207578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1.1358203039259525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645.99999999999955</v>
      </c>
      <c r="AJ176" s="14">
        <f>AI176*VLOOKUP('Données projet'!$B$10,Paramètres!$A$1:$I$89,3,0)*VLOOKUP('Données projet'!$B$10,Paramètres!$A$1:$I$89,5,0)</f>
        <v>361.11399999999975</v>
      </c>
      <c r="AK176" s="14">
        <f t="shared" si="164"/>
        <v>83.846819063373673</v>
      </c>
      <c r="AL176" s="22">
        <f t="shared" si="165"/>
        <v>774.97342653537532</v>
      </c>
      <c r="AM176" s="62">
        <f t="shared" si="113"/>
        <v>1068.3067598687087</v>
      </c>
      <c r="AN176" s="62">
        <f ca="1">AVERAGE(OFFSET($AM$3,0,0,'Données projet'!$E$10+1,1))-AVERAGE(OFFSET($H$3,0,0,'Données projet'!$E$10+1,1))</f>
        <v>512.21337090113502</v>
      </c>
      <c r="AO176" s="62">
        <f t="shared" si="144"/>
        <v>621.03633124474163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0.35677576412412831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7.4215570807548137E-21</v>
      </c>
      <c r="AX176" s="23">
        <f t="shared" si="166"/>
        <v>0.35677576412412831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1.1368683772161603E-13</v>
      </c>
      <c r="BE176" s="14">
        <f>BD176*VLOOKUP('Données projet'!$B$11,Paramètres!$A$1:$I$89,3,0)*VLOOKUP('Données projet'!$B$11,Paramètres!$A$1:$I$89,5,0)</f>
        <v>6.7984728957526396E-14</v>
      </c>
      <c r="BF176" s="14">
        <f t="shared" si="167"/>
        <v>1.0682447123141398E-12</v>
      </c>
      <c r="BG176" s="22">
        <f t="shared" si="168"/>
        <v>1.978932943548152E-12</v>
      </c>
      <c r="BH176" s="62">
        <f t="shared" si="116"/>
        <v>293.3333333333353</v>
      </c>
      <c r="BI176" s="62">
        <f ca="1">AVERAGE(OFFSET($BH$3,0,0,'Données projet'!$E$11+1,1))-AVERAGE(OFFSET($H$3,0,0,'Données projet'!$E$11+1,1))</f>
        <v>295.83974441964551</v>
      </c>
      <c r="BJ176" s="62">
        <f t="shared" si="146"/>
        <v>212.24900914818096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9.0403975735528941E-2</v>
      </c>
      <c r="BR176" s="23">
        <f>EXP(-LN(2)/2)*BR175+(1-EXP(-LN(2)/2))/(LN(2)/2)*BL176*BO176*VLOOKUP('Données projet'!$B$11,Paramètres!$A$1:$I$89,3,0)*0.475*44/12</f>
        <v>1.8556303027416435E-21</v>
      </c>
      <c r="BS176" s="24">
        <f t="shared" si="169"/>
        <v>9.0403975735528941E-2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-1.1368683772161603E-13</v>
      </c>
      <c r="O177" s="14">
        <f>N177*VLOOKUP('Données projet'!$B$9,Paramètres!$A$1:$I$89,3,0)*VLOOKUP('Données projet'!$B$9,Paramètres!$A$1:$I$89,5,0)</f>
        <v>-5.3205440053716299E-14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193.05670375142864</v>
      </c>
      <c r="T177" s="62">
        <f t="shared" si="142"/>
        <v>259.12914184994344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0.99788395804733365</v>
      </c>
      <c r="AA177" s="23">
        <f>EXP(-LN(2)/25)*AA176+(1-EXP(-LN(2)/25))/(LN(2)/25)*Calculateur!V177*Calculateur!X177*VLOOKUP('Données projet'!$B$9,Paramètres!$A$1:$I$89,3,0)*0.475*44/12</f>
        <v>0.11475097177303353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1.1126349298203673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645.99999999999955</v>
      </c>
      <c r="AJ177" s="14">
        <f>AI177*VLOOKUP('Données projet'!$B$10,Paramètres!$A$1:$I$89,3,0)*VLOOKUP('Données projet'!$B$10,Paramètres!$A$1:$I$89,5,0)</f>
        <v>361.11399999999975</v>
      </c>
      <c r="AK177" s="14">
        <f t="shared" si="164"/>
        <v>83.846819063373673</v>
      </c>
      <c r="AL177" s="22">
        <f t="shared" si="165"/>
        <v>774.97342653537532</v>
      </c>
      <c r="AM177" s="62">
        <f t="shared" si="113"/>
        <v>1068.3067598687087</v>
      </c>
      <c r="AN177" s="62">
        <f ca="1">AVERAGE(OFFSET($AM$3,0,0,'Données projet'!$E$10+1,1))-AVERAGE(OFFSET($H$3,0,0,'Données projet'!$E$10+1,1))</f>
        <v>512.21337090113502</v>
      </c>
      <c r="AO177" s="62">
        <f t="shared" si="144"/>
        <v>621.03633124474163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0.34977960900138289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5.2478333387647665E-21</v>
      </c>
      <c r="AX177" s="23">
        <f t="shared" si="166"/>
        <v>0.34977960900138289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1.1368683772161603E-13</v>
      </c>
      <c r="BE177" s="14">
        <f>BD177*VLOOKUP('Données projet'!$B$11,Paramètres!$A$1:$I$89,3,0)*VLOOKUP('Données projet'!$B$11,Paramètres!$A$1:$I$89,5,0)</f>
        <v>6.7984728957526396E-14</v>
      </c>
      <c r="BF177" s="14">
        <f t="shared" si="167"/>
        <v>1.0682447123141398E-12</v>
      </c>
      <c r="BG177" s="22">
        <f t="shared" si="168"/>
        <v>1.978932943548152E-12</v>
      </c>
      <c r="BH177" s="62">
        <f t="shared" si="116"/>
        <v>293.3333333333353</v>
      </c>
      <c r="BI177" s="62">
        <f ca="1">AVERAGE(OFFSET($BH$3,0,0,'Données projet'!$E$11+1,1))-AVERAGE(OFFSET($H$3,0,0,'Données projet'!$E$11+1,1))</f>
        <v>295.83974441964551</v>
      </c>
      <c r="BJ177" s="62">
        <f t="shared" si="146"/>
        <v>212.24900914818096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8.793187426490244E-2</v>
      </c>
      <c r="BR177" s="23">
        <f>EXP(-LN(2)/2)*BR176+(1-EXP(-LN(2)/2))/(LN(2)/2)*BL177*BO177*VLOOKUP('Données projet'!$B$11,Paramètres!$A$1:$I$89,3,0)*0.475*44/12</f>
        <v>1.3121287704438623E-21</v>
      </c>
      <c r="BS177" s="24">
        <f t="shared" si="169"/>
        <v>8.793187426490244E-2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-1.1368683772161603E-13</v>
      </c>
      <c r="O178" s="14">
        <f>N178*VLOOKUP('Données projet'!$B$9,Paramètres!$A$1:$I$89,3,0)*VLOOKUP('Données projet'!$B$9,Paramètres!$A$1:$I$89,5,0)</f>
        <v>-5.3205440053716299E-14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193.05670375142864</v>
      </c>
      <c r="T178" s="62">
        <f t="shared" si="142"/>
        <v>259.12914184994344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0.9783160622791407</v>
      </c>
      <c r="AA178" s="23">
        <f>EXP(-LN(2)/25)*AA177+(1-EXP(-LN(2)/25))/(LN(2)/25)*Calculateur!V178*Calculateur!X178*VLOOKUP('Données projet'!$B$9,Paramètres!$A$1:$I$89,3,0)*0.475*44/12</f>
        <v>0.11161310041540859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1.0899291626945493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645.99999999999955</v>
      </c>
      <c r="AJ178" s="14">
        <f>AI178*VLOOKUP('Données projet'!$B$10,Paramètres!$A$1:$I$89,3,0)*VLOOKUP('Données projet'!$B$10,Paramètres!$A$1:$I$89,5,0)</f>
        <v>361.11399999999975</v>
      </c>
      <c r="AK178" s="14">
        <f t="shared" si="164"/>
        <v>83.846819063373673</v>
      </c>
      <c r="AL178" s="22">
        <f t="shared" si="165"/>
        <v>774.97342653537532</v>
      </c>
      <c r="AM178" s="62">
        <f t="shared" si="113"/>
        <v>1068.3067598687087</v>
      </c>
      <c r="AN178" s="62">
        <f ca="1">AVERAGE(OFFSET($AM$3,0,0,'Données projet'!$E$10+1,1))-AVERAGE(OFFSET($H$3,0,0,'Données projet'!$E$10+1,1))</f>
        <v>512.21337090113502</v>
      </c>
      <c r="AO178" s="62">
        <f t="shared" si="144"/>
        <v>621.03633124474163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0.34292064421336121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3.7107785403774068E-21</v>
      </c>
      <c r="AX178" s="23">
        <f t="shared" si="166"/>
        <v>0.34292064421336121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1.1368683772161603E-13</v>
      </c>
      <c r="BE178" s="14">
        <f>BD178*VLOOKUP('Données projet'!$B$11,Paramètres!$A$1:$I$89,3,0)*VLOOKUP('Données projet'!$B$11,Paramètres!$A$1:$I$89,5,0)</f>
        <v>6.7984728957526396E-14</v>
      </c>
      <c r="BF178" s="14">
        <f t="shared" si="167"/>
        <v>1.0682447123141398E-12</v>
      </c>
      <c r="BG178" s="22">
        <f t="shared" si="168"/>
        <v>1.978932943548152E-12</v>
      </c>
      <c r="BH178" s="62">
        <f t="shared" si="116"/>
        <v>293.3333333333353</v>
      </c>
      <c r="BI178" s="62">
        <f ca="1">AVERAGE(OFFSET($BH$3,0,0,'Données projet'!$E$11+1,1))-AVERAGE(OFFSET($H$3,0,0,'Données projet'!$E$11+1,1))</f>
        <v>295.83974441964551</v>
      </c>
      <c r="BJ178" s="62">
        <f t="shared" si="146"/>
        <v>212.24900914818096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8.5527372538992383E-2</v>
      </c>
      <c r="BR178" s="23">
        <f>EXP(-LN(2)/2)*BR177+(1-EXP(-LN(2)/2))/(LN(2)/2)*BL178*BO178*VLOOKUP('Données projet'!$B$11,Paramètres!$A$1:$I$89,3,0)*0.475*44/12</f>
        <v>9.2781515137082176E-22</v>
      </c>
      <c r="BS178" s="24">
        <f t="shared" si="169"/>
        <v>8.5527372538992383E-2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-1.1368683772161603E-13</v>
      </c>
      <c r="O179" s="14">
        <f>N179*VLOOKUP('Données projet'!$B$9,Paramètres!$A$1:$I$89,3,0)*VLOOKUP('Données projet'!$B$9,Paramètres!$A$1:$I$89,5,0)</f>
        <v>-5.3205440053716299E-14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193.05670375142864</v>
      </c>
      <c r="T179" s="62">
        <f t="shared" si="142"/>
        <v>259.12914184994344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0.95913188101172409</v>
      </c>
      <c r="AA179" s="23">
        <f>EXP(-LN(2)/25)*AA178+(1-EXP(-LN(2)/25))/(LN(2)/25)*Calculateur!V179*Calculateur!X179*VLOOKUP('Données projet'!$B$9,Paramètres!$A$1:$I$89,3,0)*0.475*44/12</f>
        <v>0.10856103431507139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1.0676929153267956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645.99999999999955</v>
      </c>
      <c r="AJ179" s="14">
        <f>AI179*VLOOKUP('Données projet'!$B$10,Paramètres!$A$1:$I$89,3,0)*VLOOKUP('Données projet'!$B$10,Paramètres!$A$1:$I$89,5,0)</f>
        <v>361.11399999999975</v>
      </c>
      <c r="AK179" s="14">
        <f t="shared" si="164"/>
        <v>83.846819063373673</v>
      </c>
      <c r="AL179" s="22">
        <f t="shared" si="165"/>
        <v>774.97342653537532</v>
      </c>
      <c r="AM179" s="62">
        <f t="shared" si="113"/>
        <v>1068.3067598687087</v>
      </c>
      <c r="AN179" s="62">
        <f ca="1">AVERAGE(OFFSET($AM$3,0,0,'Données projet'!$E$10+1,1))-AVERAGE(OFFSET($H$3,0,0,'Données projet'!$E$10+1,1))</f>
        <v>512.21337090113502</v>
      </c>
      <c r="AO179" s="62">
        <f t="shared" si="144"/>
        <v>621.03633124474163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0.33619617954127723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2.6239166693823832E-21</v>
      </c>
      <c r="AX179" s="23">
        <f t="shared" si="166"/>
        <v>0.33619617954127723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1.1368683772161603E-13</v>
      </c>
      <c r="BE179" s="14">
        <f>BD179*VLOOKUP('Données projet'!$B$11,Paramètres!$A$1:$I$89,3,0)*VLOOKUP('Données projet'!$B$11,Paramètres!$A$1:$I$89,5,0)</f>
        <v>6.7984728957526396E-14</v>
      </c>
      <c r="BF179" s="14">
        <f t="shared" si="167"/>
        <v>1.0682447123141398E-12</v>
      </c>
      <c r="BG179" s="22">
        <f t="shared" si="168"/>
        <v>1.978932943548152E-12</v>
      </c>
      <c r="BH179" s="62">
        <f t="shared" si="116"/>
        <v>293.3333333333353</v>
      </c>
      <c r="BI179" s="62">
        <f ca="1">AVERAGE(OFFSET($BH$3,0,0,'Données projet'!$E$11+1,1))-AVERAGE(OFFSET($H$3,0,0,'Données projet'!$E$11+1,1))</f>
        <v>295.83974441964551</v>
      </c>
      <c r="BJ179" s="62">
        <f t="shared" si="146"/>
        <v>212.24900914818096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8.3188622039224586E-2</v>
      </c>
      <c r="BR179" s="23">
        <f>EXP(-LN(2)/2)*BR178+(1-EXP(-LN(2)/2))/(LN(2)/2)*BL179*BO179*VLOOKUP('Données projet'!$B$11,Paramètres!$A$1:$I$89,3,0)*0.475*44/12</f>
        <v>6.5606438522193113E-22</v>
      </c>
      <c r="BS179" s="24">
        <f t="shared" si="169"/>
        <v>8.3188622039224586E-2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-1.1368683772161603E-13</v>
      </c>
      <c r="O180" s="14">
        <f>N180*VLOOKUP('Données projet'!$B$9,Paramètres!$A$1:$I$89,3,0)*VLOOKUP('Données projet'!$B$9,Paramètres!$A$1:$I$89,5,0)</f>
        <v>-5.3205440053716299E-14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193.05670375142864</v>
      </c>
      <c r="T180" s="62">
        <f t="shared" si="142"/>
        <v>259.12914184994344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0.94032388983776638</v>
      </c>
      <c r="AA180" s="23">
        <f>EXP(-LN(2)/25)*AA179+(1-EXP(-LN(2)/25))/(LN(2)/25)*Calculateur!V180*Calculateur!X180*VLOOKUP('Données projet'!$B$9,Paramètres!$A$1:$I$89,3,0)*0.475*44/12</f>
        <v>0.10559242712274908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1.0459163169605155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645.99999999999955</v>
      </c>
      <c r="AJ180" s="14">
        <f>AI180*VLOOKUP('Données projet'!$B$10,Paramètres!$A$1:$I$89,3,0)*VLOOKUP('Données projet'!$B$10,Paramètres!$A$1:$I$89,5,0)</f>
        <v>361.11399999999975</v>
      </c>
      <c r="AK180" s="14">
        <f t="shared" si="164"/>
        <v>83.846819063373673</v>
      </c>
      <c r="AL180" s="22">
        <f t="shared" si="165"/>
        <v>774.97342653537532</v>
      </c>
      <c r="AM180" s="62">
        <f t="shared" si="113"/>
        <v>1068.3067598687087</v>
      </c>
      <c r="AN180" s="62">
        <f ca="1">AVERAGE(OFFSET($AM$3,0,0,'Données projet'!$E$10+1,1))-AVERAGE(OFFSET($H$3,0,0,'Données projet'!$E$10+1,1))</f>
        <v>512.21337090113502</v>
      </c>
      <c r="AO180" s="62">
        <f t="shared" si="144"/>
        <v>621.03633124474163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0.32960357751989439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1.8553892701887034E-21</v>
      </c>
      <c r="AX180" s="23">
        <f t="shared" si="166"/>
        <v>0.32960357751989439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1.1368683772161603E-13</v>
      </c>
      <c r="BE180" s="14">
        <f>BD180*VLOOKUP('Données projet'!$B$11,Paramètres!$A$1:$I$89,3,0)*VLOOKUP('Données projet'!$B$11,Paramètres!$A$1:$I$89,5,0)</f>
        <v>6.7984728957526396E-14</v>
      </c>
      <c r="BF180" s="14">
        <f t="shared" si="167"/>
        <v>1.0682447123141398E-12</v>
      </c>
      <c r="BG180" s="22">
        <f t="shared" si="168"/>
        <v>1.978932943548152E-12</v>
      </c>
      <c r="BH180" s="62">
        <f t="shared" si="116"/>
        <v>293.3333333333353</v>
      </c>
      <c r="BI180" s="62">
        <f ca="1">AVERAGE(OFFSET($BH$3,0,0,'Données projet'!$E$11+1,1))-AVERAGE(OFFSET($H$3,0,0,'Données projet'!$E$11+1,1))</f>
        <v>295.83974441964551</v>
      </c>
      <c r="BJ180" s="62">
        <f t="shared" si="146"/>
        <v>212.24900914818096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8.0913824794862491E-2</v>
      </c>
      <c r="BR180" s="23">
        <f>EXP(-LN(2)/2)*BR179+(1-EXP(-LN(2)/2))/(LN(2)/2)*BL180*BO180*VLOOKUP('Données projet'!$B$11,Paramètres!$A$1:$I$89,3,0)*0.475*44/12</f>
        <v>4.6390757568541088E-22</v>
      </c>
      <c r="BS180" s="24">
        <f t="shared" si="169"/>
        <v>8.0913824794862491E-2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-1.1368683772161603E-13</v>
      </c>
      <c r="O181" s="14">
        <f>N181*VLOOKUP('Données projet'!$B$9,Paramètres!$A$1:$I$89,3,0)*VLOOKUP('Données projet'!$B$9,Paramètres!$A$1:$I$89,5,0)</f>
        <v>-5.3205440053716299E-14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193.05670375142864</v>
      </c>
      <c r="T181" s="62">
        <f t="shared" si="142"/>
        <v>259.12914184994344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0.92188471189898813</v>
      </c>
      <c r="AA181" s="23">
        <f>EXP(-LN(2)/25)*AA180+(1-EXP(-LN(2)/25))/(LN(2)/25)*Calculateur!V181*Calculateur!X181*VLOOKUP('Données projet'!$B$9,Paramètres!$A$1:$I$89,3,0)*0.475*44/12</f>
        <v>0.1027049966502131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1.0245897085492013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645.99999999999955</v>
      </c>
      <c r="AJ181" s="14">
        <f>AI181*VLOOKUP('Données projet'!$B$10,Paramètres!$A$1:$I$89,3,0)*VLOOKUP('Données projet'!$B$10,Paramètres!$A$1:$I$89,5,0)</f>
        <v>361.11399999999975</v>
      </c>
      <c r="AK181" s="14">
        <f t="shared" si="164"/>
        <v>83.846819063373673</v>
      </c>
      <c r="AL181" s="22">
        <f t="shared" si="165"/>
        <v>774.97342653537532</v>
      </c>
      <c r="AM181" s="62">
        <f t="shared" si="113"/>
        <v>1068.3067598687087</v>
      </c>
      <c r="AN181" s="62">
        <f ca="1">AVERAGE(OFFSET($AM$3,0,0,'Données projet'!$E$10+1,1))-AVERAGE(OFFSET($H$3,0,0,'Données projet'!$E$10+1,1))</f>
        <v>512.21337090113502</v>
      </c>
      <c r="AO181" s="62">
        <f t="shared" si="144"/>
        <v>621.03633124474163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0.32314025240306066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1.3119583346911916E-21</v>
      </c>
      <c r="AX181" s="23">
        <f t="shared" si="166"/>
        <v>0.32314025240306066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1.1368683772161603E-13</v>
      </c>
      <c r="BE181" s="14">
        <f>BD181*VLOOKUP('Données projet'!$B$11,Paramètres!$A$1:$I$89,3,0)*VLOOKUP('Données projet'!$B$11,Paramètres!$A$1:$I$89,5,0)</f>
        <v>6.7984728957526396E-14</v>
      </c>
      <c r="BF181" s="14">
        <f t="shared" si="167"/>
        <v>1.0682447123141398E-12</v>
      </c>
      <c r="BG181" s="22">
        <f t="shared" si="168"/>
        <v>1.978932943548152E-12</v>
      </c>
      <c r="BH181" s="62">
        <f t="shared" si="116"/>
        <v>293.3333333333353</v>
      </c>
      <c r="BI181" s="62">
        <f ca="1">AVERAGE(OFFSET($BH$3,0,0,'Données projet'!$E$11+1,1))-AVERAGE(OFFSET($H$3,0,0,'Données projet'!$E$11+1,1))</f>
        <v>295.83974441964551</v>
      </c>
      <c r="BJ181" s="62">
        <f t="shared" si="146"/>
        <v>212.24900914818096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7.8701232000773863E-2</v>
      </c>
      <c r="BR181" s="23">
        <f>EXP(-LN(2)/2)*BR180+(1-EXP(-LN(2)/2))/(LN(2)/2)*BL181*BO181*VLOOKUP('Données projet'!$B$11,Paramètres!$A$1:$I$89,3,0)*0.475*44/12</f>
        <v>3.2803219261096557E-22</v>
      </c>
      <c r="BS181" s="24">
        <f t="shared" si="169"/>
        <v>7.8701232000773863E-2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-1.1368683772161603E-13</v>
      </c>
      <c r="O182" s="14">
        <f>N182*VLOOKUP('Données projet'!$B$9,Paramètres!$A$1:$I$89,3,0)*VLOOKUP('Données projet'!$B$9,Paramètres!$A$1:$I$89,5,0)</f>
        <v>-5.3205440053716299E-14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193.05670375142864</v>
      </c>
      <c r="T182" s="62">
        <f t="shared" si="142"/>
        <v>259.12914184994344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0.90380711499280131</v>
      </c>
      <c r="AA182" s="23">
        <f>EXP(-LN(2)/25)*AA181+(1-EXP(-LN(2)/25))/(LN(2)/25)*Calculateur!V182*Calculateur!X182*VLOOKUP('Données projet'!$B$9,Paramètres!$A$1:$I$89,3,0)*0.475*44/12</f>
        <v>9.9896523115791988E-2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1.0037036381085933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645.99999999999955</v>
      </c>
      <c r="AJ182" s="14">
        <f>AI182*VLOOKUP('Données projet'!$B$10,Paramètres!$A$1:$I$89,3,0)*VLOOKUP('Données projet'!$B$10,Paramètres!$A$1:$I$89,5,0)</f>
        <v>361.11399999999975</v>
      </c>
      <c r="AK182" s="14">
        <f t="shared" si="164"/>
        <v>83.846819063373673</v>
      </c>
      <c r="AL182" s="22">
        <f t="shared" si="165"/>
        <v>774.97342653537532</v>
      </c>
      <c r="AM182" s="62">
        <f t="shared" si="113"/>
        <v>1068.3067598687087</v>
      </c>
      <c r="AN182" s="62">
        <f ca="1">AVERAGE(OFFSET($AM$3,0,0,'Données projet'!$E$10+1,1))-AVERAGE(OFFSET($H$3,0,0,'Données projet'!$E$10+1,1))</f>
        <v>512.21337090113502</v>
      </c>
      <c r="AO182" s="62">
        <f t="shared" si="144"/>
        <v>621.03633124474163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0.31680366914952895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9.2769463509435171E-22</v>
      </c>
      <c r="AX182" s="23">
        <f t="shared" si="166"/>
        <v>0.31680366914952895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1.1368683772161603E-13</v>
      </c>
      <c r="BE182" s="14">
        <f>BD182*VLOOKUP('Données projet'!$B$11,Paramètres!$A$1:$I$89,3,0)*VLOOKUP('Données projet'!$B$11,Paramètres!$A$1:$I$89,5,0)</f>
        <v>6.7984728957526396E-14</v>
      </c>
      <c r="BF182" s="14">
        <f t="shared" si="167"/>
        <v>1.0682447123141398E-12</v>
      </c>
      <c r="BG182" s="22">
        <f t="shared" si="168"/>
        <v>1.978932943548152E-12</v>
      </c>
      <c r="BH182" s="62">
        <f t="shared" si="116"/>
        <v>293.3333333333353</v>
      </c>
      <c r="BI182" s="62">
        <f ca="1">AVERAGE(OFFSET($BH$3,0,0,'Données projet'!$E$11+1,1))-AVERAGE(OFFSET($H$3,0,0,'Données projet'!$E$11+1,1))</f>
        <v>295.83974441964551</v>
      </c>
      <c r="BJ182" s="62">
        <f t="shared" si="146"/>
        <v>212.24900914818096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7.6549142672994785E-2</v>
      </c>
      <c r="BR182" s="23">
        <f>EXP(-LN(2)/2)*BR181+(1-EXP(-LN(2)/2))/(LN(2)/2)*BL182*BO182*VLOOKUP('Données projet'!$B$11,Paramètres!$A$1:$I$89,3,0)*0.475*44/12</f>
        <v>2.3195378784270544E-22</v>
      </c>
      <c r="BS182" s="24">
        <f t="shared" si="169"/>
        <v>7.6549142672994785E-2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-1.1368683772161603E-13</v>
      </c>
      <c r="O183" s="14">
        <f>N183*VLOOKUP('Données projet'!$B$9,Paramètres!$A$1:$I$89,3,0)*VLOOKUP('Données projet'!$B$9,Paramètres!$A$1:$I$89,5,0)</f>
        <v>-5.3205440053716299E-14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193.05670375142864</v>
      </c>
      <c r="T183" s="62">
        <f t="shared" si="142"/>
        <v>259.12914184994344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0.88608400873569948</v>
      </c>
      <c r="AA183" s="23">
        <f>EXP(-LN(2)/25)*AA182+(1-EXP(-LN(2)/25))/(LN(2)/25)*Calculateur!V183*Calculateur!X183*VLOOKUP('Données projet'!$B$9,Paramètres!$A$1:$I$89,3,0)*0.475*44/12</f>
        <v>9.7164847437860816E-2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0.98324885617356028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645.99999999999955</v>
      </c>
      <c r="AJ183" s="14">
        <f>AI183*VLOOKUP('Données projet'!$B$10,Paramètres!$A$1:$I$89,3,0)*VLOOKUP('Données projet'!$B$10,Paramètres!$A$1:$I$89,5,0)</f>
        <v>361.11399999999975</v>
      </c>
      <c r="AK183" s="14">
        <f t="shared" si="164"/>
        <v>83.846819063373673</v>
      </c>
      <c r="AL183" s="22">
        <f t="shared" si="165"/>
        <v>774.97342653537532</v>
      </c>
      <c r="AM183" s="62">
        <f t="shared" si="113"/>
        <v>1068.3067598687087</v>
      </c>
      <c r="AN183" s="62">
        <f ca="1">AVERAGE(OFFSET($AM$3,0,0,'Données projet'!$E$10+1,1))-AVERAGE(OFFSET($H$3,0,0,'Données projet'!$E$10+1,1))</f>
        <v>512.21337090113502</v>
      </c>
      <c r="AO183" s="62">
        <f t="shared" si="144"/>
        <v>621.03633124474163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0.31059134242866487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6.5597916734559581E-22</v>
      </c>
      <c r="AX183" s="23">
        <f t="shared" si="166"/>
        <v>0.31059134242866487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1.1368683772161603E-13</v>
      </c>
      <c r="BE183" s="14">
        <f>BD183*VLOOKUP('Données projet'!$B$11,Paramètres!$A$1:$I$89,3,0)*VLOOKUP('Données projet'!$B$11,Paramètres!$A$1:$I$89,5,0)</f>
        <v>6.7984728957526396E-14</v>
      </c>
      <c r="BF183" s="14">
        <f t="shared" si="167"/>
        <v>1.0682447123141398E-12</v>
      </c>
      <c r="BG183" s="22">
        <f t="shared" si="168"/>
        <v>1.978932943548152E-12</v>
      </c>
      <c r="BH183" s="62">
        <f t="shared" si="116"/>
        <v>293.3333333333353</v>
      </c>
      <c r="BI183" s="62">
        <f ca="1">AVERAGE(OFFSET($BH$3,0,0,'Données projet'!$E$11+1,1))-AVERAGE(OFFSET($H$3,0,0,'Données projet'!$E$11+1,1))</f>
        <v>295.83974441964551</v>
      </c>
      <c r="BJ183" s="62">
        <f t="shared" si="146"/>
        <v>212.24900914818096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7.4455902341057284E-2</v>
      </c>
      <c r="BR183" s="23">
        <f>EXP(-LN(2)/2)*BR182+(1-EXP(-LN(2)/2))/(LN(2)/2)*BL183*BO183*VLOOKUP('Données projet'!$B$11,Paramètres!$A$1:$I$89,3,0)*0.475*44/12</f>
        <v>1.6401609630548278E-22</v>
      </c>
      <c r="BS183" s="24">
        <f t="shared" si="169"/>
        <v>7.4455902341057284E-2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-1.1368683772161603E-13</v>
      </c>
      <c r="O184" s="14">
        <f>N184*VLOOKUP('Données projet'!$B$9,Paramètres!$A$1:$I$89,3,0)*VLOOKUP('Données projet'!$B$9,Paramètres!$A$1:$I$89,5,0)</f>
        <v>-5.3205440053716299E-14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193.05670375142864</v>
      </c>
      <c r="T184" s="62">
        <f t="shared" si="142"/>
        <v>259.12914184994344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0.86870844178227191</v>
      </c>
      <c r="AA184" s="23">
        <f>EXP(-LN(2)/25)*AA183+(1-EXP(-LN(2)/25))/(LN(2)/25)*Calculateur!V184*Calculateur!X184*VLOOKUP('Données projet'!$B$9,Paramètres!$A$1:$I$89,3,0)*0.475*44/12</f>
        <v>9.4507869574995254E-2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0.96321631135726715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645.99999999999955</v>
      </c>
      <c r="AJ184" s="14">
        <f>AI184*VLOOKUP('Données projet'!$B$10,Paramètres!$A$1:$I$89,3,0)*VLOOKUP('Données projet'!$B$10,Paramètres!$A$1:$I$89,5,0)</f>
        <v>361.11399999999975</v>
      </c>
      <c r="AK184" s="14">
        <f t="shared" si="164"/>
        <v>83.846819063373673</v>
      </c>
      <c r="AL184" s="22">
        <f t="shared" si="165"/>
        <v>774.97342653537532</v>
      </c>
      <c r="AM184" s="62">
        <f t="shared" si="113"/>
        <v>1068.3067598687087</v>
      </c>
      <c r="AN184" s="62">
        <f ca="1">AVERAGE(OFFSET($AM$3,0,0,'Données projet'!$E$10+1,1))-AVERAGE(OFFSET($H$3,0,0,'Données projet'!$E$10+1,1))</f>
        <v>512.21337090113502</v>
      </c>
      <c r="AO184" s="62">
        <f t="shared" si="144"/>
        <v>621.03633124474163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0.30450083564565178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4.6384731754717585E-22</v>
      </c>
      <c r="AX184" s="23">
        <f t="shared" si="166"/>
        <v>0.30450083564565178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1.1368683772161603E-13</v>
      </c>
      <c r="BE184" s="14">
        <f>BD184*VLOOKUP('Données projet'!$B$11,Paramètres!$A$1:$I$89,3,0)*VLOOKUP('Données projet'!$B$11,Paramètres!$A$1:$I$89,5,0)</f>
        <v>6.7984728957526396E-14</v>
      </c>
      <c r="BF184" s="14">
        <f t="shared" si="167"/>
        <v>1.0682447123141398E-12</v>
      </c>
      <c r="BG184" s="22">
        <f t="shared" si="168"/>
        <v>1.978932943548152E-12</v>
      </c>
      <c r="BH184" s="62">
        <f t="shared" si="116"/>
        <v>293.3333333333353</v>
      </c>
      <c r="BI184" s="62">
        <f ca="1">AVERAGE(OFFSET($BH$3,0,0,'Données projet'!$E$11+1,1))-AVERAGE(OFFSET($H$3,0,0,'Données projet'!$E$11+1,1))</f>
        <v>295.83974441964551</v>
      </c>
      <c r="BJ184" s="62">
        <f t="shared" si="146"/>
        <v>212.24900914818096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7.2419901776075338E-2</v>
      </c>
      <c r="BR184" s="23">
        <f>EXP(-LN(2)/2)*BR183+(1-EXP(-LN(2)/2))/(LN(2)/2)*BL184*BO184*VLOOKUP('Données projet'!$B$11,Paramètres!$A$1:$I$89,3,0)*0.475*44/12</f>
        <v>1.1597689392135272E-22</v>
      </c>
      <c r="BS184" s="24">
        <f t="shared" si="169"/>
        <v>7.2419901776075338E-2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-1.1368683772161603E-13</v>
      </c>
      <c r="O185" s="14">
        <f>N185*VLOOKUP('Données projet'!$B$9,Paramètres!$A$1:$I$89,3,0)*VLOOKUP('Données projet'!$B$9,Paramètres!$A$1:$I$89,5,0)</f>
        <v>-5.3205440053716299E-14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193.05670375142864</v>
      </c>
      <c r="T185" s="62">
        <f t="shared" si="142"/>
        <v>259.12914184994344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0.85167359909875173</v>
      </c>
      <c r="AA185" s="23">
        <f>EXP(-LN(2)/25)*AA184+(1-EXP(-LN(2)/25))/(LN(2)/25)*Calculateur!V185*Calculateur!X185*VLOOKUP('Données projet'!$B$9,Paramètres!$A$1:$I$89,3,0)*0.475*44/12</f>
        <v>9.1923546911514151E-2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0.9435971460102659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645.99999999999955</v>
      </c>
      <c r="AJ185" s="14">
        <f>AI185*VLOOKUP('Données projet'!$B$10,Paramètres!$A$1:$I$89,3,0)*VLOOKUP('Données projet'!$B$10,Paramètres!$A$1:$I$89,5,0)</f>
        <v>361.11399999999975</v>
      </c>
      <c r="AK185" s="14">
        <f t="shared" si="164"/>
        <v>83.846819063373673</v>
      </c>
      <c r="AL185" s="22">
        <f t="shared" si="165"/>
        <v>774.97342653537532</v>
      </c>
      <c r="AM185" s="62">
        <f t="shared" si="113"/>
        <v>1068.3067598687087</v>
      </c>
      <c r="AN185" s="62">
        <f ca="1">AVERAGE(OFFSET($AM$3,0,0,'Données projet'!$E$10+1,1))-AVERAGE(OFFSET($H$3,0,0,'Données projet'!$E$10+1,1))</f>
        <v>512.21337090113502</v>
      </c>
      <c r="AO185" s="62">
        <f t="shared" si="144"/>
        <v>621.03633124474163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0.29852975998581127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3.279895836727979E-22</v>
      </c>
      <c r="AX185" s="23">
        <f t="shared" si="166"/>
        <v>0.29852975998581127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1.1368683772161603E-13</v>
      </c>
      <c r="BE185" s="14">
        <f>BD185*VLOOKUP('Données projet'!$B$11,Paramètres!$A$1:$I$89,3,0)*VLOOKUP('Données projet'!$B$11,Paramètres!$A$1:$I$89,5,0)</f>
        <v>6.7984728957526396E-14</v>
      </c>
      <c r="BF185" s="14">
        <f t="shared" si="167"/>
        <v>1.0682447123141398E-12</v>
      </c>
      <c r="BG185" s="22">
        <f t="shared" si="168"/>
        <v>1.978932943548152E-12</v>
      </c>
      <c r="BH185" s="62">
        <f t="shared" si="116"/>
        <v>293.3333333333353</v>
      </c>
      <c r="BI185" s="62">
        <f ca="1">AVERAGE(OFFSET($BH$3,0,0,'Données projet'!$E$11+1,1))-AVERAGE(OFFSET($H$3,0,0,'Données projet'!$E$11+1,1))</f>
        <v>295.83974441964551</v>
      </c>
      <c r="BJ185" s="62">
        <f t="shared" si="146"/>
        <v>212.24900914818096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7.0439575753611441E-2</v>
      </c>
      <c r="BR185" s="23">
        <f>EXP(-LN(2)/2)*BR184+(1-EXP(-LN(2)/2))/(LN(2)/2)*BL185*BO185*VLOOKUP('Données projet'!$B$11,Paramètres!$A$1:$I$89,3,0)*0.475*44/12</f>
        <v>8.2008048152741392E-23</v>
      </c>
      <c r="BS185" s="24">
        <f t="shared" si="169"/>
        <v>7.0439575753611441E-2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-1.1368683772161603E-13</v>
      </c>
      <c r="O186" s="14">
        <f>N186*VLOOKUP('Données projet'!$B$9,Paramètres!$A$1:$I$89,3,0)*VLOOKUP('Données projet'!$B$9,Paramètres!$A$1:$I$89,5,0)</f>
        <v>-5.3205440053716299E-14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193.05670375142864</v>
      </c>
      <c r="T186" s="62">
        <f t="shared" si="142"/>
        <v>259.12914184994344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0.83497279929002732</v>
      </c>
      <c r="AA186" s="23">
        <f>EXP(-LN(2)/25)*AA185+(1-EXP(-LN(2)/25))/(LN(2)/25)*Calculateur!V186*Calculateur!X186*VLOOKUP('Données projet'!$B$9,Paramètres!$A$1:$I$89,3,0)*0.475*44/12</f>
        <v>8.9409892687169562E-2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0.92438269197719691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645.99999999999955</v>
      </c>
      <c r="AJ186" s="14">
        <f>AI186*VLOOKUP('Données projet'!$B$10,Paramètres!$A$1:$I$89,3,0)*VLOOKUP('Données projet'!$B$10,Paramètres!$A$1:$I$89,5,0)</f>
        <v>361.11399999999975</v>
      </c>
      <c r="AK186" s="14">
        <f t="shared" si="164"/>
        <v>83.846819063373673</v>
      </c>
      <c r="AL186" s="22">
        <f t="shared" si="165"/>
        <v>774.97342653537532</v>
      </c>
      <c r="AM186" s="62">
        <f t="shared" si="113"/>
        <v>1068.3067598687087</v>
      </c>
      <c r="AN186" s="62">
        <f ca="1">AVERAGE(OFFSET($AM$3,0,0,'Données projet'!$E$10+1,1))-AVERAGE(OFFSET($H$3,0,0,'Données projet'!$E$10+1,1))</f>
        <v>512.21337090113502</v>
      </c>
      <c r="AO186" s="62">
        <f t="shared" si="144"/>
        <v>621.03633124474163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0.29267577347766366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2.3192365877358793E-22</v>
      </c>
      <c r="AX186" s="23">
        <f t="shared" si="166"/>
        <v>0.29267577347766366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1.1368683772161603E-13</v>
      </c>
      <c r="BE186" s="14">
        <f>BD186*VLOOKUP('Données projet'!$B$11,Paramètres!$A$1:$I$89,3,0)*VLOOKUP('Données projet'!$B$11,Paramètres!$A$1:$I$89,5,0)</f>
        <v>6.7984728957526396E-14</v>
      </c>
      <c r="BF186" s="14">
        <f t="shared" si="167"/>
        <v>1.0682447123141398E-12</v>
      </c>
      <c r="BG186" s="22">
        <f t="shared" si="168"/>
        <v>1.978932943548152E-12</v>
      </c>
      <c r="BH186" s="62">
        <f t="shared" si="116"/>
        <v>293.3333333333353</v>
      </c>
      <c r="BI186" s="62">
        <f ca="1">AVERAGE(OFFSET($BH$3,0,0,'Données projet'!$E$11+1,1))-AVERAGE(OFFSET($H$3,0,0,'Données projet'!$E$11+1,1))</f>
        <v>295.83974441964551</v>
      </c>
      <c r="BJ186" s="62">
        <f t="shared" si="146"/>
        <v>212.24900914818096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6.8513401850372635E-2</v>
      </c>
      <c r="BR186" s="23">
        <f>EXP(-LN(2)/2)*BR185+(1-EXP(-LN(2)/2))/(LN(2)/2)*BL186*BO186*VLOOKUP('Données projet'!$B$11,Paramètres!$A$1:$I$89,3,0)*0.475*44/12</f>
        <v>5.798844696067636E-23</v>
      </c>
      <c r="BS186" s="24">
        <f t="shared" si="169"/>
        <v>6.8513401850372635E-2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-1.1368683772161603E-13</v>
      </c>
      <c r="O187" s="14">
        <f>N187*VLOOKUP('Données projet'!$B$9,Paramètres!$A$1:$I$89,3,0)*VLOOKUP('Données projet'!$B$9,Paramètres!$A$1:$I$89,5,0)</f>
        <v>-5.3205440053716299E-14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193.05670375142864</v>
      </c>
      <c r="T187" s="62">
        <f t="shared" si="142"/>
        <v>259.12914184994344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0.81859949197906989</v>
      </c>
      <c r="AA187" s="23">
        <f>EXP(-LN(2)/25)*AA186+(1-EXP(-LN(2)/25))/(LN(2)/25)*Calculateur!V187*Calculateur!X187*VLOOKUP('Données projet'!$B$9,Paramètres!$A$1:$I$89,3,0)*0.475*44/12</f>
        <v>8.6964974469777009E-2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0.90556446644884692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645.99999999999955</v>
      </c>
      <c r="AJ187" s="14">
        <f>AI187*VLOOKUP('Données projet'!$B$10,Paramètres!$A$1:$I$89,3,0)*VLOOKUP('Données projet'!$B$10,Paramètres!$A$1:$I$89,5,0)</f>
        <v>361.11399999999975</v>
      </c>
      <c r="AK187" s="14">
        <f t="shared" si="164"/>
        <v>83.846819063373673</v>
      </c>
      <c r="AL187" s="22">
        <f t="shared" si="165"/>
        <v>774.97342653537532</v>
      </c>
      <c r="AM187" s="62">
        <f t="shared" si="113"/>
        <v>1068.3067598687087</v>
      </c>
      <c r="AN187" s="62">
        <f ca="1">AVERAGE(OFFSET($AM$3,0,0,'Données projet'!$E$10+1,1))-AVERAGE(OFFSET($H$3,0,0,'Données projet'!$E$10+1,1))</f>
        <v>512.21337090113502</v>
      </c>
      <c r="AO187" s="62">
        <f t="shared" si="144"/>
        <v>621.03633124474163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0.28693658007436162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1.6399479183639895E-22</v>
      </c>
      <c r="AX187" s="23">
        <f t="shared" si="166"/>
        <v>0.28693658007436162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1.1368683772161603E-13</v>
      </c>
      <c r="BE187" s="14">
        <f>BD187*VLOOKUP('Données projet'!$B$11,Paramètres!$A$1:$I$89,3,0)*VLOOKUP('Données projet'!$B$11,Paramètres!$A$1:$I$89,5,0)</f>
        <v>6.7984728957526396E-14</v>
      </c>
      <c r="BF187" s="14">
        <f t="shared" si="167"/>
        <v>1.0682447123141398E-12</v>
      </c>
      <c r="BG187" s="22">
        <f t="shared" si="168"/>
        <v>1.978932943548152E-12</v>
      </c>
      <c r="BH187" s="62">
        <f t="shared" si="116"/>
        <v>293.3333333333353</v>
      </c>
      <c r="BI187" s="62">
        <f ca="1">AVERAGE(OFFSET($BH$3,0,0,'Données projet'!$E$11+1,1))-AVERAGE(OFFSET($H$3,0,0,'Données projet'!$E$11+1,1))</f>
        <v>295.83974441964551</v>
      </c>
      <c r="BJ187" s="62">
        <f t="shared" si="146"/>
        <v>212.24900914818096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6.6639899273810976E-2</v>
      </c>
      <c r="BR187" s="23">
        <f>EXP(-LN(2)/2)*BR186+(1-EXP(-LN(2)/2))/(LN(2)/2)*BL187*BO187*VLOOKUP('Données projet'!$B$11,Paramètres!$A$1:$I$89,3,0)*0.475*44/12</f>
        <v>4.1004024076370696E-23</v>
      </c>
      <c r="BS187" s="24">
        <f t="shared" si="169"/>
        <v>6.6639899273810976E-2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-1.1368683772161603E-13</v>
      </c>
      <c r="O188" s="14">
        <f>N188*VLOOKUP('Données projet'!$B$9,Paramètres!$A$1:$I$89,3,0)*VLOOKUP('Données projet'!$B$9,Paramètres!$A$1:$I$89,5,0)</f>
        <v>-5.3205440053716299E-14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193.05670375142864</v>
      </c>
      <c r="T188" s="62">
        <f t="shared" si="142"/>
        <v>259.12914184994344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0.80254725523774906</v>
      </c>
      <c r="AA188" s="23">
        <f>EXP(-LN(2)/25)*AA187+(1-EXP(-LN(2)/25))/(LN(2)/25)*Calculateur!V188*Calculateur!X188*VLOOKUP('Données projet'!$B$9,Paramètres!$A$1:$I$89,3,0)*0.475*44/12</f>
        <v>8.4586912669611714E-2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0.88713416790736077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645.99999999999955</v>
      </c>
      <c r="AJ188" s="14">
        <f>AI188*VLOOKUP('Données projet'!$B$10,Paramètres!$A$1:$I$89,3,0)*VLOOKUP('Données projet'!$B$10,Paramètres!$A$1:$I$89,5,0)</f>
        <v>361.11399999999975</v>
      </c>
      <c r="AK188" s="14">
        <f t="shared" si="164"/>
        <v>83.846819063373673</v>
      </c>
      <c r="AL188" s="22">
        <f t="shared" si="165"/>
        <v>774.97342653537532</v>
      </c>
      <c r="AM188" s="62">
        <f t="shared" si="113"/>
        <v>1068.3067598687087</v>
      </c>
      <c r="AN188" s="62">
        <f ca="1">AVERAGE(OFFSET($AM$3,0,0,'Données projet'!$E$10+1,1))-AVERAGE(OFFSET($H$3,0,0,'Données projet'!$E$10+1,1))</f>
        <v>512.21337090113502</v>
      </c>
      <c r="AO188" s="62">
        <f t="shared" si="144"/>
        <v>621.03633124474163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0.28130992875313604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1.1596182938679396E-22</v>
      </c>
      <c r="AX188" s="23">
        <f t="shared" si="166"/>
        <v>0.28130992875313604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1.1368683772161603E-13</v>
      </c>
      <c r="BE188" s="14">
        <f>BD188*VLOOKUP('Données projet'!$B$11,Paramètres!$A$1:$I$89,3,0)*VLOOKUP('Données projet'!$B$11,Paramètres!$A$1:$I$89,5,0)</f>
        <v>6.7984728957526396E-14</v>
      </c>
      <c r="BF188" s="14">
        <f t="shared" si="167"/>
        <v>1.0682447123141398E-12</v>
      </c>
      <c r="BG188" s="22">
        <f t="shared" si="168"/>
        <v>1.978932943548152E-12</v>
      </c>
      <c r="BH188" s="62">
        <f t="shared" si="116"/>
        <v>293.3333333333353</v>
      </c>
      <c r="BI188" s="62">
        <f ca="1">AVERAGE(OFFSET($BH$3,0,0,'Données projet'!$E$11+1,1))-AVERAGE(OFFSET($H$3,0,0,'Données projet'!$E$11+1,1))</f>
        <v>295.83974441964551</v>
      </c>
      <c r="BJ188" s="62">
        <f t="shared" si="146"/>
        <v>212.24900914818096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6.4817627723728621E-2</v>
      </c>
      <c r="BR188" s="23">
        <f>EXP(-LN(2)/2)*BR187+(1-EXP(-LN(2)/2))/(LN(2)/2)*BL188*BO188*VLOOKUP('Données projet'!$B$11,Paramètres!$A$1:$I$89,3,0)*0.475*44/12</f>
        <v>2.899422348033818E-23</v>
      </c>
      <c r="BS188" s="24">
        <f t="shared" si="169"/>
        <v>6.4817627723728621E-2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-1.1368683772161603E-13</v>
      </c>
      <c r="O189" s="14">
        <f>N189*VLOOKUP('Données projet'!$B$9,Paramètres!$A$1:$I$89,3,0)*VLOOKUP('Données projet'!$B$9,Paramètres!$A$1:$I$89,5,0)</f>
        <v>-5.3205440053716299E-14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193.05670375142864</v>
      </c>
      <c r="T189" s="62">
        <f t="shared" si="142"/>
        <v>259.12914184994344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0.7868097930680279</v>
      </c>
      <c r="AA189" s="23">
        <f>EXP(-LN(2)/25)*AA188+(1-EXP(-LN(2)/25))/(LN(2)/25)*Calculateur!V189*Calculateur!X189*VLOOKUP('Données projet'!$B$9,Paramètres!$A$1:$I$89,3,0)*0.475*44/12</f>
        <v>8.2273879094428765E-2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0.86908367216245663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645.99999999999955</v>
      </c>
      <c r="AJ189" s="14">
        <f>AI189*VLOOKUP('Données projet'!$B$10,Paramètres!$A$1:$I$89,3,0)*VLOOKUP('Données projet'!$B$10,Paramètres!$A$1:$I$89,5,0)</f>
        <v>361.11399999999975</v>
      </c>
      <c r="AK189" s="14">
        <f t="shared" si="164"/>
        <v>83.846819063373673</v>
      </c>
      <c r="AL189" s="22">
        <f t="shared" si="165"/>
        <v>774.97342653537532</v>
      </c>
      <c r="AM189" s="62">
        <f t="shared" si="113"/>
        <v>1068.3067598687087</v>
      </c>
      <c r="AN189" s="62">
        <f ca="1">AVERAGE(OFFSET($AM$3,0,0,'Données projet'!$E$10+1,1))-AVERAGE(OFFSET($H$3,0,0,'Données projet'!$E$10+1,1))</f>
        <v>512.21337090113502</v>
      </c>
      <c r="AO189" s="62">
        <f t="shared" si="144"/>
        <v>621.03633124474163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0.27579361263240126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8.1997395918199476E-23</v>
      </c>
      <c r="AX189" s="23">
        <f t="shared" si="166"/>
        <v>0.27579361263240126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1.1368683772161603E-13</v>
      </c>
      <c r="BE189" s="14">
        <f>BD189*VLOOKUP('Données projet'!$B$11,Paramètres!$A$1:$I$89,3,0)*VLOOKUP('Données projet'!$B$11,Paramètres!$A$1:$I$89,5,0)</f>
        <v>6.7984728957526396E-14</v>
      </c>
      <c r="BF189" s="14">
        <f t="shared" si="167"/>
        <v>1.0682447123141398E-12</v>
      </c>
      <c r="BG189" s="22">
        <f t="shared" si="168"/>
        <v>1.978932943548152E-12</v>
      </c>
      <c r="BH189" s="62">
        <f t="shared" si="116"/>
        <v>293.3333333333353</v>
      </c>
      <c r="BI189" s="62">
        <f ca="1">AVERAGE(OFFSET($BH$3,0,0,'Données projet'!$E$11+1,1))-AVERAGE(OFFSET($H$3,0,0,'Données projet'!$E$11+1,1))</f>
        <v>295.83974441964551</v>
      </c>
      <c r="BJ189" s="62">
        <f t="shared" si="146"/>
        <v>212.24900914818096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6.3045186285012364E-2</v>
      </c>
      <c r="BR189" s="23">
        <f>EXP(-LN(2)/2)*BR188+(1-EXP(-LN(2)/2))/(LN(2)/2)*BL189*BO189*VLOOKUP('Données projet'!$B$11,Paramètres!$A$1:$I$89,3,0)*0.475*44/12</f>
        <v>2.0502012038185348E-23</v>
      </c>
      <c r="BS189" s="24">
        <f t="shared" si="169"/>
        <v>6.3045186285012364E-2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-1.1368683772161603E-13</v>
      </c>
      <c r="O190" s="14">
        <f>N190*VLOOKUP('Données projet'!$B$9,Paramètres!$A$1:$I$89,3,0)*VLOOKUP('Données projet'!$B$9,Paramètres!$A$1:$I$89,5,0)</f>
        <v>-5.3205440053716299E-14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193.05670375142864</v>
      </c>
      <c r="T190" s="62">
        <f t="shared" si="142"/>
        <v>259.12914184994344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0.77138093293255083</v>
      </c>
      <c r="AA190" s="23">
        <f>EXP(-LN(2)/25)*AA189+(1-EXP(-LN(2)/25))/(LN(2)/25)*Calculateur!V190*Calculateur!X190*VLOOKUP('Données projet'!$B$9,Paramètres!$A$1:$I$89,3,0)*0.475*44/12</f>
        <v>8.0024095543996351E-2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0.8514050284765472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645.99999999999955</v>
      </c>
      <c r="AJ190" s="14">
        <f>AI190*VLOOKUP('Données projet'!$B$10,Paramètres!$A$1:$I$89,3,0)*VLOOKUP('Données projet'!$B$10,Paramètres!$A$1:$I$89,5,0)</f>
        <v>361.11399999999975</v>
      </c>
      <c r="AK190" s="14">
        <f t="shared" si="164"/>
        <v>83.846819063373673</v>
      </c>
      <c r="AL190" s="22">
        <f t="shared" si="165"/>
        <v>774.97342653537532</v>
      </c>
      <c r="AM190" s="62">
        <f t="shared" si="113"/>
        <v>1068.3067598687087</v>
      </c>
      <c r="AN190" s="62">
        <f ca="1">AVERAGE(OFFSET($AM$3,0,0,'Données projet'!$E$10+1,1))-AVERAGE(OFFSET($H$3,0,0,'Données projet'!$E$10+1,1))</f>
        <v>512.21337090113502</v>
      </c>
      <c r="AO190" s="62">
        <f t="shared" si="144"/>
        <v>621.03633124474163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0.27038546810617348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5.7980914693396982E-23</v>
      </c>
      <c r="AX190" s="23">
        <f t="shared" si="166"/>
        <v>0.27038546810617348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1.1368683772161603E-13</v>
      </c>
      <c r="BE190" s="14">
        <f>BD190*VLOOKUP('Données projet'!$B$11,Paramètres!$A$1:$I$89,3,0)*VLOOKUP('Données projet'!$B$11,Paramètres!$A$1:$I$89,5,0)</f>
        <v>6.7984728957526396E-14</v>
      </c>
      <c r="BF190" s="14">
        <f t="shared" si="167"/>
        <v>1.0682447123141398E-12</v>
      </c>
      <c r="BG190" s="22">
        <f t="shared" si="168"/>
        <v>1.978932943548152E-12</v>
      </c>
      <c r="BH190" s="62">
        <f t="shared" si="116"/>
        <v>293.3333333333353</v>
      </c>
      <c r="BI190" s="62">
        <f ca="1">AVERAGE(OFFSET($BH$3,0,0,'Données projet'!$E$11+1,1))-AVERAGE(OFFSET($H$3,0,0,'Données projet'!$E$11+1,1))</f>
        <v>295.83974441964551</v>
      </c>
      <c r="BJ190" s="62">
        <f t="shared" si="146"/>
        <v>212.24900914818096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6.1321212350646449E-2</v>
      </c>
      <c r="BR190" s="23">
        <f>EXP(-LN(2)/2)*BR189+(1-EXP(-LN(2)/2))/(LN(2)/2)*BL190*BO190*VLOOKUP('Données projet'!$B$11,Paramètres!$A$1:$I$89,3,0)*0.475*44/12</f>
        <v>1.449711174016909E-23</v>
      </c>
      <c r="BS190" s="24">
        <f t="shared" si="169"/>
        <v>6.1321212350646449E-2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-1.1368683772161603E-13</v>
      </c>
      <c r="O191" s="14">
        <f>N191*VLOOKUP('Données projet'!$B$9,Paramètres!$A$1:$I$89,3,0)*VLOOKUP('Données projet'!$B$9,Paramètres!$A$1:$I$89,5,0)</f>
        <v>-5.3205440053716299E-14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193.05670375142864</v>
      </c>
      <c r="T191" s="62">
        <f t="shared" si="142"/>
        <v>259.12914184994344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0.75625462333365501</v>
      </c>
      <c r="AA191" s="23">
        <f>EXP(-LN(2)/25)*AA190+(1-EXP(-LN(2)/25))/(LN(2)/25)*Calculateur!V191*Calculateur!X191*VLOOKUP('Données projet'!$B$9,Paramètres!$A$1:$I$89,3,0)*0.475*44/12</f>
        <v>7.7835832443061484E-2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0.83409045577671648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645.99999999999955</v>
      </c>
      <c r="AJ191" s="14">
        <f>AI191*VLOOKUP('Données projet'!$B$10,Paramètres!$A$1:$I$89,3,0)*VLOOKUP('Données projet'!$B$10,Paramètres!$A$1:$I$89,5,0)</f>
        <v>361.11399999999975</v>
      </c>
      <c r="AK191" s="14">
        <f t="shared" si="164"/>
        <v>83.846819063373673</v>
      </c>
      <c r="AL191" s="22">
        <f t="shared" si="165"/>
        <v>774.97342653537532</v>
      </c>
      <c r="AM191" s="62">
        <f t="shared" si="113"/>
        <v>1068.3067598687087</v>
      </c>
      <c r="AN191" s="62">
        <f ca="1">AVERAGE(OFFSET($AM$3,0,0,'Données projet'!$E$10+1,1))-AVERAGE(OFFSET($H$3,0,0,'Données projet'!$E$10+1,1))</f>
        <v>512.21337090113502</v>
      </c>
      <c r="AO191" s="62">
        <f t="shared" si="144"/>
        <v>621.03633124474163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0.26508337399546256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4.0998697959099738E-23</v>
      </c>
      <c r="AX191" s="23">
        <f t="shared" si="166"/>
        <v>0.26508337399546256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1.1368683772161603E-13</v>
      </c>
      <c r="BE191" s="14">
        <f>BD191*VLOOKUP('Données projet'!$B$11,Paramètres!$A$1:$I$89,3,0)*VLOOKUP('Données projet'!$B$11,Paramètres!$A$1:$I$89,5,0)</f>
        <v>6.7984728957526396E-14</v>
      </c>
      <c r="BF191" s="14">
        <f t="shared" si="167"/>
        <v>1.0682447123141398E-12</v>
      </c>
      <c r="BG191" s="22">
        <f t="shared" si="168"/>
        <v>1.978932943548152E-12</v>
      </c>
      <c r="BH191" s="62">
        <f t="shared" si="116"/>
        <v>293.3333333333353</v>
      </c>
      <c r="BI191" s="62">
        <f ca="1">AVERAGE(OFFSET($BH$3,0,0,'Données projet'!$E$11+1,1))-AVERAGE(OFFSET($H$3,0,0,'Données projet'!$E$11+1,1))</f>
        <v>295.83974441964551</v>
      </c>
      <c r="BJ191" s="62">
        <f t="shared" si="146"/>
        <v>212.24900914818096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5.9644380574175614E-2</v>
      </c>
      <c r="BR191" s="23">
        <f>EXP(-LN(2)/2)*BR190+(1-EXP(-LN(2)/2))/(LN(2)/2)*BL191*BO191*VLOOKUP('Données projet'!$B$11,Paramètres!$A$1:$I$89,3,0)*0.475*44/12</f>
        <v>1.0251006019092674E-23</v>
      </c>
      <c r="BS191" s="24">
        <f t="shared" si="169"/>
        <v>5.9644380574175614E-2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-1.1368683772161603E-13</v>
      </c>
      <c r="O192" s="14">
        <f>N192*VLOOKUP('Données projet'!$B$9,Paramètres!$A$1:$I$89,3,0)*VLOOKUP('Données projet'!$B$9,Paramètres!$A$1:$I$89,5,0)</f>
        <v>-5.3205440053716299E-14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193.05670375142864</v>
      </c>
      <c r="T192" s="62">
        <f t="shared" si="142"/>
        <v>259.12914184994344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0.74142493143985566</v>
      </c>
      <c r="AA192" s="23">
        <f>EXP(-LN(2)/25)*AA191+(1-EXP(-LN(2)/25))/(LN(2)/25)*Calculateur!V192*Calculateur!X192*VLOOKUP('Données projet'!$B$9,Paramètres!$A$1:$I$89,3,0)*0.475*44/12</f>
        <v>7.5707407511697439E-2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0.81713233895155313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645.99999999999955</v>
      </c>
      <c r="AJ192" s="14">
        <f>AI192*VLOOKUP('Données projet'!$B$10,Paramètres!$A$1:$I$89,3,0)*VLOOKUP('Données projet'!$B$10,Paramètres!$A$1:$I$89,5,0)</f>
        <v>361.11399999999975</v>
      </c>
      <c r="AK192" s="14">
        <f t="shared" si="164"/>
        <v>83.846819063373673</v>
      </c>
      <c r="AL192" s="22">
        <f t="shared" si="165"/>
        <v>774.97342653537532</v>
      </c>
      <c r="AM192" s="62">
        <f t="shared" si="113"/>
        <v>1068.3067598687087</v>
      </c>
      <c r="AN192" s="62">
        <f ca="1">AVERAGE(OFFSET($AM$3,0,0,'Données projet'!$E$10+1,1))-AVERAGE(OFFSET($H$3,0,0,'Données projet'!$E$10+1,1))</f>
        <v>512.21337090113502</v>
      </c>
      <c r="AO192" s="62">
        <f t="shared" si="144"/>
        <v>621.03633124474163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0.25988525071630464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2.8990457346698491E-23</v>
      </c>
      <c r="AX192" s="23">
        <f t="shared" si="166"/>
        <v>0.25988525071630464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1.1368683772161603E-13</v>
      </c>
      <c r="BE192" s="14">
        <f>BD192*VLOOKUP('Données projet'!$B$11,Paramètres!$A$1:$I$89,3,0)*VLOOKUP('Données projet'!$B$11,Paramètres!$A$1:$I$89,5,0)</f>
        <v>6.7984728957526396E-14</v>
      </c>
      <c r="BF192" s="14">
        <f t="shared" si="167"/>
        <v>1.0682447123141398E-12</v>
      </c>
      <c r="BG192" s="22">
        <f t="shared" si="168"/>
        <v>1.978932943548152E-12</v>
      </c>
      <c r="BH192" s="62">
        <f t="shared" si="116"/>
        <v>293.3333333333353</v>
      </c>
      <c r="BI192" s="62">
        <f ca="1">AVERAGE(OFFSET($BH$3,0,0,'Données projet'!$E$11+1,1))-AVERAGE(OFFSET($H$3,0,0,'Données projet'!$E$11+1,1))</f>
        <v>295.83974441964551</v>
      </c>
      <c r="BJ192" s="62">
        <f t="shared" si="146"/>
        <v>212.24900914818096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5.8013401850813127E-2</v>
      </c>
      <c r="BR192" s="23">
        <f>EXP(-LN(2)/2)*BR191+(1-EXP(-LN(2)/2))/(LN(2)/2)*BL192*BO192*VLOOKUP('Données projet'!$B$11,Paramètres!$A$1:$I$89,3,0)*0.475*44/12</f>
        <v>7.248555870084545E-24</v>
      </c>
      <c r="BS192" s="24">
        <f t="shared" si="169"/>
        <v>5.8013401850813127E-2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-1.1368683772161603E-13</v>
      </c>
      <c r="O193" s="14">
        <f>N193*VLOOKUP('Données projet'!$B$9,Paramètres!$A$1:$I$89,3,0)*VLOOKUP('Données projet'!$B$9,Paramètres!$A$1:$I$89,5,0)</f>
        <v>-5.3205440053716299E-14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193.05670375142864</v>
      </c>
      <c r="T193" s="62">
        <f t="shared" si="142"/>
        <v>259.12914184994344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0.72688604075887475</v>
      </c>
      <c r="AA193" s="23">
        <f>EXP(-LN(2)/25)*AA192+(1-EXP(-LN(2)/25))/(LN(2)/25)*Calculateur!V193*Calculateur!X193*VLOOKUP('Données projet'!$B$9,Paramètres!$A$1:$I$89,3,0)*0.475*44/12</f>
        <v>7.3637184472010536E-2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0.80052322523088526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645.99999999999955</v>
      </c>
      <c r="AJ193" s="14">
        <f>AI193*VLOOKUP('Données projet'!$B$10,Paramètres!$A$1:$I$89,3,0)*VLOOKUP('Données projet'!$B$10,Paramètres!$A$1:$I$89,5,0)</f>
        <v>361.11399999999975</v>
      </c>
      <c r="AK193" s="14">
        <f t="shared" si="164"/>
        <v>83.846819063373673</v>
      </c>
      <c r="AL193" s="22">
        <f t="shared" si="165"/>
        <v>774.97342653537532</v>
      </c>
      <c r="AM193" s="62">
        <f t="shared" si="113"/>
        <v>1068.3067598687087</v>
      </c>
      <c r="AN193" s="62">
        <f ca="1">AVERAGE(OFFSET($AM$3,0,0,'Données projet'!$E$10+1,1))-AVERAGE(OFFSET($H$3,0,0,'Données projet'!$E$10+1,1))</f>
        <v>512.21337090113502</v>
      </c>
      <c r="AO193" s="62">
        <f t="shared" si="144"/>
        <v>621.03633124474163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0.25478905946410885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2.0499348979549869E-23</v>
      </c>
      <c r="AX193" s="23">
        <f t="shared" si="166"/>
        <v>0.25478905946410885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1.1368683772161603E-13</v>
      </c>
      <c r="BE193" s="14">
        <f>BD193*VLOOKUP('Données projet'!$B$11,Paramètres!$A$1:$I$89,3,0)*VLOOKUP('Données projet'!$B$11,Paramètres!$A$1:$I$89,5,0)</f>
        <v>6.7984728957526396E-14</v>
      </c>
      <c r="BF193" s="14">
        <f t="shared" si="167"/>
        <v>1.0682447123141398E-12</v>
      </c>
      <c r="BG193" s="22">
        <f t="shared" si="168"/>
        <v>1.978932943548152E-12</v>
      </c>
      <c r="BH193" s="62">
        <f t="shared" si="116"/>
        <v>293.3333333333353</v>
      </c>
      <c r="BI193" s="62">
        <f ca="1">AVERAGE(OFFSET($BH$3,0,0,'Données projet'!$E$11+1,1))-AVERAGE(OFFSET($H$3,0,0,'Données projet'!$E$11+1,1))</f>
        <v>295.83974441964551</v>
      </c>
      <c r="BJ193" s="62">
        <f t="shared" si="146"/>
        <v>212.24900914818096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5.6427022326410434E-2</v>
      </c>
      <c r="BR193" s="23">
        <f>EXP(-LN(2)/2)*BR192+(1-EXP(-LN(2)/2))/(LN(2)/2)*BL193*BO193*VLOOKUP('Données projet'!$B$11,Paramètres!$A$1:$I$89,3,0)*0.475*44/12</f>
        <v>5.125503009546337E-24</v>
      </c>
      <c r="BS193" s="24">
        <f t="shared" si="169"/>
        <v>5.6427022326410434E-2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-1.1368683772161603E-13</v>
      </c>
      <c r="O194" s="14">
        <f>N194*VLOOKUP('Données projet'!$B$9,Paramètres!$A$1:$I$89,3,0)*VLOOKUP('Données projet'!$B$9,Paramètres!$A$1:$I$89,5,0)</f>
        <v>-5.3205440053716299E-14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193.05670375142864</v>
      </c>
      <c r="T194" s="62">
        <f t="shared" si="142"/>
        <v>259.12914184994344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0.71263224885630028</v>
      </c>
      <c r="AA194" s="23">
        <f>EXP(-LN(2)/25)*AA193+(1-EXP(-LN(2)/25))/(LN(2)/25)*Calculateur!V194*Calculateur!X194*VLOOKUP('Données projet'!$B$9,Paramètres!$A$1:$I$89,3,0)*0.475*44/12</f>
        <v>7.162357179021217E-2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0.78425582064651245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645.99999999999955</v>
      </c>
      <c r="AJ194" s="14">
        <f>AI194*VLOOKUP('Données projet'!$B$10,Paramètres!$A$1:$I$89,3,0)*VLOOKUP('Données projet'!$B$10,Paramètres!$A$1:$I$89,5,0)</f>
        <v>361.11399999999975</v>
      </c>
      <c r="AK194" s="14">
        <f t="shared" si="164"/>
        <v>83.846819063373673</v>
      </c>
      <c r="AL194" s="22">
        <f t="shared" si="165"/>
        <v>774.97342653537532</v>
      </c>
      <c r="AM194" s="62">
        <f t="shared" si="113"/>
        <v>1068.3067598687087</v>
      </c>
      <c r="AN194" s="62">
        <f ca="1">AVERAGE(OFFSET($AM$3,0,0,'Données projet'!$E$10+1,1))-AVERAGE(OFFSET($H$3,0,0,'Données projet'!$E$10+1,1))</f>
        <v>512.21337090113502</v>
      </c>
      <c r="AO194" s="62">
        <f t="shared" si="144"/>
        <v>621.03633124474163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0.24979280141399887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1.4495228673349245E-23</v>
      </c>
      <c r="AX194" s="23">
        <f t="shared" si="166"/>
        <v>0.24979280141399887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1.1368683772161603E-13</v>
      </c>
      <c r="BE194" s="14">
        <f>BD194*VLOOKUP('Données projet'!$B$11,Paramètres!$A$1:$I$89,3,0)*VLOOKUP('Données projet'!$B$11,Paramètres!$A$1:$I$89,5,0)</f>
        <v>6.7984728957526396E-14</v>
      </c>
      <c r="BF194" s="14">
        <f t="shared" si="167"/>
        <v>1.0682447123141398E-12</v>
      </c>
      <c r="BG194" s="22">
        <f t="shared" si="168"/>
        <v>1.978932943548152E-12</v>
      </c>
      <c r="BH194" s="62">
        <f t="shared" si="116"/>
        <v>293.3333333333353</v>
      </c>
      <c r="BI194" s="62">
        <f ca="1">AVERAGE(OFFSET($BH$3,0,0,'Données projet'!$E$11+1,1))-AVERAGE(OFFSET($H$3,0,0,'Données projet'!$E$11+1,1))</f>
        <v>295.83974441964551</v>
      </c>
      <c r="BJ194" s="62">
        <f t="shared" si="146"/>
        <v>212.24900914818096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5.4884022433526601E-2</v>
      </c>
      <c r="BR194" s="23">
        <f>EXP(-LN(2)/2)*BR193+(1-EXP(-LN(2)/2))/(LN(2)/2)*BL194*BO194*VLOOKUP('Données projet'!$B$11,Paramètres!$A$1:$I$89,3,0)*0.475*44/12</f>
        <v>3.6242779350422725E-24</v>
      </c>
      <c r="BS194" s="24">
        <f t="shared" si="169"/>
        <v>5.4884022433526601E-2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-1.1368683772161603E-13</v>
      </c>
      <c r="O195" s="14">
        <f>N195*VLOOKUP('Données projet'!$B$9,Paramètres!$A$1:$I$89,3,0)*VLOOKUP('Données projet'!$B$9,Paramètres!$A$1:$I$89,5,0)</f>
        <v>-5.3205440053716299E-14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193.05670375142864</v>
      </c>
      <c r="T195" s="62">
        <f t="shared" si="142"/>
        <v>259.12914184994344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0.6986579651189806</v>
      </c>
      <c r="AA195" s="23">
        <f>EXP(-LN(2)/25)*AA194+(1-EXP(-LN(2)/25))/(LN(2)/25)*Calculateur!V195*Calculateur!X195*VLOOKUP('Données projet'!$B$9,Paramètres!$A$1:$I$89,3,0)*0.475*44/12</f>
        <v>6.9665021453088879E-2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0.76832298657206943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645.99999999999955</v>
      </c>
      <c r="AJ195" s="14">
        <f>AI195*VLOOKUP('Données projet'!$B$10,Paramètres!$A$1:$I$89,3,0)*VLOOKUP('Données projet'!$B$10,Paramètres!$A$1:$I$89,5,0)</f>
        <v>361.11399999999975</v>
      </c>
      <c r="AK195" s="14">
        <f t="shared" si="164"/>
        <v>83.846819063373673</v>
      </c>
      <c r="AL195" s="22">
        <f t="shared" si="165"/>
        <v>774.97342653537532</v>
      </c>
      <c r="AM195" s="62">
        <f t="shared" si="113"/>
        <v>1068.3067598687087</v>
      </c>
      <c r="AN195" s="62">
        <f ca="1">AVERAGE(OFFSET($AM$3,0,0,'Données projet'!$E$10+1,1))-AVERAGE(OFFSET($H$3,0,0,'Données projet'!$E$10+1,1))</f>
        <v>512.21337090113502</v>
      </c>
      <c r="AO195" s="62">
        <f t="shared" si="144"/>
        <v>621.03633124474163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0.24489451693683506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1.0249674489774935E-23</v>
      </c>
      <c r="AX195" s="23">
        <f t="shared" si="166"/>
        <v>0.24489451693683506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1.1368683772161603E-13</v>
      </c>
      <c r="BE195" s="14">
        <f>BD195*VLOOKUP('Données projet'!$B$11,Paramètres!$A$1:$I$89,3,0)*VLOOKUP('Données projet'!$B$11,Paramètres!$A$1:$I$89,5,0)</f>
        <v>6.7984728957526396E-14</v>
      </c>
      <c r="BF195" s="14">
        <f t="shared" si="167"/>
        <v>1.0682447123141398E-12</v>
      </c>
      <c r="BG195" s="22">
        <f t="shared" si="168"/>
        <v>1.978932943548152E-12</v>
      </c>
      <c r="BH195" s="62">
        <f t="shared" si="116"/>
        <v>293.3333333333353</v>
      </c>
      <c r="BI195" s="62">
        <f ca="1">AVERAGE(OFFSET($BH$3,0,0,'Données projet'!$E$11+1,1))-AVERAGE(OFFSET($H$3,0,0,'Données projet'!$E$11+1,1))</f>
        <v>295.83974441964551</v>
      </c>
      <c r="BJ195" s="62">
        <f t="shared" si="146"/>
        <v>212.24900914818096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5.3383215953856512E-2</v>
      </c>
      <c r="BR195" s="23">
        <f>EXP(-LN(2)/2)*BR194+(1-EXP(-LN(2)/2))/(LN(2)/2)*BL195*BO195*VLOOKUP('Données projet'!$B$11,Paramètres!$A$1:$I$89,3,0)*0.475*44/12</f>
        <v>2.5627515047731685E-24</v>
      </c>
      <c r="BS195" s="24">
        <f t="shared" si="169"/>
        <v>5.3383215953856512E-2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-1.1368683772161603E-13</v>
      </c>
      <c r="O196" s="14">
        <f>N196*VLOOKUP('Données projet'!$B$9,Paramètres!$A$1:$I$89,3,0)*VLOOKUP('Données projet'!$B$9,Paramètres!$A$1:$I$89,5,0)</f>
        <v>-5.3205440053716299E-14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193.05670375142864</v>
      </c>
      <c r="T196" s="62">
        <f t="shared" si="142"/>
        <v>259.12914184994344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0.68495770856227833</v>
      </c>
      <c r="AA196" s="23">
        <f>EXP(-LN(2)/25)*AA195+(1-EXP(-LN(2)/25))/(LN(2)/25)*Calculateur!V196*Calculateur!X196*VLOOKUP('Données projet'!$B$9,Paramètres!$A$1:$I$89,3,0)*0.475*44/12</f>
        <v>6.7760027777929902E-2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0.75271773634020822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645.99999999999955</v>
      </c>
      <c r="AJ196" s="14">
        <f>AI196*VLOOKUP('Données projet'!$B$10,Paramètres!$A$1:$I$89,3,0)*VLOOKUP('Données projet'!$B$10,Paramètres!$A$1:$I$89,5,0)</f>
        <v>361.11399999999975</v>
      </c>
      <c r="AK196" s="14">
        <f t="shared" si="164"/>
        <v>83.846819063373673</v>
      </c>
      <c r="AL196" s="22">
        <f t="shared" si="165"/>
        <v>774.97342653537532</v>
      </c>
      <c r="AM196" s="62">
        <f t="shared" ref="AM196:AM203" si="193">AL196+(AD196+AE196)*44/12</f>
        <v>1068.3067598687087</v>
      </c>
      <c r="AN196" s="62">
        <f ca="1">AVERAGE(OFFSET($AM$3,0,0,'Données projet'!$E$10+1,1))-AVERAGE(OFFSET($H$3,0,0,'Données projet'!$E$10+1,1))</f>
        <v>512.21337090113502</v>
      </c>
      <c r="AO196" s="62">
        <f t="shared" si="144"/>
        <v>621.03633124474163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0.2400922848306099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7.2476143366746227E-24</v>
      </c>
      <c r="AX196" s="23">
        <f t="shared" si="166"/>
        <v>0.2400922848306099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1.1368683772161603E-13</v>
      </c>
      <c r="BE196" s="14">
        <f>BD196*VLOOKUP('Données projet'!$B$11,Paramètres!$A$1:$I$89,3,0)*VLOOKUP('Données projet'!$B$11,Paramètres!$A$1:$I$89,5,0)</f>
        <v>6.7984728957526396E-14</v>
      </c>
      <c r="BF196" s="14">
        <f t="shared" si="167"/>
        <v>1.0682447123141398E-12</v>
      </c>
      <c r="BG196" s="22">
        <f t="shared" si="168"/>
        <v>1.978932943548152E-12</v>
      </c>
      <c r="BH196" s="62">
        <f t="shared" ref="BH196:BH203" si="194">BG196+(AY196+AZ196)*44/12</f>
        <v>293.3333333333353</v>
      </c>
      <c r="BI196" s="62">
        <f ca="1">AVERAGE(OFFSET($BH$3,0,0,'Données projet'!$E$11+1,1))-AVERAGE(OFFSET($H$3,0,0,'Données projet'!$E$11+1,1))</f>
        <v>295.83974441964551</v>
      </c>
      <c r="BJ196" s="62">
        <f t="shared" si="146"/>
        <v>212.24900914818096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5.1923449106296989E-2</v>
      </c>
      <c r="BR196" s="23">
        <f>EXP(-LN(2)/2)*BR195+(1-EXP(-LN(2)/2))/(LN(2)/2)*BL196*BO196*VLOOKUP('Données projet'!$B$11,Paramètres!$A$1:$I$89,3,0)*0.475*44/12</f>
        <v>1.8121389675211363E-24</v>
      </c>
      <c r="BS196" s="24">
        <f t="shared" si="169"/>
        <v>5.1923449106296989E-2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-1.1368683772161603E-13</v>
      </c>
      <c r="O197" s="14">
        <f>N197*VLOOKUP('Données projet'!$B$9,Paramètres!$A$1:$I$89,3,0)*VLOOKUP('Données projet'!$B$9,Paramètres!$A$1:$I$89,5,0)</f>
        <v>-5.3205440053716299E-14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193.05670375142864</v>
      </c>
      <c r="T197" s="62">
        <f t="shared" ref="T197:T203" si="204">$T$3</f>
        <v>259.12914184994344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0.67152610568032167</v>
      </c>
      <c r="AA197" s="23">
        <f>EXP(-LN(2)/25)*AA196+(1-EXP(-LN(2)/25))/(LN(2)/25)*Calculateur!V197*Calculateur!X197*VLOOKUP('Données projet'!$B$9,Paramètres!$A$1:$I$89,3,0)*0.475*44/12</f>
        <v>6.5907126254997409E-2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0.73743323193531907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645.99999999999955</v>
      </c>
      <c r="AJ197" s="14">
        <f>AI197*VLOOKUP('Données projet'!$B$10,Paramètres!$A$1:$I$89,3,0)*VLOOKUP('Données projet'!$B$10,Paramètres!$A$1:$I$89,5,0)</f>
        <v>361.11399999999975</v>
      </c>
      <c r="AK197" s="14">
        <f t="shared" si="164"/>
        <v>83.846819063373673</v>
      </c>
      <c r="AL197" s="22">
        <f t="shared" si="165"/>
        <v>774.97342653537532</v>
      </c>
      <c r="AM197" s="62">
        <f t="shared" si="193"/>
        <v>1068.3067598687087</v>
      </c>
      <c r="AN197" s="62">
        <f ca="1">AVERAGE(OFFSET($AM$3,0,0,'Données projet'!$E$10+1,1))-AVERAGE(OFFSET($H$3,0,0,'Données projet'!$E$10+1,1))</f>
        <v>512.21337090113502</v>
      </c>
      <c r="AO197" s="62">
        <f t="shared" ref="AO197:AO203" si="205">$AO$3</f>
        <v>621.03633124474163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0.23538422156691546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5.1248372448874673E-24</v>
      </c>
      <c r="AX197" s="23">
        <f t="shared" si="166"/>
        <v>0.23538422156691546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1.1368683772161603E-13</v>
      </c>
      <c r="BE197" s="14">
        <f>BD197*VLOOKUP('Données projet'!$B$11,Paramètres!$A$1:$I$89,3,0)*VLOOKUP('Données projet'!$B$11,Paramètres!$A$1:$I$89,5,0)</f>
        <v>6.7984728957526396E-14</v>
      </c>
      <c r="BF197" s="14">
        <f t="shared" si="167"/>
        <v>1.0682447123141398E-12</v>
      </c>
      <c r="BG197" s="22">
        <f t="shared" si="168"/>
        <v>1.978932943548152E-12</v>
      </c>
      <c r="BH197" s="62">
        <f t="shared" si="194"/>
        <v>293.3333333333353</v>
      </c>
      <c r="BI197" s="62">
        <f ca="1">AVERAGE(OFFSET($BH$3,0,0,'Données projet'!$E$11+1,1))-AVERAGE(OFFSET($H$3,0,0,'Données projet'!$E$11+1,1))</f>
        <v>295.83974441964551</v>
      </c>
      <c r="BJ197" s="62">
        <f t="shared" ref="BJ197:BJ203" si="206">$BJ$3</f>
        <v>212.24900914818096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5.0503599659949779E-2</v>
      </c>
      <c r="BR197" s="23">
        <f>EXP(-LN(2)/2)*BR196+(1-EXP(-LN(2)/2))/(LN(2)/2)*BL197*BO197*VLOOKUP('Données projet'!$B$11,Paramètres!$A$1:$I$89,3,0)*0.475*44/12</f>
        <v>1.2813757523865842E-24</v>
      </c>
      <c r="BS197" s="24">
        <f t="shared" si="169"/>
        <v>5.0503599659949779E-2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-1.1368683772161603E-13</v>
      </c>
      <c r="O198" s="14">
        <f>N198*VLOOKUP('Données projet'!$B$9,Paramètres!$A$1:$I$89,3,0)*VLOOKUP('Données projet'!$B$9,Paramètres!$A$1:$I$89,5,0)</f>
        <v>-5.3205440053716299E-14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193.05670375142864</v>
      </c>
      <c r="T198" s="62">
        <f t="shared" si="204"/>
        <v>259.12914184994344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0.65835788833841136</v>
      </c>
      <c r="AA198" s="23">
        <f>EXP(-LN(2)/25)*AA197+(1-EXP(-LN(2)/25))/(LN(2)/25)*Calculateur!V198*Calculateur!X198*VLOOKUP('Données projet'!$B$9,Paramètres!$A$1:$I$89,3,0)*0.475*44/12</f>
        <v>6.4104892421649365E-2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0.72246278076006076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645.99999999999955</v>
      </c>
      <c r="AJ198" s="14">
        <f>AI198*VLOOKUP('Données projet'!$B$10,Paramètres!$A$1:$I$89,3,0)*VLOOKUP('Données projet'!$B$10,Paramètres!$A$1:$I$89,5,0)</f>
        <v>361.11399999999975</v>
      </c>
      <c r="AK198" s="14">
        <f t="shared" si="164"/>
        <v>83.846819063373673</v>
      </c>
      <c r="AL198" s="22">
        <f t="shared" si="165"/>
        <v>774.97342653537532</v>
      </c>
      <c r="AM198" s="62">
        <f t="shared" si="193"/>
        <v>1068.3067598687087</v>
      </c>
      <c r="AN198" s="62">
        <f ca="1">AVERAGE(OFFSET($AM$3,0,0,'Données projet'!$E$10+1,1))-AVERAGE(OFFSET($H$3,0,0,'Données projet'!$E$10+1,1))</f>
        <v>512.21337090113502</v>
      </c>
      <c r="AO198" s="62">
        <f t="shared" si="205"/>
        <v>621.03633124474163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0.23076848055218702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3.6238071683373114E-24</v>
      </c>
      <c r="AX198" s="23">
        <f t="shared" si="166"/>
        <v>0.23076848055218702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1.1368683772161603E-13</v>
      </c>
      <c r="BE198" s="14">
        <f>BD198*VLOOKUP('Données projet'!$B$11,Paramètres!$A$1:$I$89,3,0)*VLOOKUP('Données projet'!$B$11,Paramètres!$A$1:$I$89,5,0)</f>
        <v>6.7984728957526396E-14</v>
      </c>
      <c r="BF198" s="14">
        <f t="shared" si="167"/>
        <v>1.0682447123141398E-12</v>
      </c>
      <c r="BG198" s="22">
        <f t="shared" si="168"/>
        <v>1.978932943548152E-12</v>
      </c>
      <c r="BH198" s="62">
        <f t="shared" si="194"/>
        <v>293.3333333333353</v>
      </c>
      <c r="BI198" s="62">
        <f ca="1">AVERAGE(OFFSET($BH$3,0,0,'Données projet'!$E$11+1,1))-AVERAGE(OFFSET($H$3,0,0,'Données projet'!$E$11+1,1))</f>
        <v>295.83974441964551</v>
      </c>
      <c r="BJ198" s="62">
        <f t="shared" si="206"/>
        <v>212.24900914818096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4.912257607137957E-2</v>
      </c>
      <c r="BR198" s="23">
        <f>EXP(-LN(2)/2)*BR197+(1-EXP(-LN(2)/2))/(LN(2)/2)*BL198*BO198*VLOOKUP('Données projet'!$B$11,Paramètres!$A$1:$I$89,3,0)*0.475*44/12</f>
        <v>9.0606948376056813E-25</v>
      </c>
      <c r="BS198" s="24">
        <f t="shared" si="169"/>
        <v>4.912257607137957E-2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-1.1368683772161603E-13</v>
      </c>
      <c r="O199" s="14">
        <f>N199*VLOOKUP('Données projet'!$B$9,Paramètres!$A$1:$I$89,3,0)*VLOOKUP('Données projet'!$B$9,Paramètres!$A$1:$I$89,5,0)</f>
        <v>-5.3205440053716299E-14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193.05670375142864</v>
      </c>
      <c r="T199" s="62">
        <f t="shared" si="204"/>
        <v>259.12914184994344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0.64544789170675643</v>
      </c>
      <c r="AA199" s="23">
        <f>EXP(-LN(2)/25)*AA198+(1-EXP(-LN(2)/25))/(LN(2)/25)*Calculateur!V199*Calculateur!X199*VLOOKUP('Données projet'!$B$9,Paramètres!$A$1:$I$89,3,0)*0.475*44/12</f>
        <v>6.2351940767249585E-2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0.70779983247400602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645.99999999999955</v>
      </c>
      <c r="AJ199" s="14">
        <f>AI199*VLOOKUP('Données projet'!$B$10,Paramètres!$A$1:$I$89,3,0)*VLOOKUP('Données projet'!$B$10,Paramètres!$A$1:$I$89,5,0)</f>
        <v>361.11399999999975</v>
      </c>
      <c r="AK199" s="14">
        <f t="shared" si="164"/>
        <v>83.846819063373673</v>
      </c>
      <c r="AL199" s="22">
        <f t="shared" si="165"/>
        <v>774.97342653537532</v>
      </c>
      <c r="AM199" s="62">
        <f t="shared" si="193"/>
        <v>1068.3067598687087</v>
      </c>
      <c r="AN199" s="62">
        <f ca="1">AVERAGE(OFFSET($AM$3,0,0,'Données projet'!$E$10+1,1))-AVERAGE(OFFSET($H$3,0,0,'Données projet'!$E$10+1,1))</f>
        <v>512.21337090113502</v>
      </c>
      <c r="AO199" s="62">
        <f t="shared" si="205"/>
        <v>621.03633124474163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0.22624325140343338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2.5624186224437336E-24</v>
      </c>
      <c r="AX199" s="23">
        <f t="shared" si="166"/>
        <v>0.22624325140343338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1.1368683772161603E-13</v>
      </c>
      <c r="BE199" s="14">
        <f>BD199*VLOOKUP('Données projet'!$B$11,Paramètres!$A$1:$I$89,3,0)*VLOOKUP('Données projet'!$B$11,Paramètres!$A$1:$I$89,5,0)</f>
        <v>6.7984728957526396E-14</v>
      </c>
      <c r="BF199" s="14">
        <f t="shared" si="167"/>
        <v>1.0682447123141398E-12</v>
      </c>
      <c r="BG199" s="22">
        <f t="shared" si="168"/>
        <v>1.978932943548152E-12</v>
      </c>
      <c r="BH199" s="62">
        <f t="shared" si="194"/>
        <v>293.3333333333353</v>
      </c>
      <c r="BI199" s="62">
        <f ca="1">AVERAGE(OFFSET($BH$3,0,0,'Données projet'!$E$11+1,1))-AVERAGE(OFFSET($H$3,0,0,'Données projet'!$E$11+1,1))</f>
        <v>295.83974441964551</v>
      </c>
      <c r="BJ199" s="62">
        <f t="shared" si="206"/>
        <v>212.24900914818096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4.7779316645463692E-2</v>
      </c>
      <c r="BR199" s="23">
        <f>EXP(-LN(2)/2)*BR198+(1-EXP(-LN(2)/2))/(LN(2)/2)*BL199*BO199*VLOOKUP('Données projet'!$B$11,Paramètres!$A$1:$I$89,3,0)*0.475*44/12</f>
        <v>6.4068787619329212E-25</v>
      </c>
      <c r="BS199" s="24">
        <f t="shared" si="169"/>
        <v>4.7779316645463692E-2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-1.1368683772161603E-13</v>
      </c>
      <c r="O200" s="14">
        <f>N200*VLOOKUP('Données projet'!$B$9,Paramètres!$A$1:$I$89,3,0)*VLOOKUP('Données projet'!$B$9,Paramètres!$A$1:$I$89,5,0)</f>
        <v>-5.3205440053716299E-14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193.05670375142864</v>
      </c>
      <c r="T200" s="62">
        <f t="shared" si="204"/>
        <v>259.12914184994344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0.63279105223472776</v>
      </c>
      <c r="AA200" s="23">
        <f>EXP(-LN(2)/25)*AA199+(1-EXP(-LN(2)/25))/(LN(2)/25)*Calculateur!V200*Calculateur!X200*VLOOKUP('Données projet'!$B$9,Paramètres!$A$1:$I$89,3,0)*0.475*44/12</f>
        <v>6.0646923668023087E-2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0.6934379759027508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645.99999999999955</v>
      </c>
      <c r="AJ200" s="14">
        <f>AI200*VLOOKUP('Données projet'!$B$10,Paramètres!$A$1:$I$89,3,0)*VLOOKUP('Données projet'!$B$10,Paramètres!$A$1:$I$89,5,0)</f>
        <v>361.11399999999975</v>
      </c>
      <c r="AK200" s="14">
        <f t="shared" si="164"/>
        <v>83.846819063373673</v>
      </c>
      <c r="AL200" s="22">
        <f t="shared" si="165"/>
        <v>774.97342653537532</v>
      </c>
      <c r="AM200" s="62">
        <f t="shared" si="193"/>
        <v>1068.3067598687087</v>
      </c>
      <c r="AN200" s="62">
        <f ca="1">AVERAGE(OFFSET($AM$3,0,0,'Données projet'!$E$10+1,1))-AVERAGE(OFFSET($H$3,0,0,'Données projet'!$E$10+1,1))</f>
        <v>512.21337090113502</v>
      </c>
      <c r="AO200" s="62">
        <f t="shared" si="205"/>
        <v>621.03633124474163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0.22180675923816956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1.8119035841686557E-24</v>
      </c>
      <c r="AX200" s="23">
        <f t="shared" si="166"/>
        <v>0.22180675923816956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1.1368683772161603E-13</v>
      </c>
      <c r="BE200" s="14">
        <f>BD200*VLOOKUP('Données projet'!$B$11,Paramètres!$A$1:$I$89,3,0)*VLOOKUP('Données projet'!$B$11,Paramètres!$A$1:$I$89,5,0)</f>
        <v>6.7984728957526396E-14</v>
      </c>
      <c r="BF200" s="14">
        <f t="shared" si="167"/>
        <v>1.0682447123141398E-12</v>
      </c>
      <c r="BG200" s="22">
        <f t="shared" si="168"/>
        <v>1.978932943548152E-12</v>
      </c>
      <c r="BH200" s="62">
        <f t="shared" si="194"/>
        <v>293.3333333333353</v>
      </c>
      <c r="BI200" s="62">
        <f ca="1">AVERAGE(OFFSET($BH$3,0,0,'Données projet'!$E$11+1,1))-AVERAGE(OFFSET($H$3,0,0,'Données projet'!$E$11+1,1))</f>
        <v>295.83974441964551</v>
      </c>
      <c r="BJ200" s="62">
        <f t="shared" si="206"/>
        <v>212.24900914818096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4.6472788719188425E-2</v>
      </c>
      <c r="BR200" s="23">
        <f>EXP(-LN(2)/2)*BR199+(1-EXP(-LN(2)/2))/(LN(2)/2)*BL200*BO200*VLOOKUP('Données projet'!$B$11,Paramètres!$A$1:$I$89,3,0)*0.475*44/12</f>
        <v>4.5303474188028406E-25</v>
      </c>
      <c r="BS200" s="24">
        <f t="shared" si="169"/>
        <v>4.6472788719188425E-2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-1.1368683772161603E-13</v>
      </c>
      <c r="O201" s="14">
        <f>N201*VLOOKUP('Données projet'!$B$9,Paramètres!$A$1:$I$89,3,0)*VLOOKUP('Données projet'!$B$9,Paramètres!$A$1:$I$89,5,0)</f>
        <v>-5.3205440053716299E-14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193.05670375142864</v>
      </c>
      <c r="T201" s="62">
        <f t="shared" si="204"/>
        <v>259.12914184994344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0.62038240566483582</v>
      </c>
      <c r="AA201" s="23">
        <f>EXP(-LN(2)/25)*AA200+(1-EXP(-LN(2)/25))/(LN(2)/25)*Calculateur!V201*Calculateur!X201*VLOOKUP('Données projet'!$B$9,Paramètres!$A$1:$I$89,3,0)*0.475*44/12</f>
        <v>5.8988530351037891E-2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0.67937093601587373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645.99999999999955</v>
      </c>
      <c r="AJ201" s="14">
        <f>AI201*VLOOKUP('Données projet'!$B$10,Paramètres!$A$1:$I$89,3,0)*VLOOKUP('Données projet'!$B$10,Paramètres!$A$1:$I$89,5,0)</f>
        <v>361.11399999999975</v>
      </c>
      <c r="AK201" s="14">
        <f t="shared" si="164"/>
        <v>83.846819063373673</v>
      </c>
      <c r="AL201" s="22">
        <f t="shared" si="165"/>
        <v>774.97342653537532</v>
      </c>
      <c r="AM201" s="62">
        <f t="shared" si="193"/>
        <v>1068.3067598687087</v>
      </c>
      <c r="AN201" s="62">
        <f ca="1">AVERAGE(OFFSET($AM$3,0,0,'Données projet'!$E$10+1,1))-AVERAGE(OFFSET($H$3,0,0,'Données projet'!$E$10+1,1))</f>
        <v>512.21337090113502</v>
      </c>
      <c r="AO201" s="62">
        <f t="shared" si="205"/>
        <v>621.03633124474163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0.21745726397827353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1.2812093112218668E-24</v>
      </c>
      <c r="AX201" s="23">
        <f t="shared" si="166"/>
        <v>0.21745726397827353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1.1368683772161603E-13</v>
      </c>
      <c r="BE201" s="14">
        <f>BD201*VLOOKUP('Données projet'!$B$11,Paramètres!$A$1:$I$89,3,0)*VLOOKUP('Données projet'!$B$11,Paramètres!$A$1:$I$89,5,0)</f>
        <v>6.7984728957526396E-14</v>
      </c>
      <c r="BF201" s="14">
        <f t="shared" si="167"/>
        <v>1.0682447123141398E-12</v>
      </c>
      <c r="BG201" s="22">
        <f t="shared" si="168"/>
        <v>1.978932943548152E-12</v>
      </c>
      <c r="BH201" s="62">
        <f t="shared" si="194"/>
        <v>293.3333333333353</v>
      </c>
      <c r="BI201" s="62">
        <f ca="1">AVERAGE(OFFSET($BH$3,0,0,'Données projet'!$E$11+1,1))-AVERAGE(OFFSET($H$3,0,0,'Données projet'!$E$11+1,1))</f>
        <v>295.83974441964551</v>
      </c>
      <c r="BJ201" s="62">
        <f t="shared" si="206"/>
        <v>212.24900914818096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4.520198786776447E-2</v>
      </c>
      <c r="BR201" s="23">
        <f>EXP(-LN(2)/2)*BR200+(1-EXP(-LN(2)/2))/(LN(2)/2)*BL201*BO201*VLOOKUP('Données projet'!$B$11,Paramètres!$A$1:$I$89,3,0)*0.475*44/12</f>
        <v>3.2034393809664606E-25</v>
      </c>
      <c r="BS201" s="24">
        <f t="shared" si="169"/>
        <v>4.520198786776447E-2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-1.1368683772161603E-13</v>
      </c>
      <c r="O202" s="14">
        <f>N202*VLOOKUP('Données projet'!$B$9,Paramètres!$A$1:$I$89,3,0)*VLOOKUP('Données projet'!$B$9,Paramètres!$A$1:$I$89,5,0)</f>
        <v>-5.3205440053716299E-14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193.05670375142864</v>
      </c>
      <c r="T202" s="62">
        <f t="shared" si="204"/>
        <v>259.12914184994344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0.60821708508565231</v>
      </c>
      <c r="AA202" s="23">
        <f>EXP(-LN(2)/25)*AA201+(1-EXP(-LN(2)/25))/(LN(2)/25)*Calculateur!V202*Calculateur!X202*VLOOKUP('Données projet'!$B$9,Paramètres!$A$1:$I$89,3,0)*0.475*44/12</f>
        <v>5.7375485886516767E-2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0.66559257097216906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645.99999999999955</v>
      </c>
      <c r="AJ202" s="14">
        <f>AI202*VLOOKUP('Données projet'!$B$10,Paramètres!$A$1:$I$89,3,0)*VLOOKUP('Données projet'!$B$10,Paramètres!$A$1:$I$89,5,0)</f>
        <v>361.11399999999975</v>
      </c>
      <c r="AK202" s="14">
        <f t="shared" si="164"/>
        <v>83.846819063373673</v>
      </c>
      <c r="AL202" s="22">
        <f t="shared" si="165"/>
        <v>774.97342653537532</v>
      </c>
      <c r="AM202" s="62">
        <f t="shared" si="193"/>
        <v>1068.3067598687087</v>
      </c>
      <c r="AN202" s="62">
        <f ca="1">AVERAGE(OFFSET($AM$3,0,0,'Données projet'!$E$10+1,1))-AVERAGE(OFFSET($H$3,0,0,'Données projet'!$E$10+1,1))</f>
        <v>512.21337090113502</v>
      </c>
      <c r="AO202" s="62">
        <f t="shared" si="205"/>
        <v>621.03633124474163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0.21319305966749391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9.0595179208432784E-25</v>
      </c>
      <c r="AX202" s="23">
        <f t="shared" si="166"/>
        <v>0.21319305966749391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1.1368683772161603E-13</v>
      </c>
      <c r="BE202" s="14">
        <f>BD202*VLOOKUP('Données projet'!$B$11,Paramètres!$A$1:$I$89,3,0)*VLOOKUP('Données projet'!$B$11,Paramètres!$A$1:$I$89,5,0)</f>
        <v>6.7984728957526396E-14</v>
      </c>
      <c r="BF202" s="14">
        <f t="shared" si="167"/>
        <v>1.0682447123141398E-12</v>
      </c>
      <c r="BG202" s="22">
        <f t="shared" si="168"/>
        <v>1.978932943548152E-12</v>
      </c>
      <c r="BH202" s="62">
        <f t="shared" si="194"/>
        <v>293.3333333333353</v>
      </c>
      <c r="BI202" s="62">
        <f ca="1">AVERAGE(OFFSET($BH$3,0,0,'Données projet'!$E$11+1,1))-AVERAGE(OFFSET($H$3,0,0,'Données projet'!$E$11+1,1))</f>
        <v>295.83974441964551</v>
      </c>
      <c r="BJ202" s="62">
        <f t="shared" si="206"/>
        <v>212.24900914818096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4.396593713245122E-2</v>
      </c>
      <c r="BR202" s="23">
        <f>EXP(-LN(2)/2)*BR201+(1-EXP(-LN(2)/2))/(LN(2)/2)*BL202*BO202*VLOOKUP('Données projet'!$B$11,Paramètres!$A$1:$I$89,3,0)*0.475*44/12</f>
        <v>2.2651737094014203E-25</v>
      </c>
      <c r="BS202" s="24">
        <f t="shared" si="169"/>
        <v>4.396593713245122E-2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-1.1368683772161603E-13</v>
      </c>
      <c r="O203" s="14">
        <f>N203*VLOOKUP('Données projet'!$B$9,Paramètres!$A$1:$I$89,3,0)*VLOOKUP('Données projet'!$B$9,Paramètres!$A$1:$I$89,5,0)</f>
        <v>-5.3205440053716299E-14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193.05670375142864</v>
      </c>
      <c r="T203" s="62">
        <f t="shared" si="204"/>
        <v>259.12914184994344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0.59629031902291374</v>
      </c>
      <c r="AA203" s="23">
        <f>EXP(-LN(2)/25)*AA202+(1-EXP(-LN(2)/25))/(LN(2)/25)*Calculateur!V203*Calculateur!X203*VLOOKUP('Données projet'!$B$9,Paramètres!$A$1:$I$89,3,0)*0.475*44/12</f>
        <v>5.5806550207704295E-2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0.65209686923061805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645.99999999999955</v>
      </c>
      <c r="AJ203" s="14">
        <f>AI203*VLOOKUP('Données projet'!$B$10,Paramètres!$A$1:$I$89,3,0)*VLOOKUP('Données projet'!$B$10,Paramètres!$A$1:$I$89,5,0)</f>
        <v>361.11399999999975</v>
      </c>
      <c r="AK203" s="14">
        <f t="shared" si="164"/>
        <v>83.846819063373673</v>
      </c>
      <c r="AL203" s="22">
        <f t="shared" si="165"/>
        <v>774.97342653537532</v>
      </c>
      <c r="AM203" s="62">
        <f t="shared" si="193"/>
        <v>1068.3067598687087</v>
      </c>
      <c r="AN203" s="62">
        <f ca="1">AVERAGE(OFFSET($AM$3,0,0,'Données projet'!$E$10+1,1))-AVERAGE(OFFSET($H$3,0,0,'Données projet'!$E$10+1,1))</f>
        <v>512.21337090113502</v>
      </c>
      <c r="AO203" s="62">
        <f t="shared" si="205"/>
        <v>621.03633124474163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0.20901247380234086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6.4060465561093341E-25</v>
      </c>
      <c r="AX203" s="23">
        <f t="shared" si="166"/>
        <v>0.20901247380234086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1.1368683772161603E-13</v>
      </c>
      <c r="BE203" s="14">
        <f>BD203*VLOOKUP('Données projet'!$B$11,Paramètres!$A$1:$I$89,3,0)*VLOOKUP('Données projet'!$B$11,Paramètres!$A$1:$I$89,5,0)</f>
        <v>6.7984728957526396E-14</v>
      </c>
      <c r="BF203" s="14">
        <f t="shared" si="167"/>
        <v>1.0682447123141398E-12</v>
      </c>
      <c r="BG203" s="22">
        <f t="shared" si="168"/>
        <v>1.978932943548152E-12</v>
      </c>
      <c r="BH203" s="62">
        <f t="shared" si="194"/>
        <v>293.3333333333353</v>
      </c>
      <c r="BI203" s="62">
        <f ca="1">AVERAGE(OFFSET($BH$3,0,0,'Données projet'!$E$11+1,1))-AVERAGE(OFFSET($H$3,0,0,'Données projet'!$E$11+1,1))</f>
        <v>295.83974441964551</v>
      </c>
      <c r="BJ203" s="62">
        <f t="shared" si="206"/>
        <v>212.24900914818096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4.2763686269496191E-2</v>
      </c>
      <c r="BR203" s="23">
        <f>EXP(-LN(2)/2)*BR202+(1-EXP(-LN(2)/2))/(LN(2)/2)*BL203*BO203*VLOOKUP('Données projet'!$B$11,Paramètres!$A$1:$I$89,3,0)*0.475*44/12</f>
        <v>1.6017196904832303E-25</v>
      </c>
      <c r="BS203" s="24">
        <f t="shared" si="169"/>
        <v>4.2763686269496191E-2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1.2880503926580862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1.3804627841663464</v>
      </c>
      <c r="BA205" s="88">
        <f>EXP(LN('Données projet'!B88)/'Données projet'!A88)</f>
        <v>1.1932635389591795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J24" sqref="J24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Cèdre de l'Atlas</v>
      </c>
      <c r="B6" s="155">
        <f>'Données projet'!D9</f>
        <v>1.44</v>
      </c>
      <c r="C6" s="156">
        <f ca="1">IF(OR('Données projet'!B9="",'Données projet'!C9="",'Données projet'!C9=0%),0,Calculateur!S3)</f>
        <v>193.05670375142864</v>
      </c>
      <c r="D6" s="156">
        <f>IF(OR('Données projet'!B9="",'Données projet'!C9="",'Données projet'!C9=0%),0,Calculateur!T3)</f>
        <v>259.12914184994344</v>
      </c>
      <c r="E6" s="156">
        <f ca="1">MIN(C6,D6)</f>
        <v>193.05670375142864</v>
      </c>
      <c r="F6" s="156">
        <f ca="1">E6*B6</f>
        <v>278.00165340205723</v>
      </c>
      <c r="G6" s="156">
        <f ca="1">F6*(100%-'Données projet'!$C$24)*(100%-'Données projet'!$C$25)*(100%-'Données projet'!$C$26)*(100%-'Données projet'!$C$27)</f>
        <v>212.67126485257378</v>
      </c>
      <c r="H6" s="157">
        <f>IF(OR('Données projet'!B9="",'Données projet'!C9="",'Données projet'!C9=0%),0,AVERAGE(Calculateur!$AC$3:$AC$33)*B6)</f>
        <v>4.3313190834553135</v>
      </c>
      <c r="I6" s="158">
        <f>H6*(100%-'Données projet'!$C$24)*(100%-'Données projet'!$C$25)*(100%-'Données projet'!$C$26)*(100%-'Données projet'!$C$27)</f>
        <v>3.3134590988433148</v>
      </c>
      <c r="J6" s="159">
        <f>IF(OR('Données projet'!B9="",'Données projet'!C9="",'Données projet'!C9=0%),0,SUM(Calculateur!$V$3:$V$33)*VLOOKUP('Données projet'!$B$9,Paramètres!$A$1:$I$89,9,0)*B6)</f>
        <v>58.823999999999998</v>
      </c>
      <c r="K6" s="160">
        <f>J6*(100%-'Données projet'!$C$24)*(100%-'Données projet'!$C$25)*(100%-'Données projet'!$C$26)*(100%-'Données projet'!$C$27)</f>
        <v>45.000360000000001</v>
      </c>
      <c r="L6" s="161">
        <f ca="1">G6+I6+K6</f>
        <v>260.9850839514171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Douglas</v>
      </c>
      <c r="B7" s="163">
        <f>'Données projet'!D10</f>
        <v>1.6199999999999999</v>
      </c>
      <c r="C7" s="156">
        <f ca="1">IF(OR('Données projet'!B10="",'Données projet'!C10="",'Données projet'!C10=0%),0,Calculateur!AN3)</f>
        <v>512.21337090113502</v>
      </c>
      <c r="D7" s="156">
        <f>IF(OR('Données projet'!B10="",'Données projet'!C10="",'Données projet'!C10=0%),0,Calculateur!AO3)</f>
        <v>621.03633124474163</v>
      </c>
      <c r="E7" s="156">
        <f t="shared" ref="E7:E15" ca="1" si="0">MIN(C7,D7)</f>
        <v>512.21337090113502</v>
      </c>
      <c r="F7" s="156">
        <f t="shared" ref="F7:F15" ca="1" si="1">E7*B7</f>
        <v>829.78566085983869</v>
      </c>
      <c r="G7" s="156">
        <f ca="1">F7*(100%-'Données projet'!$C$24)*(100%-'Données projet'!$C$25)*(100%-'Données projet'!$C$26)*(100%-'Données projet'!$C$27)</f>
        <v>634.7860305577766</v>
      </c>
      <c r="H7" s="164">
        <f>IF(OR('Données projet'!B10="",'Données projet'!C10="",'Données projet'!C10=0%),0,AVERAGE(Calculateur!$AX$3:$AX$33)*B7)</f>
        <v>3.5938047768266208</v>
      </c>
      <c r="I7" s="158">
        <f>H7*(100%-'Données projet'!$C$24)*(100%-'Données projet'!$C$25)*(100%-'Données projet'!$C$26)*(100%-'Données projet'!$C$27)</f>
        <v>2.7492606542723648</v>
      </c>
      <c r="J7" s="159">
        <f>IF(OR('Données projet'!B10="",'Données projet'!C10="",'Données projet'!C10=0%),0,SUM(Calculateur!$AQ$3:$AQ$33)*VLOOKUP('Données projet'!$B$10,Paramètres!$A$1:$I$89,9,0)*B7)</f>
        <v>48.065399999999997</v>
      </c>
      <c r="K7" s="160">
        <f>J7*(100%-'Données projet'!$C$24)*(100%-'Données projet'!$C$25)*(100%-'Données projet'!$C$26)*(100%-'Données projet'!$C$27)</f>
        <v>36.770030999999996</v>
      </c>
      <c r="L7" s="161">
        <f t="shared" ref="L7:L15" ca="1" si="2">G7+I7+K7</f>
        <v>674.30532221204896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Pin laricio</v>
      </c>
      <c r="B8" s="163">
        <f>'Données projet'!D11</f>
        <v>1.44</v>
      </c>
      <c r="C8" s="156">
        <f ca="1">IF(OR('Données projet'!B11="",'Données projet'!C11="",'Données projet'!C11=0%),0,Calculateur!BI3)</f>
        <v>295.83974441964551</v>
      </c>
      <c r="D8" s="156">
        <f>IF(OR('Données projet'!B11="",'Données projet'!C11="",'Données projet'!C11=0%),0,Calculateur!BJ3)</f>
        <v>212.24900914818096</v>
      </c>
      <c r="E8" s="156">
        <f t="shared" ca="1" si="0"/>
        <v>212.24900914818096</v>
      </c>
      <c r="F8" s="156">
        <f t="shared" ca="1" si="1"/>
        <v>305.63857317338056</v>
      </c>
      <c r="G8" s="156">
        <f ca="1">F8*(100%-'Données projet'!$C$24)*(100%-'Données projet'!$C$25)*(100%-'Données projet'!$C$26)*(100%-'Données projet'!$C$27)</f>
        <v>233.81350847763613</v>
      </c>
      <c r="H8" s="164">
        <f>IF(OR('Données projet'!B11="",'Données projet'!C11="",'Données projet'!C11=0%),0,AVERAGE(Calculateur!$BS$3:$BS$33)*B8)</f>
        <v>1.3913637421222083</v>
      </c>
      <c r="I8" s="158">
        <f>H8*(100%-'Données projet'!$C$24)*(100%-'Données projet'!$C$25)*(100%-'Données projet'!$C$26)*(100%-'Données projet'!$C$27)</f>
        <v>1.0643932627234893</v>
      </c>
      <c r="J8" s="159">
        <f>IF(OR('Données projet'!B11="",'Données projet'!C11="",'Données projet'!C11=0%),0,SUM(Calculateur!$BL$3:$BL$33)*VLOOKUP('Données projet'!$B$11,Paramètres!$A$1:$I$89,9,0)*B8)</f>
        <v>17.337599999999998</v>
      </c>
      <c r="K8" s="160">
        <f>J8*(100%-'Données projet'!$C$24)*(100%-'Données projet'!$C$25)*(100%-'Données projet'!$C$26)*(100%-'Données projet'!$C$27)</f>
        <v>13.263263999999998</v>
      </c>
      <c r="L8" s="161">
        <f t="shared" ca="1" si="2"/>
        <v>248.14116574035961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1413.4258874352765</v>
      </c>
      <c r="G16" s="175">
        <f t="shared" ca="1" si="3"/>
        <v>1081.2708038879866</v>
      </c>
      <c r="H16" s="176">
        <f t="shared" si="3"/>
        <v>9.3164876024041412</v>
      </c>
      <c r="I16" s="176">
        <f t="shared" si="3"/>
        <v>7.1271130158391687</v>
      </c>
      <c r="J16" s="177">
        <f t="shared" si="3"/>
        <v>124.22699999999999</v>
      </c>
      <c r="K16" s="177">
        <f t="shared" si="3"/>
        <v>95.033654999999982</v>
      </c>
      <c r="L16" s="178">
        <f t="shared" ca="1" si="3"/>
        <v>1183.4315719038257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Cèdre de l'Atlas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Douglas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Pin laricio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C1" zoomScale="80" zoomScaleNormal="80" workbookViewId="0">
      <selection activeCell="W32" sqref="W32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Cèdre de l'Atlas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1848.2114059117644</v>
      </c>
      <c r="U10" s="190">
        <f>'Données projet'!D9</f>
        <v>1.44</v>
      </c>
      <c r="V10" s="189">
        <f>U10*T10</f>
        <v>2661.4244245129407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Douglas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744.38101758738912</v>
      </c>
      <c r="U11" s="190">
        <f>'Données projet'!D10</f>
        <v>1.6199999999999999</v>
      </c>
      <c r="V11" s="189">
        <f t="shared" ref="V11" si="0">U11*T11</f>
        <v>1205.8972484915703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Pin laricio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414.25326336938508</v>
      </c>
      <c r="U12" s="190">
        <f>'Données projet'!D11</f>
        <v>1.44</v>
      </c>
      <c r="V12" s="189">
        <f t="shared" ref="V12:V19" si="1">U12*T12</f>
        <v>596.52469925191451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Cèdre de l'Atlas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7294.12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560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560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35</v>
      </c>
      <c r="C23" s="206">
        <v>15</v>
      </c>
      <c r="D23" s="194">
        <f>B23*C23</f>
        <v>525</v>
      </c>
      <c r="E23" s="206"/>
      <c r="F23" s="261"/>
      <c r="H23" s="203">
        <v>3</v>
      </c>
      <c r="I23" s="204">
        <v>616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-35507.910544890496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60</v>
      </c>
      <c r="C24" s="206">
        <v>21</v>
      </c>
      <c r="D24" s="194">
        <f t="shared" ref="D24:D42" si="2">B24*C24</f>
        <v>1260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40</v>
      </c>
      <c r="B25" s="193">
        <f>'Données projet'!D38</f>
        <v>70</v>
      </c>
      <c r="C25" s="206">
        <v>25</v>
      </c>
      <c r="D25" s="194">
        <f t="shared" si="2"/>
        <v>1750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-35507.910544890496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50</v>
      </c>
      <c r="B26" s="193">
        <f>'Données projet'!D39</f>
        <v>100</v>
      </c>
      <c r="C26" s="206">
        <v>25</v>
      </c>
      <c r="D26" s="194">
        <f t="shared" si="2"/>
        <v>2500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60</v>
      </c>
      <c r="B27" s="193">
        <f>'Données projet'!D40</f>
        <v>335</v>
      </c>
      <c r="C27" s="206">
        <v>30</v>
      </c>
      <c r="D27" s="194">
        <f t="shared" si="2"/>
        <v>10050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Douglas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15</v>
      </c>
      <c r="B54" s="193">
        <f>'Données projet'!D62</f>
        <v>0</v>
      </c>
      <c r="C54" s="204">
        <v>20</v>
      </c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20</v>
      </c>
      <c r="B55" s="193">
        <f>'Données projet'!D63</f>
        <v>0</v>
      </c>
      <c r="C55" s="204">
        <v>30</v>
      </c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25</v>
      </c>
      <c r="B56" s="193">
        <f>'Données projet'!D64</f>
        <v>21</v>
      </c>
      <c r="C56" s="204">
        <v>35</v>
      </c>
      <c r="D56" s="191">
        <f t="shared" si="4"/>
        <v>735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30</v>
      </c>
      <c r="B57" s="193">
        <f>'Données projet'!D65</f>
        <v>48</v>
      </c>
      <c r="C57" s="204">
        <v>39</v>
      </c>
      <c r="D57" s="191">
        <f t="shared" si="4"/>
        <v>1872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35</v>
      </c>
      <c r="B58" s="193">
        <f>'Données projet'!D66</f>
        <v>61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40</v>
      </c>
      <c r="B59" s="193">
        <f>'Données projet'!D67</f>
        <v>64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45</v>
      </c>
      <c r="B60" s="193">
        <f>'Données projet'!D68</f>
        <v>70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50</v>
      </c>
      <c r="B61" s="193">
        <f>'Données projet'!D69</f>
        <v>73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55</v>
      </c>
      <c r="B62" s="193">
        <f>'Données projet'!D70</f>
        <v>67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60</v>
      </c>
      <c r="B63" s="193">
        <f>'Données projet'!D71</f>
        <v>61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65</v>
      </c>
      <c r="B64" s="193">
        <f>'Données projet'!D72</f>
        <v>54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Pin laricio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27</v>
      </c>
      <c r="B85" s="193">
        <f>'Données projet'!D88</f>
        <v>15</v>
      </c>
      <c r="C85" s="204">
        <v>15</v>
      </c>
      <c r="D85" s="191">
        <f>B85*C85</f>
        <v>225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30</v>
      </c>
      <c r="B86" s="193">
        <f>'Données projet'!D89</f>
        <v>13</v>
      </c>
      <c r="C86" s="204">
        <v>22</v>
      </c>
      <c r="D86" s="191">
        <f t="shared" ref="D86:D104" si="6">B86*C86</f>
        <v>286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35</v>
      </c>
      <c r="B87" s="193">
        <f>'Données projet'!D90</f>
        <v>23</v>
      </c>
      <c r="C87" s="204">
        <v>25</v>
      </c>
      <c r="D87" s="191">
        <f t="shared" si="6"/>
        <v>575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40</v>
      </c>
      <c r="B88" s="193">
        <f>'Données projet'!D91</f>
        <v>34</v>
      </c>
      <c r="C88" s="204">
        <v>25</v>
      </c>
      <c r="D88" s="191">
        <f t="shared" si="6"/>
        <v>850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50</v>
      </c>
      <c r="B89" s="193">
        <f>'Données projet'!D92</f>
        <v>79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60</v>
      </c>
      <c r="B90" s="193">
        <f>'Données projet'!D93</f>
        <v>88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70</v>
      </c>
      <c r="B91" s="193">
        <f>'Données projet'!D94</f>
        <v>78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80</v>
      </c>
      <c r="B92" s="193">
        <f>'Données projet'!D95</f>
        <v>460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str">
        <f>IF(O93+1&lt;=MIN('Données projet'!$E$9:$E$18),O93+1,"STOP")</f>
        <v>STOP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2023-01-16T15:11:41Z</dcterms:modified>
</cp:coreProperties>
</file>