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abel Bas Carbone\2. Dossiers agences LBC\Gascogne-Pyrénées\Molandier (11) - Villemonte SCI Avenir Forêt\doc fin_Projet1\"/>
    </mc:Choice>
  </mc:AlternateContent>
  <xr:revisionPtr revIDLastSave="0" documentId="13_ncr:1_{101E3205-EBA6-4FCF-8DBC-309B259DB652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DI161" i="2" l="1"/>
  <c r="EB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I163" i="2" l="1"/>
  <c r="DH164" i="2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DI192" i="2" l="1"/>
  <c r="EX193" i="2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 l="1"/>
  <c r="EA201" i="2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68" i="2" a="1"/>
  <c r="BC68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DN103" i="2" a="1"/>
  <c r="DN103" i="2" s="1"/>
  <c r="DN114" i="2" a="1"/>
  <c r="DN114" i="2" s="1"/>
  <c r="AH90" i="2" a="1"/>
  <c r="AH90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7" i="2" a="1"/>
  <c r="BC7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FD82" i="2" a="1"/>
  <c r="FD82" i="2" s="1"/>
  <c r="DN187" i="2" a="1"/>
  <c r="DN187" i="2" s="1"/>
  <c r="HJ202" i="2"/>
  <c r="EY202" i="2"/>
  <c r="AX200" i="2"/>
  <c r="BX107" i="2" l="1" a="1"/>
  <c r="BX107" i="2" s="1"/>
  <c r="AH166" i="2" a="1"/>
  <c r="AH166" i="2" s="1"/>
  <c r="AH19" i="2" a="1"/>
  <c r="AH19" i="2" s="1"/>
  <c r="CS77" i="2" a="1"/>
  <c r="CS77" i="2" s="1"/>
  <c r="CS38" i="2" a="1"/>
  <c r="CS38" i="2" s="1"/>
  <c r="CS56" i="2" a="1"/>
  <c r="CS56" i="2" s="1"/>
  <c r="CS129" i="2" a="1"/>
  <c r="CS129" i="2" s="1"/>
  <c r="CS137" i="2" a="1"/>
  <c r="CS137" i="2" s="1"/>
  <c r="CS72" i="2" a="1"/>
  <c r="CS72" i="2" s="1"/>
  <c r="CS24" i="2" a="1"/>
  <c r="CS24" i="2" s="1"/>
  <c r="CS114" i="2" a="1"/>
  <c r="CS114" i="2" s="1"/>
  <c r="CS185" i="2" a="1"/>
  <c r="CS185" i="2" s="1"/>
  <c r="CS134" i="2" a="1"/>
  <c r="CS134" i="2" s="1"/>
  <c r="CS52" i="2" a="1"/>
  <c r="CS52" i="2" s="1"/>
  <c r="CS66" i="2" a="1"/>
  <c r="CS66" i="2" s="1"/>
  <c r="CS105" i="2" a="1"/>
  <c r="CS105" i="2" s="1"/>
  <c r="CS161" i="2" a="1"/>
  <c r="CS161" i="2" s="1"/>
  <c r="CS116" i="2" a="1"/>
  <c r="CS116" i="2" s="1"/>
  <c r="CS120" i="2" a="1"/>
  <c r="CS120" i="2" s="1"/>
  <c r="BC32" i="2" a="1"/>
  <c r="BC32" i="2" s="1"/>
  <c r="BC117" i="2" a="1"/>
  <c r="BC117" i="2" s="1"/>
  <c r="BC181" i="2" a="1"/>
  <c r="BC181" i="2" s="1"/>
  <c r="BC192" i="2" a="1"/>
  <c r="BC192" i="2" s="1"/>
  <c r="BC65" i="2" a="1"/>
  <c r="BC65" i="2" s="1"/>
  <c r="BC58" i="2" a="1"/>
  <c r="BC58" i="2" s="1"/>
  <c r="BC55" i="2" a="1"/>
  <c r="BC55" i="2" s="1"/>
  <c r="BC114" i="2" a="1"/>
  <c r="BC114" i="2" s="1"/>
  <c r="BC38" i="2" a="1"/>
  <c r="BC38" i="2" s="1"/>
  <c r="BC130" i="2" a="1"/>
  <c r="BC130" i="2" s="1"/>
  <c r="BC126" i="2" a="1"/>
  <c r="BC126" i="2" s="1"/>
  <c r="BC185" i="2" a="1"/>
  <c r="BC185" i="2" s="1"/>
  <c r="BC18" i="2" a="1"/>
  <c r="BC18" i="2" s="1"/>
  <c r="BC83" i="2" a="1"/>
  <c r="BC83" i="2" s="1"/>
  <c r="BC82" i="2" a="1"/>
  <c r="BC82" i="2" s="1"/>
  <c r="BC164" i="2" a="1"/>
  <c r="BC164" i="2" s="1"/>
  <c r="BC151" i="2" a="1"/>
  <c r="BC151" i="2" s="1"/>
  <c r="BC47" i="2" a="1"/>
  <c r="BC47" i="2" s="1"/>
  <c r="BC143" i="2" a="1"/>
  <c r="BC143" i="2" s="1"/>
  <c r="BC34" i="2" a="1"/>
  <c r="BC34" i="2" s="1"/>
  <c r="BC31" i="2" a="1"/>
  <c r="BC31" i="2" s="1"/>
  <c r="BC84" i="2" a="1"/>
  <c r="BC84" i="2" s="1"/>
  <c r="AH151" i="2" a="1"/>
  <c r="AH151" i="2" s="1"/>
  <c r="AH163" i="2" a="1"/>
  <c r="AH163" i="2" s="1"/>
  <c r="AH62" i="2" a="1"/>
  <c r="AH62" i="2" s="1"/>
  <c r="AH199" i="2" a="1"/>
  <c r="AH199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DI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<sst xmlns="http://schemas.openxmlformats.org/spreadsheetml/2006/main" count="1174" uniqueCount="324">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</sst>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4.3926046297979076</c:v>
                </c:pt>
                <c:pt idx="2">
                  <c:v>8.3612614966873711</c:v>
                </c:pt>
                <c:pt idx="3">
                  <c:v>15.935083980933408</c:v>
                </c:pt>
                <c:pt idx="4">
                  <c:v>30.405468314778947</c:v>
                </c:pt>
                <c:pt idx="5">
                  <c:v>58.082485530805052</c:v>
                </c:pt>
                <c:pt idx="6">
                  <c:v>72.155748931369416</c:v>
                </c:pt>
                <c:pt idx="7">
                  <c:v>94.133673128860323</c:v>
                </c:pt>
                <c:pt idx="8">
                  <c:v>115.98283085356282</c:v>
                </c:pt>
                <c:pt idx="9">
                  <c:v>137.73104312742694</c:v>
                </c:pt>
                <c:pt idx="10">
                  <c:v>159.39654402501074</c:v>
                </c:pt>
                <c:pt idx="11">
                  <c:v>139.70382844505221</c:v>
                </c:pt>
                <c:pt idx="12">
                  <c:v>161.362507950626</c:v>
                </c:pt>
                <c:pt idx="13">
                  <c:v>182.95230030612535</c:v>
                </c:pt>
                <c:pt idx="14">
                  <c:v>204.48248491014036</c:v>
                </c:pt>
                <c:pt idx="15">
                  <c:v>225.96022281826015</c:v>
                </c:pt>
                <c:pt idx="16">
                  <c:v>211.90768212600287</c:v>
                </c:pt>
                <c:pt idx="17">
                  <c:v>231.02975966933766</c:v>
                </c:pt>
                <c:pt idx="18">
                  <c:v>250.11566977871595</c:v>
                </c:pt>
                <c:pt idx="19">
                  <c:v>269.16856029275453</c:v>
                </c:pt>
                <c:pt idx="20">
                  <c:v>288.19109683703851</c:v>
                </c:pt>
                <c:pt idx="21">
                  <c:v>277.32465175371152</c:v>
                </c:pt>
                <c:pt idx="22">
                  <c:v>293.62085999795471</c:v>
                </c:pt>
                <c:pt idx="23">
                  <c:v>309.89688707897216</c:v>
                </c:pt>
                <c:pt idx="24">
                  <c:v>326.1539420224164</c:v>
                </c:pt>
                <c:pt idx="25">
                  <c:v>342.39310348379212</c:v>
                </c:pt>
                <c:pt idx="26">
                  <c:v>334.27569654819109</c:v>
                </c:pt>
                <c:pt idx="27">
                  <c:v>347.41603793627536</c:v>
                </c:pt>
                <c:pt idx="28">
                  <c:v>360.54547259299108</c:v>
                </c:pt>
                <c:pt idx="29">
                  <c:v>373.66445368853493</c:v>
                </c:pt>
                <c:pt idx="30">
                  <c:v>386.77339997206712</c:v>
                </c:pt>
                <c:pt idx="31">
                  <c:v>380.60570876556693</c:v>
                </c:pt>
                <c:pt idx="32">
                  <c:v>391.78307456466808</c:v>
                </c:pt>
                <c:pt idx="33">
                  <c:v>402.95352523018465</c:v>
                </c:pt>
                <c:pt idx="34">
                  <c:v>414.1172795224561</c:v>
                </c:pt>
                <c:pt idx="35">
                  <c:v>425.27454344239999</c:v>
                </c:pt>
                <c:pt idx="36">
                  <c:v>421.04322924291415</c:v>
                </c:pt>
                <c:pt idx="37">
                  <c:v>430.2740205592209</c:v>
                </c:pt>
                <c:pt idx="38">
                  <c:v>439.50055712660497</c:v>
                </c:pt>
                <c:pt idx="39">
                  <c:v>448.72294089251392</c:v>
                </c:pt>
                <c:pt idx="40">
                  <c:v>457.94126927057533</c:v>
                </c:pt>
                <c:pt idx="41">
                  <c:v>456.02111397099492</c:v>
                </c:pt>
                <c:pt idx="42">
                  <c:v>465.6201790592072</c:v>
                </c:pt>
                <c:pt idx="43">
                  <c:v>475.2150257772908</c:v>
                </c:pt>
                <c:pt idx="44">
                  <c:v>484.80575132371115</c:v>
                </c:pt>
                <c:pt idx="45">
                  <c:v>494.39244873679655</c:v>
                </c:pt>
                <c:pt idx="46">
                  <c:v>4.7119831685935622E-12</c:v>
                </c:pt>
                <c:pt idx="47">
                  <c:v>4.7119831685935622E-12</c:v>
                </c:pt>
                <c:pt idx="48">
                  <c:v>4.7119831685935622E-12</c:v>
                </c:pt>
                <c:pt idx="49">
                  <c:v>4.7119831685935622E-12</c:v>
                </c:pt>
                <c:pt idx="50">
                  <c:v>4.7119831685935622E-12</c:v>
                </c:pt>
                <c:pt idx="51">
                  <c:v>4.7119831685935622E-12</c:v>
                </c:pt>
                <c:pt idx="52">
                  <c:v>4.7119831685935622E-12</c:v>
                </c:pt>
                <c:pt idx="53">
                  <c:v>4.7119831685935622E-12</c:v>
                </c:pt>
                <c:pt idx="54">
                  <c:v>4.7119831685935622E-12</c:v>
                </c:pt>
                <c:pt idx="55">
                  <c:v>4.7119831685935622E-12</c:v>
                </c:pt>
                <c:pt idx="56">
                  <c:v>4.7119831685935622E-12</c:v>
                </c:pt>
                <c:pt idx="57">
                  <c:v>4.7119831685935622E-12</c:v>
                </c:pt>
                <c:pt idx="58">
                  <c:v>4.7119831685935622E-12</c:v>
                </c:pt>
                <c:pt idx="59">
                  <c:v>4.7119831685935622E-12</c:v>
                </c:pt>
                <c:pt idx="60">
                  <c:v>4.7119831685935622E-12</c:v>
                </c:pt>
                <c:pt idx="61">
                  <c:v>4.7119831685935622E-12</c:v>
                </c:pt>
                <c:pt idx="62">
                  <c:v>4.7119831685935622E-12</c:v>
                </c:pt>
                <c:pt idx="63">
                  <c:v>4.7119831685935622E-12</c:v>
                </c:pt>
                <c:pt idx="64">
                  <c:v>4.7119831685935622E-12</c:v>
                </c:pt>
                <c:pt idx="65">
                  <c:v>4.7119831685935622E-12</c:v>
                </c:pt>
                <c:pt idx="66">
                  <c:v>4.7119831685935622E-12</c:v>
                </c:pt>
                <c:pt idx="67">
                  <c:v>4.7119831685935622E-12</c:v>
                </c:pt>
                <c:pt idx="68">
                  <c:v>4.7119831685935622E-12</c:v>
                </c:pt>
                <c:pt idx="69">
                  <c:v>4.7119831685935622E-12</c:v>
                </c:pt>
                <c:pt idx="70">
                  <c:v>4.7119831685935622E-12</c:v>
                </c:pt>
                <c:pt idx="71">
                  <c:v>4.7119831685935622E-12</c:v>
                </c:pt>
                <c:pt idx="72">
                  <c:v>4.7119831685935622E-12</c:v>
                </c:pt>
                <c:pt idx="73">
                  <c:v>4.7119831685935622E-12</c:v>
                </c:pt>
                <c:pt idx="74">
                  <c:v>4.7119831685935622E-12</c:v>
                </c:pt>
                <c:pt idx="75">
                  <c:v>4.7119831685935622E-12</c:v>
                </c:pt>
                <c:pt idx="76">
                  <c:v>4.7119831685935622E-12</c:v>
                </c:pt>
                <c:pt idx="77">
                  <c:v>4.7119831685935622E-12</c:v>
                </c:pt>
                <c:pt idx="78">
                  <c:v>4.7119831685935622E-12</c:v>
                </c:pt>
                <c:pt idx="79">
                  <c:v>4.7119831685935622E-12</c:v>
                </c:pt>
                <c:pt idx="80">
                  <c:v>4.7119831685935622E-12</c:v>
                </c:pt>
                <c:pt idx="81">
                  <c:v>4.7119831685935622E-12</c:v>
                </c:pt>
                <c:pt idx="82">
                  <c:v>4.7119831685935622E-12</c:v>
                </c:pt>
                <c:pt idx="83">
                  <c:v>4.7119831685935622E-12</c:v>
                </c:pt>
                <c:pt idx="84">
                  <c:v>4.7119831685935622E-12</c:v>
                </c:pt>
                <c:pt idx="85">
                  <c:v>4.7119831685935622E-12</c:v>
                </c:pt>
                <c:pt idx="86">
                  <c:v>4.7119831685935622E-12</c:v>
                </c:pt>
                <c:pt idx="87">
                  <c:v>4.7119831685935622E-12</c:v>
                </c:pt>
                <c:pt idx="88">
                  <c:v>4.7119831685935622E-12</c:v>
                </c:pt>
                <c:pt idx="89">
                  <c:v>4.7119831685935622E-12</c:v>
                </c:pt>
                <c:pt idx="90">
                  <c:v>4.7119831685935622E-12</c:v>
                </c:pt>
                <c:pt idx="91">
                  <c:v>4.7119831685935622E-12</c:v>
                </c:pt>
                <c:pt idx="92">
                  <c:v>4.7119831685935622E-12</c:v>
                </c:pt>
                <c:pt idx="93">
                  <c:v>4.7119831685935622E-12</c:v>
                </c:pt>
                <c:pt idx="94">
                  <c:v>4.7119831685935622E-12</c:v>
                </c:pt>
                <c:pt idx="95">
                  <c:v>4.7119831685935622E-12</c:v>
                </c:pt>
                <c:pt idx="96">
                  <c:v>4.7119831685935622E-12</c:v>
                </c:pt>
                <c:pt idx="97">
                  <c:v>4.7119831685935622E-12</c:v>
                </c:pt>
                <c:pt idx="98">
                  <c:v>4.7119831685935622E-12</c:v>
                </c:pt>
                <c:pt idx="99">
                  <c:v>4.7119831685935622E-12</c:v>
                </c:pt>
                <c:pt idx="100">
                  <c:v>4.7119831685935622E-12</c:v>
                </c:pt>
                <c:pt idx="101">
                  <c:v>4.7119831685935622E-12</c:v>
                </c:pt>
                <c:pt idx="102">
                  <c:v>4.7119831685935622E-12</c:v>
                </c:pt>
                <c:pt idx="103">
                  <c:v>4.7119831685935622E-12</c:v>
                </c:pt>
                <c:pt idx="104">
                  <c:v>4.7119831685935622E-12</c:v>
                </c:pt>
                <c:pt idx="105">
                  <c:v>4.7119831685935622E-12</c:v>
                </c:pt>
                <c:pt idx="106">
                  <c:v>4.7119831685935622E-12</c:v>
                </c:pt>
                <c:pt idx="107">
                  <c:v>4.7119831685935622E-12</c:v>
                </c:pt>
                <c:pt idx="108">
                  <c:v>4.7119831685935622E-12</c:v>
                </c:pt>
                <c:pt idx="109">
                  <c:v>4.7119831685935622E-12</c:v>
                </c:pt>
                <c:pt idx="110">
                  <c:v>4.7119831685935622E-12</c:v>
                </c:pt>
                <c:pt idx="111">
                  <c:v>4.7119831685935622E-12</c:v>
                </c:pt>
                <c:pt idx="112">
                  <c:v>4.7119831685935622E-12</c:v>
                </c:pt>
                <c:pt idx="113">
                  <c:v>4.7119831685935622E-12</c:v>
                </c:pt>
                <c:pt idx="114">
                  <c:v>4.7119831685935622E-12</c:v>
                </c:pt>
                <c:pt idx="115">
                  <c:v>4.7119831685935622E-12</c:v>
                </c:pt>
                <c:pt idx="116">
                  <c:v>4.7119831685935622E-12</c:v>
                </c:pt>
                <c:pt idx="117">
                  <c:v>4.7119831685935622E-12</c:v>
                </c:pt>
                <c:pt idx="118">
                  <c:v>4.7119831685935622E-12</c:v>
                </c:pt>
                <c:pt idx="119">
                  <c:v>4.7119831685935622E-12</c:v>
                </c:pt>
                <c:pt idx="120">
                  <c:v>4.7119831685935622E-12</c:v>
                </c:pt>
                <c:pt idx="121">
                  <c:v>4.7119831685935622E-12</c:v>
                </c:pt>
                <c:pt idx="122">
                  <c:v>4.7119831685935622E-12</c:v>
                </c:pt>
                <c:pt idx="123">
                  <c:v>4.7119831685935622E-12</c:v>
                </c:pt>
                <c:pt idx="124">
                  <c:v>4.7119831685935622E-12</c:v>
                </c:pt>
                <c:pt idx="125">
                  <c:v>4.7119831685935622E-12</c:v>
                </c:pt>
                <c:pt idx="126">
                  <c:v>4.7119831685935622E-12</c:v>
                </c:pt>
                <c:pt idx="127">
                  <c:v>4.7119831685935622E-12</c:v>
                </c:pt>
                <c:pt idx="128">
                  <c:v>4.7119831685935622E-12</c:v>
                </c:pt>
                <c:pt idx="129">
                  <c:v>4.7119831685935622E-12</c:v>
                </c:pt>
                <c:pt idx="130">
                  <c:v>4.7119831685935622E-12</c:v>
                </c:pt>
                <c:pt idx="131">
                  <c:v>4.7119831685935622E-12</c:v>
                </c:pt>
                <c:pt idx="132">
                  <c:v>4.7119831685935622E-12</c:v>
                </c:pt>
                <c:pt idx="133">
                  <c:v>4.7119831685935622E-12</c:v>
                </c:pt>
                <c:pt idx="134">
                  <c:v>4.7119831685935622E-12</c:v>
                </c:pt>
                <c:pt idx="135">
                  <c:v>4.7119831685935622E-12</c:v>
                </c:pt>
                <c:pt idx="136">
                  <c:v>4.7119831685935622E-12</c:v>
                </c:pt>
                <c:pt idx="137">
                  <c:v>4.7119831685935622E-12</c:v>
                </c:pt>
                <c:pt idx="138">
                  <c:v>4.7119831685935622E-12</c:v>
                </c:pt>
                <c:pt idx="139">
                  <c:v>4.7119831685935622E-12</c:v>
                </c:pt>
                <c:pt idx="140">
                  <c:v>4.7119831685935622E-12</c:v>
                </c:pt>
                <c:pt idx="141">
                  <c:v>4.7119831685935622E-12</c:v>
                </c:pt>
                <c:pt idx="142">
                  <c:v>4.7119831685935622E-12</c:v>
                </c:pt>
                <c:pt idx="143">
                  <c:v>4.7119831685935622E-12</c:v>
                </c:pt>
                <c:pt idx="144">
                  <c:v>4.7119831685935622E-12</c:v>
                </c:pt>
                <c:pt idx="145">
                  <c:v>4.7119831685935622E-12</c:v>
                </c:pt>
                <c:pt idx="146">
                  <c:v>4.7119831685935622E-12</c:v>
                </c:pt>
                <c:pt idx="147">
                  <c:v>4.7119831685935622E-12</c:v>
                </c:pt>
                <c:pt idx="148">
                  <c:v>4.7119831685935622E-12</c:v>
                </c:pt>
                <c:pt idx="149">
                  <c:v>4.7119831685935622E-12</c:v>
                </c:pt>
                <c:pt idx="150">
                  <c:v>4.7119831685935622E-12</c:v>
                </c:pt>
                <c:pt idx="151">
                  <c:v>4.7119831685935622E-12</c:v>
                </c:pt>
                <c:pt idx="152">
                  <c:v>4.7119831685935622E-12</c:v>
                </c:pt>
                <c:pt idx="153">
                  <c:v>4.7119831685935622E-12</c:v>
                </c:pt>
                <c:pt idx="154">
                  <c:v>4.7119831685935622E-12</c:v>
                </c:pt>
                <c:pt idx="155">
                  <c:v>4.7119831685935622E-12</c:v>
                </c:pt>
                <c:pt idx="156">
                  <c:v>4.7119831685935622E-12</c:v>
                </c:pt>
                <c:pt idx="157">
                  <c:v>4.7119831685935622E-12</c:v>
                </c:pt>
                <c:pt idx="158">
                  <c:v>4.7119831685935622E-12</c:v>
                </c:pt>
                <c:pt idx="159">
                  <c:v>4.7119831685935622E-12</c:v>
                </c:pt>
                <c:pt idx="160">
                  <c:v>4.7119831685935622E-12</c:v>
                </c:pt>
                <c:pt idx="161">
                  <c:v>4.7119831685935622E-12</c:v>
                </c:pt>
                <c:pt idx="162">
                  <c:v>4.7119831685935622E-12</c:v>
                </c:pt>
                <c:pt idx="163">
                  <c:v>4.7119831685935622E-12</c:v>
                </c:pt>
                <c:pt idx="164">
                  <c:v>4.7119831685935622E-12</c:v>
                </c:pt>
                <c:pt idx="165">
                  <c:v>4.7119831685935622E-12</c:v>
                </c:pt>
                <c:pt idx="166">
                  <c:v>4.7119831685935622E-12</c:v>
                </c:pt>
                <c:pt idx="167">
                  <c:v>4.7119831685935622E-12</c:v>
                </c:pt>
                <c:pt idx="168">
                  <c:v>4.7119831685935622E-12</c:v>
                </c:pt>
                <c:pt idx="169">
                  <c:v>4.7119831685935622E-12</c:v>
                </c:pt>
                <c:pt idx="170">
                  <c:v>4.7119831685935622E-12</c:v>
                </c:pt>
                <c:pt idx="171">
                  <c:v>4.7119831685935622E-12</c:v>
                </c:pt>
                <c:pt idx="172">
                  <c:v>4.7119831685935622E-12</c:v>
                </c:pt>
                <c:pt idx="173">
                  <c:v>4.7119831685935622E-12</c:v>
                </c:pt>
                <c:pt idx="174">
                  <c:v>4.7119831685935622E-12</c:v>
                </c:pt>
                <c:pt idx="175">
                  <c:v>4.7119831685935622E-12</c:v>
                </c:pt>
                <c:pt idx="176">
                  <c:v>4.7119831685935622E-12</c:v>
                </c:pt>
                <c:pt idx="177">
                  <c:v>4.7119831685935622E-12</c:v>
                </c:pt>
                <c:pt idx="178">
                  <c:v>4.7119831685935622E-12</c:v>
                </c:pt>
                <c:pt idx="179">
                  <c:v>4.7119831685935622E-12</c:v>
                </c:pt>
                <c:pt idx="180">
                  <c:v>4.7119831685935622E-12</c:v>
                </c:pt>
                <c:pt idx="181">
                  <c:v>4.7119831685935622E-12</c:v>
                </c:pt>
                <c:pt idx="182">
                  <c:v>4.7119831685935622E-12</c:v>
                </c:pt>
                <c:pt idx="183">
                  <c:v>4.7119831685935622E-12</c:v>
                </c:pt>
                <c:pt idx="184">
                  <c:v>4.7119831685935622E-12</c:v>
                </c:pt>
                <c:pt idx="185">
                  <c:v>4.7119831685935622E-12</c:v>
                </c:pt>
                <c:pt idx="186">
                  <c:v>4.7119831685935622E-12</c:v>
                </c:pt>
                <c:pt idx="187">
                  <c:v>4.7119831685935622E-12</c:v>
                </c:pt>
                <c:pt idx="188">
                  <c:v>4.7119831685935622E-12</c:v>
                </c:pt>
                <c:pt idx="189">
                  <c:v>4.7119831685935622E-12</c:v>
                </c:pt>
                <c:pt idx="190">
                  <c:v>4.7119831685935622E-12</c:v>
                </c:pt>
                <c:pt idx="191">
                  <c:v>4.7119831685935622E-12</c:v>
                </c:pt>
                <c:pt idx="192">
                  <c:v>4.7119831685935622E-12</c:v>
                </c:pt>
                <c:pt idx="193">
                  <c:v>4.7119831685935622E-12</c:v>
                </c:pt>
                <c:pt idx="194">
                  <c:v>4.7119831685935622E-12</c:v>
                </c:pt>
                <c:pt idx="195">
                  <c:v>4.7119831685935622E-12</c:v>
                </c:pt>
                <c:pt idx="196">
                  <c:v>4.7119831685935622E-12</c:v>
                </c:pt>
                <c:pt idx="197">
                  <c:v>4.7119831685935622E-12</c:v>
                </c:pt>
                <c:pt idx="198">
                  <c:v>4.7119831685935622E-12</c:v>
                </c:pt>
                <c:pt idx="199">
                  <c:v>4.7119831685935622E-12</c:v>
                </c:pt>
                <c:pt idx="200">
                  <c:v>4.7119831685935622E-12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2.6519655211592874</c:v>
                </c:pt>
                <c:pt idx="2">
                  <c:v>3.2610223314459752</c:v>
                </c:pt>
                <c:pt idx="3">
                  <c:v>4.0104905158163051</c:v>
                </c:pt>
                <c:pt idx="4">
                  <c:v>4.9328564726428068</c:v>
                </c:pt>
                <c:pt idx="5">
                  <c:v>6.068147991440398</c:v>
                </c:pt>
                <c:pt idx="6">
                  <c:v>7.4656903389318279</c:v>
                </c:pt>
                <c:pt idx="7">
                  <c:v>9.1862724344194735</c:v>
                </c:pt>
                <c:pt idx="8">
                  <c:v>11.304819130811806</c:v>
                </c:pt>
                <c:pt idx="9">
                  <c:v>13.913688152008866</c:v>
                </c:pt>
                <c:pt idx="10">
                  <c:v>17.126738071781514</c:v>
                </c:pt>
                <c:pt idx="11">
                  <c:v>21.084348102790369</c:v>
                </c:pt>
                <c:pt idx="12">
                  <c:v>25.959612940843225</c:v>
                </c:pt>
                <c:pt idx="13">
                  <c:v>31.965988387315338</c:v>
                </c:pt>
                <c:pt idx="14">
                  <c:v>39.366728311080898</c:v>
                </c:pt>
                <c:pt idx="15">
                  <c:v>48.486533626988098</c:v>
                </c:pt>
                <c:pt idx="16">
                  <c:v>59.725932966858835</c:v>
                </c:pt>
                <c:pt idx="17">
                  <c:v>73.579037059713301</c:v>
                </c:pt>
                <c:pt idx="18">
                  <c:v>90.655460033245092</c:v>
                </c:pt>
                <c:pt idx="19">
                  <c:v>111.70738771533587</c:v>
                </c:pt>
                <c:pt idx="20">
                  <c:v>137.66300398229683</c:v>
                </c:pt>
                <c:pt idx="21">
                  <c:v>139.86706331239944</c:v>
                </c:pt>
                <c:pt idx="22">
                  <c:v>153.07440627470763</c:v>
                </c:pt>
                <c:pt idx="23">
                  <c:v>166.25463305956598</c:v>
                </c:pt>
                <c:pt idx="24">
                  <c:v>179.41019776275084</c:v>
                </c:pt>
                <c:pt idx="25">
                  <c:v>192.54316466070134</c:v>
                </c:pt>
                <c:pt idx="26">
                  <c:v>158.20312733333313</c:v>
                </c:pt>
                <c:pt idx="27">
                  <c:v>175.02761536134474</c:v>
                </c:pt>
                <c:pt idx="28">
                  <c:v>191.81411712876402</c:v>
                </c:pt>
                <c:pt idx="29">
                  <c:v>208.56642615430928</c:v>
                </c:pt>
                <c:pt idx="30">
                  <c:v>225.28767604319731</c:v>
                </c:pt>
                <c:pt idx="31">
                  <c:v>194.0010672384883</c:v>
                </c:pt>
                <c:pt idx="32">
                  <c:v>213.65866040016559</c:v>
                </c:pt>
                <c:pt idx="33">
                  <c:v>233.27460027305116</c:v>
                </c:pt>
                <c:pt idx="34">
                  <c:v>252.85288210026226</c:v>
                </c:pt>
                <c:pt idx="35">
                  <c:v>272.39683147829243</c:v>
                </c:pt>
                <c:pt idx="36">
                  <c:v>241.9804968286094</c:v>
                </c:pt>
                <c:pt idx="37">
                  <c:v>262.26703366253628</c:v>
                </c:pt>
                <c:pt idx="38">
                  <c:v>282.51816051208363</c:v>
                </c:pt>
                <c:pt idx="39">
                  <c:v>302.73677181781744</c:v>
                </c:pt>
                <c:pt idx="40">
                  <c:v>322.92534379451826</c:v>
                </c:pt>
                <c:pt idx="41">
                  <c:v>292.99240696074895</c:v>
                </c:pt>
                <c:pt idx="42">
                  <c:v>313.55567069110168</c:v>
                </c:pt>
                <c:pt idx="43">
                  <c:v>334.08903883375007</c:v>
                </c:pt>
                <c:pt idx="44">
                  <c:v>354.59460634776502</c:v>
                </c:pt>
                <c:pt idx="45">
                  <c:v>375.07420618051674</c:v>
                </c:pt>
                <c:pt idx="46">
                  <c:v>344.52504925832596</c:v>
                </c:pt>
                <c:pt idx="47">
                  <c:v>364.29860280650678</c:v>
                </c:pt>
                <c:pt idx="48">
                  <c:v>384.04871588248369</c:v>
                </c:pt>
                <c:pt idx="49">
                  <c:v>403.77676289014676</c:v>
                </c:pt>
                <c:pt idx="50">
                  <c:v>423.48397302905886</c:v>
                </c:pt>
                <c:pt idx="51">
                  <c:v>391.58377731754803</c:v>
                </c:pt>
                <c:pt idx="52">
                  <c:v>409.870253510586</c:v>
                </c:pt>
                <c:pt idx="53">
                  <c:v>428.1391190250547</c:v>
                </c:pt>
                <c:pt idx="54">
                  <c:v>446.39123070522641</c:v>
                </c:pt>
                <c:pt idx="55">
                  <c:v>464.62736964269283</c:v>
                </c:pt>
                <c:pt idx="56">
                  <c:v>431.36127413252484</c:v>
                </c:pt>
                <c:pt idx="57">
                  <c:v>448.1797816290819</c:v>
                </c:pt>
                <c:pt idx="58">
                  <c:v>464.98478623960131</c:v>
                </c:pt>
                <c:pt idx="59">
                  <c:v>481.77684446495124</c:v>
                </c:pt>
                <c:pt idx="60">
                  <c:v>498.55647086626527</c:v>
                </c:pt>
                <c:pt idx="61">
                  <c:v>464.2699471814667</c:v>
                </c:pt>
                <c:pt idx="62">
                  <c:v>479.99105490653511</c:v>
                </c:pt>
                <c:pt idx="63">
                  <c:v>495.70122118881324</c:v>
                </c:pt>
                <c:pt idx="64">
                  <c:v>511.40084148822439</c:v>
                </c:pt>
                <c:pt idx="65">
                  <c:v>527.09028501417208</c:v>
                </c:pt>
                <c:pt idx="66">
                  <c:v>491.77468328265195</c:v>
                </c:pt>
                <c:pt idx="67">
                  <c:v>506.40662874127952</c:v>
                </c:pt>
                <c:pt idx="68">
                  <c:v>521.02963842518272</c:v>
                </c:pt>
                <c:pt idx="69">
                  <c:v>535.64399835878714</c:v>
                </c:pt>
                <c:pt idx="70">
                  <c:v>550.24997769212484</c:v>
                </c:pt>
                <c:pt idx="71">
                  <c:v>513.89756085284455</c:v>
                </c:pt>
                <c:pt idx="72">
                  <c:v>527.44674775244675</c:v>
                </c:pt>
                <c:pt idx="73">
                  <c:v>540.9886077852442</c:v>
                </c:pt>
                <c:pt idx="74">
                  <c:v>554.52335013925483</c:v>
                </c:pt>
                <c:pt idx="75">
                  <c:v>568.05117296149115</c:v>
                </c:pt>
                <c:pt idx="76">
                  <c:v>531.01109674664542</c:v>
                </c:pt>
                <c:pt idx="77">
                  <c:v>543.83861192085692</c:v>
                </c:pt>
                <c:pt idx="78">
                  <c:v>556.65977724898164</c:v>
                </c:pt>
                <c:pt idx="79">
                  <c:v>569.4747595509881</c:v>
                </c:pt>
                <c:pt idx="80">
                  <c:v>582.28371752891621</c:v>
                </c:pt>
                <c:pt idx="81">
                  <c:v>544.55106389111097</c:v>
                </c:pt>
                <c:pt idx="82">
                  <c:v>556.65977724898164</c:v>
                </c:pt>
                <c:pt idx="83">
                  <c:v>568.76297556535803</c:v>
                </c:pt>
                <c:pt idx="84">
                  <c:v>580.86079271099538</c:v>
                </c:pt>
                <c:pt idx="85">
                  <c:v>592.95335652703079</c:v>
                </c:pt>
                <c:pt idx="86">
                  <c:v>554.52335013925483</c:v>
                </c:pt>
                <c:pt idx="87">
                  <c:v>565.91565317360812</c:v>
                </c:pt>
                <c:pt idx="88">
                  <c:v>577.3031621395595</c:v>
                </c:pt>
                <c:pt idx="89">
                  <c:v>588.68598491201885</c:v>
                </c:pt>
                <c:pt idx="90">
                  <c:v>600.06422485487678</c:v>
                </c:pt>
                <c:pt idx="91">
                  <c:v>561.28811451546574</c:v>
                </c:pt>
                <c:pt idx="92">
                  <c:v>572.32170984162212</c:v>
                </c:pt>
                <c:pt idx="93">
                  <c:v>583.35086355242277</c:v>
                </c:pt>
                <c:pt idx="94">
                  <c:v>594.37567144551701</c:v>
                </c:pt>
                <c:pt idx="95">
                  <c:v>605.39622547563874</c:v>
                </c:pt>
                <c:pt idx="96">
                  <c:v>565.55971684392978</c:v>
                </c:pt>
                <c:pt idx="97">
                  <c:v>575.52417545438084</c:v>
                </c:pt>
                <c:pt idx="98">
                  <c:v>585.4850335942682</c:v>
                </c:pt>
                <c:pt idx="99">
                  <c:v>595.44236114883586</c:v>
                </c:pt>
                <c:pt idx="100">
                  <c:v>605.39622547563897</c:v>
                </c:pt>
                <c:pt idx="101">
                  <c:v>566.98343408818027</c:v>
                </c:pt>
                <c:pt idx="102">
                  <c:v>576.59158121605947</c:v>
                </c:pt>
                <c:pt idx="103">
                  <c:v>586.19638755057997</c:v>
                </c:pt>
                <c:pt idx="104">
                  <c:v>595.79791554499843</c:v>
                </c:pt>
                <c:pt idx="105">
                  <c:v>605.39622547563874</c:v>
                </c:pt>
                <c:pt idx="106">
                  <c:v>568.05117296149081</c:v>
                </c:pt>
                <c:pt idx="107">
                  <c:v>576.94737396741823</c:v>
                </c:pt>
                <c:pt idx="108">
                  <c:v>585.84071282237755</c:v>
                </c:pt>
                <c:pt idx="109">
                  <c:v>594.73123910211143</c:v>
                </c:pt>
                <c:pt idx="110">
                  <c:v>603.61900077928851</c:v>
                </c:pt>
                <c:pt idx="111">
                  <c:v>564.13592464467138</c:v>
                </c:pt>
                <c:pt idx="112">
                  <c:v>569.11886988378967</c:v>
                </c:pt>
                <c:pt idx="113">
                  <c:v>574.10090346679817</c:v>
                </c:pt>
                <c:pt idx="114">
                  <c:v>579.08203442466458</c:v>
                </c:pt>
                <c:pt idx="115">
                  <c:v>584.06227162025073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149.95176191502506</c:v>
                </c:pt>
                <c:pt idx="22">
                  <c:v>164.11390630042692</c:v>
                </c:pt>
                <c:pt idx="23">
                  <c:v>178.24716715271646</c:v>
                </c:pt>
                <c:pt idx="24">
                  <c:v>192.35415851868379</c:v>
                </c:pt>
                <c:pt idx="25">
                  <c:v>206.43707921846078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208.00044644770739</c:v>
                </c:pt>
                <c:pt idx="32">
                  <c:v>229.08024217931529</c:v>
                </c:pt>
                <c:pt idx="33">
                  <c:v>250.11566977871598</c:v>
                </c:pt>
                <c:pt idx="34">
                  <c:v>271.11098488765998</c:v>
                </c:pt>
                <c:pt idx="35">
                  <c:v>292.06972985560316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</c:v>
                </c:pt>
                <c:pt idx="39">
                  <c:v>324.60643807826506</c:v>
                </c:pt>
                <c:pt idx="40">
                  <c:v>346.25704166537031</c:v>
                </c:pt>
                <c:pt idx="41">
                  <c:v>314.15647495690467</c:v>
                </c:pt>
                <c:pt idx="42">
                  <c:v>336.20880231759617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402.18336673633218</c:v>
                </c:pt>
                <c:pt idx="46">
                  <c:v>369.42119511414558</c:v>
                </c:pt>
                <c:pt idx="47">
                  <c:v>390.62711987431999</c:v>
                </c:pt>
                <c:pt idx="48">
                  <c:v>411.80807637868764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419.88907590240791</c:v>
                </c:pt>
                <c:pt idx="52">
                  <c:v>439.50055712660469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497.84269099902531</c:v>
                </c:pt>
                <c:pt idx="62">
                  <c:v>514.70332559574479</c:v>
                </c:pt>
                <c:pt idx="63">
                  <c:v>531.55230561741564</c:v>
                </c:pt>
                <c:pt idx="64">
                  <c:v>548.39005229891859</c:v>
                </c:pt>
                <c:pt idx="65">
                  <c:v>565.21695891368086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551.067775468881</c:v>
                </c:pt>
                <c:pt idx="72">
                  <c:v>565.5992655562859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609.14778887966054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583.94370486394735</c:v>
                </c:pt>
                <c:pt idx="82">
                  <c:v>596.93039273337797</c:v>
                </c:pt>
                <c:pt idx="83">
                  <c:v>609.91120610652649</c:v>
                </c:pt>
                <c:pt idx="84">
                  <c:v>622.88628757946492</c:v>
                </c:pt>
                <c:pt idx="85">
                  <c:v>635.85577332565333</c:v>
                </c:pt>
                <c:pt idx="86">
                  <c:v>594.63905531968851</c:v>
                </c:pt>
                <c:pt idx="87">
                  <c:v>606.85741792448357</c:v>
                </c:pt>
                <c:pt idx="88">
                  <c:v>619.07067399707296</c:v>
                </c:pt>
                <c:pt idx="89">
                  <c:v>631.27893844334869</c:v>
                </c:pt>
                <c:pt idx="90">
                  <c:v>643.48232136416652</c:v>
                </c:pt>
                <c:pt idx="91">
                  <c:v>601.8943306586167</c:v>
                </c:pt>
                <c:pt idx="92">
                  <c:v>613.72799533010163</c:v>
                </c:pt>
                <c:pt idx="93">
                  <c:v>625.55692889431919</c:v>
                </c:pt>
                <c:pt idx="94">
                  <c:v>637.3812333927383</c:v>
                </c:pt>
                <c:pt idx="95">
                  <c:v>649.20100677344158</c:v>
                </c:pt>
                <c:pt idx="96">
                  <c:v>606.4756720002963</c:v>
                </c:pt>
                <c:pt idx="97">
                  <c:v>617.16268463508527</c:v>
                </c:pt>
                <c:pt idx="98">
                  <c:v>627.84586213083401</c:v>
                </c:pt>
                <c:pt idx="99">
                  <c:v>638.52527892770956</c:v>
                </c:pt>
                <c:pt idx="100">
                  <c:v>649.2010067734418</c:v>
                </c:pt>
                <c:pt idx="101">
                  <c:v>608.00262579276773</c:v>
                </c:pt>
                <c:pt idx="102">
                  <c:v>618.30749289907283</c:v>
                </c:pt>
                <c:pt idx="103">
                  <c:v>628.60880146856778</c:v>
                </c:pt>
                <c:pt idx="104">
                  <c:v>638.90661802503598</c:v>
                </c:pt>
                <c:pt idx="105">
                  <c:v>649.20100677344158</c:v>
                </c:pt>
                <c:pt idx="106">
                  <c:v>609.14778887966042</c:v>
                </c:pt>
                <c:pt idx="107">
                  <c:v>618.68908588691181</c:v>
                </c:pt>
                <c:pt idx="108">
                  <c:v>628.22733419630015</c:v>
                </c:pt>
                <c:pt idx="109">
                  <c:v>637.76258661477357</c:v>
                </c:pt>
                <c:pt idx="110">
                  <c:v>647.29489424172459</c:v>
                </c:pt>
                <c:pt idx="111">
                  <c:v>604.94863836746174</c:v>
                </c:pt>
                <c:pt idx="112">
                  <c:v>610.29290728129274</c:v>
                </c:pt>
                <c:pt idx="113">
                  <c:v>615.63620511985016</c:v>
                </c:pt>
                <c:pt idx="114">
                  <c:v>620.97854150271473</c:v>
                </c:pt>
                <c:pt idx="115">
                  <c:v>626.31992587040452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174.09395685591758</c:v>
                </c:pt>
                <c:pt idx="22">
                  <c:v>183.42535972935536</c:v>
                </c:pt>
                <c:pt idx="23">
                  <c:v>192.7456664489298</c:v>
                </c:pt>
                <c:pt idx="24">
                  <c:v>202.05548980820535</c:v>
                </c:pt>
                <c:pt idx="25">
                  <c:v>211.35538144796087</c:v>
                </c:pt>
                <c:pt idx="26">
                  <c:v>220.64584044043249</c:v>
                </c:pt>
                <c:pt idx="27">
                  <c:v>229.92732035004965</c:v>
                </c:pt>
                <c:pt idx="28">
                  <c:v>239.20023509293392</c:v>
                </c:pt>
                <c:pt idx="29">
                  <c:v>248.46496383915073</c:v>
                </c:pt>
                <c:pt idx="30">
                  <c:v>257.72185514470976</c:v>
                </c:pt>
                <c:pt idx="31">
                  <c:v>267.77517870928619</c:v>
                </c:pt>
                <c:pt idx="32">
                  <c:v>277.82000253977026</c:v>
                </c:pt>
                <c:pt idx="33">
                  <c:v>287.85667749117096</c:v>
                </c:pt>
                <c:pt idx="34">
                  <c:v>297.8855279367562</c:v>
                </c:pt>
                <c:pt idx="35">
                  <c:v>307.90685461043853</c:v>
                </c:pt>
                <c:pt idx="36">
                  <c:v>317.92093705953039</c:v>
                </c:pt>
                <c:pt idx="37">
                  <c:v>327.9280357721243</c:v>
                </c:pt>
                <c:pt idx="38">
                  <c:v>337.92839403108059</c:v>
                </c:pt>
                <c:pt idx="39">
                  <c:v>347.92223953697516</c:v>
                </c:pt>
                <c:pt idx="40">
                  <c:v>357.90978583474572</c:v>
                </c:pt>
                <c:pt idx="41">
                  <c:v>281.33374857482306</c:v>
                </c:pt>
                <c:pt idx="42">
                  <c:v>292.87206145774769</c:v>
                </c:pt>
                <c:pt idx="43">
                  <c:v>304.4002281922775</c:v>
                </c:pt>
                <c:pt idx="44">
                  <c:v>315.91868734548348</c:v>
                </c:pt>
                <c:pt idx="45">
                  <c:v>327.42784287888759</c:v>
                </c:pt>
                <c:pt idx="46">
                  <c:v>338.92806802551439</c:v>
                </c:pt>
                <c:pt idx="47">
                  <c:v>350.41970861300121</c:v>
                </c:pt>
                <c:pt idx="48">
                  <c:v>361.90308592785351</c:v>
                </c:pt>
                <c:pt idx="49">
                  <c:v>373.37849919705508</c:v>
                </c:pt>
                <c:pt idx="50">
                  <c:v>384.84622774857962</c:v>
                </c:pt>
                <c:pt idx="51">
                  <c:v>398.29889002851684</c:v>
                </c:pt>
                <c:pt idx="52">
                  <c:v>411.74171584285909</c:v>
                </c:pt>
                <c:pt idx="53">
                  <c:v>425.17507157110907</c:v>
                </c:pt>
                <c:pt idx="54">
                  <c:v>438.59929855364607</c:v>
                </c:pt>
                <c:pt idx="55">
                  <c:v>452.01471553305851</c:v>
                </c:pt>
                <c:pt idx="56">
                  <c:v>465.4216207905576</c:v>
                </c:pt>
                <c:pt idx="57">
                  <c:v>478.82029402342147</c:v>
                </c:pt>
                <c:pt idx="58">
                  <c:v>492.21099800137659</c:v>
                </c:pt>
                <c:pt idx="59">
                  <c:v>505.59398003337168</c:v>
                </c:pt>
                <c:pt idx="60">
                  <c:v>518.96947327099531</c:v>
                </c:pt>
                <c:pt idx="61">
                  <c:v>433.13125009429888</c:v>
                </c:pt>
                <c:pt idx="62">
                  <c:v>448.53747345882579</c:v>
                </c:pt>
                <c:pt idx="63">
                  <c:v>463.93237613431779</c:v>
                </c:pt>
                <c:pt idx="64">
                  <c:v>479.31638656594299</c:v>
                </c:pt>
                <c:pt idx="65">
                  <c:v>494.68990346234278</c:v>
                </c:pt>
                <c:pt idx="66">
                  <c:v>510.05329873866975</c:v>
                </c:pt>
                <c:pt idx="67">
                  <c:v>525.40692008667054</c:v>
                </c:pt>
                <c:pt idx="68">
                  <c:v>540.7510932288169</c:v>
                </c:pt>
                <c:pt idx="69">
                  <c:v>556.08612390336521</c:v>
                </c:pt>
                <c:pt idx="70">
                  <c:v>571.41229961914621</c:v>
                </c:pt>
                <c:pt idx="71">
                  <c:v>476.33966710128726</c:v>
                </c:pt>
                <c:pt idx="72">
                  <c:v>493.20259187340275</c:v>
                </c:pt>
                <c:pt idx="73">
                  <c:v>510.05329873866975</c:v>
                </c:pt>
                <c:pt idx="74">
                  <c:v>526.89224796595784</c:v>
                </c:pt>
                <c:pt idx="75">
                  <c:v>543.71986802143499</c:v>
                </c:pt>
                <c:pt idx="76">
                  <c:v>560.53655870248667</c:v>
                </c:pt>
                <c:pt idx="77">
                  <c:v>577.34269387615848</c:v>
                </c:pt>
                <c:pt idx="78">
                  <c:v>594.13862388231712</c:v>
                </c:pt>
                <c:pt idx="79">
                  <c:v>610.92467765108313</c:v>
                </c:pt>
                <c:pt idx="80">
                  <c:v>627.7011645755814</c:v>
                </c:pt>
                <c:pt idx="81">
                  <c:v>522.43599863349357</c:v>
                </c:pt>
                <c:pt idx="82">
                  <c:v>539.76142564164627</c:v>
                </c:pt>
                <c:pt idx="83">
                  <c:v>557.07517366526417</c:v>
                </c:pt>
                <c:pt idx="84">
                  <c:v>574.37765656188185</c:v>
                </c:pt>
                <c:pt idx="85">
                  <c:v>591.66926123844598</c:v>
                </c:pt>
                <c:pt idx="86">
                  <c:v>608.9503501588116</c:v>
                </c:pt>
                <c:pt idx="87">
                  <c:v>626.22126355197076</c:v>
                </c:pt>
                <c:pt idx="88">
                  <c:v>643.48232136416652</c:v>
                </c:pt>
                <c:pt idx="89">
                  <c:v>660.73382499079833</c:v>
                </c:pt>
                <c:pt idx="90">
                  <c:v>677.97605881818208</c:v>
                </c:pt>
                <c:pt idx="91">
                  <c:v>563.00870251947458</c:v>
                </c:pt>
                <c:pt idx="92">
                  <c:v>581.29558299844405</c:v>
                </c:pt>
                <c:pt idx="93">
                  <c:v>599.57047141581245</c:v>
                </c:pt>
                <c:pt idx="94">
                  <c:v>617.83378446799827</c:v>
                </c:pt>
                <c:pt idx="95">
                  <c:v>636.08591222734628</c:v>
                </c:pt>
                <c:pt idx="96">
                  <c:v>654.32722057391766</c:v>
                </c:pt>
                <c:pt idx="97">
                  <c:v>672.55805334220952</c:v>
                </c:pt>
                <c:pt idx="98">
                  <c:v>690.77873422319624</c:v>
                </c:pt>
                <c:pt idx="99">
                  <c:v>708.98956845542261</c:v>
                </c:pt>
                <c:pt idx="100">
                  <c:v>727.19084433347155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2.031907402748768</c:v>
                </c:pt>
                <c:pt idx="2">
                  <c:v>2.6623840980288702</c:v>
                </c:pt>
                <c:pt idx="3">
                  <c:v>3.4892924617433518</c:v>
                </c:pt>
                <c:pt idx="4">
                  <c:v>4.5740685657030165</c:v>
                </c:pt>
                <c:pt idx="5">
                  <c:v>5.9974322325810041</c:v>
                </c:pt>
                <c:pt idx="6">
                  <c:v>7.8654599863275783</c:v>
                </c:pt>
                <c:pt idx="7">
                  <c:v>10.317576370738935</c:v>
                </c:pt>
                <c:pt idx="8">
                  <c:v>13.53707131484501</c:v>
                </c:pt>
                <c:pt idx="9">
                  <c:v>17.764944205134721</c:v>
                </c:pt>
                <c:pt idx="10">
                  <c:v>23.318129731757608</c:v>
                </c:pt>
                <c:pt idx="11">
                  <c:v>30.613496000795752</c:v>
                </c:pt>
                <c:pt idx="12">
                  <c:v>40.19944770009392</c:v>
                </c:pt>
                <c:pt idx="13">
                  <c:v>52.797550388930141</c:v>
                </c:pt>
                <c:pt idx="14">
                  <c:v>69.357361279449364</c:v>
                </c:pt>
                <c:pt idx="15">
                  <c:v>91.128666622788032</c:v>
                </c:pt>
                <c:pt idx="16">
                  <c:v>119.75666445822681</c:v>
                </c:pt>
                <c:pt idx="17">
                  <c:v>157.40739759934175</c:v>
                </c:pt>
                <c:pt idx="18">
                  <c:v>152.63928887769075</c:v>
                </c:pt>
                <c:pt idx="19">
                  <c:v>167.36613849703656</c:v>
                </c:pt>
                <c:pt idx="20">
                  <c:v>182.06242044637693</c:v>
                </c:pt>
                <c:pt idx="21">
                  <c:v>183.8758659829856</c:v>
                </c:pt>
                <c:pt idx="22">
                  <c:v>205.0891292024188</c:v>
                </c:pt>
                <c:pt idx="23">
                  <c:v>226.25164550125564</c:v>
                </c:pt>
                <c:pt idx="24">
                  <c:v>247.36882925179307</c:v>
                </c:pt>
                <c:pt idx="25">
                  <c:v>268.44509403501723</c:v>
                </c:pt>
                <c:pt idx="26">
                  <c:v>244.79583422246174</c:v>
                </c:pt>
                <c:pt idx="27">
                  <c:v>267.41787510049454</c:v>
                </c:pt>
                <c:pt idx="28">
                  <c:v>289.99681160231404</c:v>
                </c:pt>
                <c:pt idx="29">
                  <c:v>312.53647021104257</c:v>
                </c:pt>
                <c:pt idx="30">
                  <c:v>335.04008037896625</c:v>
                </c:pt>
                <c:pt idx="31">
                  <c:v>289.99681160231404</c:v>
                </c:pt>
                <c:pt idx="32">
                  <c:v>314.07191886152782</c:v>
                </c:pt>
                <c:pt idx="33">
                  <c:v>338.10611860508033</c:v>
                </c:pt>
                <c:pt idx="34">
                  <c:v>362.10272554390014</c:v>
                </c:pt>
                <c:pt idx="35">
                  <c:v>386.06457932909711</c:v>
                </c:pt>
                <c:pt idx="36">
                  <c:v>342.1932186321871</c:v>
                </c:pt>
                <c:pt idx="37">
                  <c:v>364.6534648608133</c:v>
                </c:pt>
                <c:pt idx="38">
                  <c:v>387.08350012671559</c:v>
                </c:pt>
                <c:pt idx="39">
                  <c:v>409.48531996489623</c:v>
                </c:pt>
                <c:pt idx="40">
                  <c:v>431.86068387305687</c:v>
                </c:pt>
                <c:pt idx="41">
                  <c:v>396.25118655434966</c:v>
                </c:pt>
                <c:pt idx="42">
                  <c:v>421.69323961894696</c:v>
                </c:pt>
                <c:pt idx="43">
                  <c:v>447.10225323882656</c:v>
                </c:pt>
                <c:pt idx="44">
                  <c:v>472.48036714392646</c:v>
                </c:pt>
                <c:pt idx="45">
                  <c:v>497.8294726490094</c:v>
                </c:pt>
                <c:pt idx="46">
                  <c:v>447.61011165255627</c:v>
                </c:pt>
                <c:pt idx="47">
                  <c:v>469.69022691951341</c:v>
                </c:pt>
                <c:pt idx="48">
                  <c:v>491.74823970258649</c:v>
                </c:pt>
                <c:pt idx="49">
                  <c:v>513.78528004261909</c:v>
                </c:pt>
                <c:pt idx="50">
                  <c:v>535.80237321728112</c:v>
                </c:pt>
                <c:pt idx="51">
                  <c:v>500.61617734977295</c:v>
                </c:pt>
                <c:pt idx="52">
                  <c:v>524.92279412001812</c:v>
                </c:pt>
                <c:pt idx="53">
                  <c:v>549.20570960219959</c:v>
                </c:pt>
                <c:pt idx="54">
                  <c:v>573.46611798533252</c:v>
                </c:pt>
                <c:pt idx="55">
                  <c:v>597.7051042871891</c:v>
                </c:pt>
                <c:pt idx="56">
                  <c:v>558.55867937490257</c:v>
                </c:pt>
                <c:pt idx="57">
                  <c:v>580.03291566489895</c:v>
                </c:pt>
                <c:pt idx="58">
                  <c:v>601.49057626451452</c:v>
                </c:pt>
                <c:pt idx="59">
                  <c:v>622.93233512534789</c:v>
                </c:pt>
                <c:pt idx="60">
                  <c:v>644.35881606732414</c:v>
                </c:pt>
                <c:pt idx="61">
                  <c:v>625.95816246292009</c:v>
                </c:pt>
                <c:pt idx="62">
                  <c:v>647.88645878177363</c:v>
                </c:pt>
                <c:pt idx="63">
                  <c:v>669.79945190168917</c:v>
                </c:pt>
                <c:pt idx="64">
                  <c:v>691.69771238133637</c:v>
                </c:pt>
                <c:pt idx="65">
                  <c:v>713.58177174919854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" zoomScale="90" zoomScaleNormal="90" workbookViewId="0">
      <selection activeCell="H18" sqref="H18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9.5299999999999994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44</v>
      </c>
      <c r="C9" s="35">
        <v>0.34</v>
      </c>
      <c r="D9" s="36">
        <f t="shared" ref="D9:D18" si="0">C9*$C$5</f>
        <v>3.2402000000000002</v>
      </c>
      <c r="E9" s="37">
        <v>45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11</v>
      </c>
      <c r="C10" s="35">
        <v>0.11</v>
      </c>
      <c r="D10" s="36">
        <f t="shared" si="0"/>
        <v>1.0483</v>
      </c>
      <c r="E10" s="37">
        <v>115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14</v>
      </c>
      <c r="C11" s="35">
        <v>0.28000000000000003</v>
      </c>
      <c r="D11" s="36">
        <f t="shared" si="0"/>
        <v>2.6684000000000001</v>
      </c>
      <c r="E11" s="37">
        <v>115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164</v>
      </c>
      <c r="C12" s="35">
        <v>0.13</v>
      </c>
      <c r="D12" s="36">
        <f t="shared" si="0"/>
        <v>1.2388999999999999</v>
      </c>
      <c r="E12" s="37">
        <v>100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35</v>
      </c>
      <c r="C13" s="35">
        <v>0.14000000000000001</v>
      </c>
      <c r="D13" s="36">
        <f t="shared" si="0"/>
        <v>1.3342000000000001</v>
      </c>
      <c r="E13" s="37">
        <v>65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9.5300000000000011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Robinier faux-acacia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5</v>
      </c>
      <c r="B36" s="63">
        <v>28</v>
      </c>
      <c r="C36" s="63">
        <v>1</v>
      </c>
      <c r="D36" s="63">
        <v>4</v>
      </c>
      <c r="E36" s="54"/>
      <c r="F36" s="54"/>
      <c r="G36" s="54"/>
      <c r="H36" s="54"/>
      <c r="I36" s="52">
        <f>IFERROR(B36/A36,"")</f>
        <v>5.6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10</v>
      </c>
      <c r="B37" s="63">
        <v>79</v>
      </c>
      <c r="C37" s="63">
        <v>2</v>
      </c>
      <c r="D37" s="63">
        <v>21</v>
      </c>
      <c r="E37" s="54"/>
      <c r="F37" s="54"/>
      <c r="G37" s="54"/>
      <c r="H37" s="54"/>
      <c r="I37" s="56">
        <f t="shared" ref="I37:I55" si="1">IF(A37&lt;&gt;0,(B37-(B36-D36))/(A37-A36),"")</f>
        <v>11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15</v>
      </c>
      <c r="B38" s="63">
        <v>113</v>
      </c>
      <c r="C38" s="63">
        <v>3</v>
      </c>
      <c r="D38" s="63">
        <v>17</v>
      </c>
      <c r="E38" s="54"/>
      <c r="F38" s="54"/>
      <c r="G38" s="54"/>
      <c r="H38" s="54"/>
      <c r="I38" s="56">
        <f t="shared" si="1"/>
        <v>11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20</v>
      </c>
      <c r="B39" s="63">
        <v>145</v>
      </c>
      <c r="C39" s="63">
        <v>4</v>
      </c>
      <c r="D39" s="63">
        <v>14</v>
      </c>
      <c r="E39" s="54"/>
      <c r="F39" s="54"/>
      <c r="G39" s="54"/>
      <c r="H39" s="54"/>
      <c r="I39" s="52">
        <f t="shared" si="1"/>
        <v>9.8000000000000007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25</v>
      </c>
      <c r="B40" s="63">
        <v>173</v>
      </c>
      <c r="C40" s="63">
        <v>5</v>
      </c>
      <c r="D40" s="63">
        <v>11</v>
      </c>
      <c r="E40" s="54"/>
      <c r="F40" s="54"/>
      <c r="G40" s="54"/>
      <c r="H40" s="54"/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30</v>
      </c>
      <c r="B41" s="63">
        <v>196</v>
      </c>
      <c r="C41" s="63">
        <v>6</v>
      </c>
      <c r="D41" s="63">
        <v>9</v>
      </c>
      <c r="E41" s="54">
        <v>0.2</v>
      </c>
      <c r="F41" s="54">
        <v>0.35</v>
      </c>
      <c r="G41" s="54">
        <v>0.5</v>
      </c>
      <c r="H41" s="54"/>
      <c r="I41" s="56">
        <f t="shared" si="1"/>
        <v>6.8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35</v>
      </c>
      <c r="B42" s="63">
        <v>216</v>
      </c>
      <c r="C42" s="63">
        <v>7</v>
      </c>
      <c r="D42" s="63">
        <v>7</v>
      </c>
      <c r="E42" s="54"/>
      <c r="F42" s="54"/>
      <c r="G42" s="54"/>
      <c r="H42" s="54"/>
      <c r="I42" s="56">
        <f t="shared" si="1"/>
        <v>5.8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40</v>
      </c>
      <c r="B43" s="63">
        <v>233</v>
      </c>
      <c r="C43" s="63">
        <v>8</v>
      </c>
      <c r="D43" s="63">
        <v>6</v>
      </c>
      <c r="E43" s="54"/>
      <c r="F43" s="54"/>
      <c r="G43" s="54"/>
      <c r="H43" s="54"/>
      <c r="I43" s="52">
        <f t="shared" si="1"/>
        <v>4.8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45</v>
      </c>
      <c r="B44" s="63">
        <v>252</v>
      </c>
      <c r="C44" s="63">
        <v>9</v>
      </c>
      <c r="D44" s="63">
        <v>252</v>
      </c>
      <c r="E44" s="54"/>
      <c r="F44" s="54"/>
      <c r="G44" s="54"/>
      <c r="H44" s="54"/>
      <c r="I44" s="52">
        <f t="shared" si="1"/>
        <v>5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pédonculé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3">
        <v>73</v>
      </c>
      <c r="C62" s="63">
        <v>1</v>
      </c>
      <c r="D62" s="63">
        <v>6</v>
      </c>
      <c r="E62" s="54">
        <v>0.2</v>
      </c>
      <c r="F62" s="54"/>
      <c r="G62" s="54">
        <v>0.8</v>
      </c>
      <c r="H62" s="54"/>
      <c r="I62" s="56">
        <f>IFERROR(B62/A62,"")</f>
        <v>3.65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25</v>
      </c>
      <c r="B63" s="63">
        <v>103</v>
      </c>
      <c r="C63" s="63">
        <v>2</v>
      </c>
      <c r="D63" s="63">
        <v>28</v>
      </c>
      <c r="E63" s="54">
        <v>0.2</v>
      </c>
      <c r="F63" s="54"/>
      <c r="G63" s="54">
        <v>0.8</v>
      </c>
      <c r="H63" s="54"/>
      <c r="I63" s="52">
        <f>IF(A63&lt;&gt;0,(B63-(B62-D62))/(A63-A62),"")</f>
        <v>7.2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30</v>
      </c>
      <c r="B64" s="63">
        <v>121</v>
      </c>
      <c r="C64" s="63">
        <v>3</v>
      </c>
      <c r="D64" s="63">
        <v>28</v>
      </c>
      <c r="E64" s="54">
        <v>0.2</v>
      </c>
      <c r="F64" s="54">
        <v>0.1</v>
      </c>
      <c r="G64" s="54">
        <v>0.7</v>
      </c>
      <c r="H64" s="54"/>
      <c r="I64" s="52">
        <f>IF(A64&lt;&gt;0,(B64-(B63-D63))/(A64-A63),"")</f>
        <v>9.1999999999999993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35</v>
      </c>
      <c r="B65" s="63">
        <v>147</v>
      </c>
      <c r="C65" s="63">
        <v>4</v>
      </c>
      <c r="D65" s="63">
        <v>28</v>
      </c>
      <c r="E65" s="54"/>
      <c r="F65" s="54"/>
      <c r="G65" s="54"/>
      <c r="H65" s="54"/>
      <c r="I65" s="52">
        <f>IF(A65&lt;&gt;0,(B65-(B64-D64))/(A65-A64),"")</f>
        <v>10.8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40</v>
      </c>
      <c r="B66" s="63">
        <v>175</v>
      </c>
      <c r="C66" s="63">
        <v>5</v>
      </c>
      <c r="D66" s="63">
        <v>28</v>
      </c>
      <c r="E66" s="54"/>
      <c r="F66" s="54"/>
      <c r="G66" s="54"/>
      <c r="H66" s="54"/>
      <c r="I66" s="52">
        <f t="shared" ref="I66:I81" si="2">IF(A66&lt;&gt;0,(B66-(B65-D65))/(A66-A65),"")</f>
        <v>11.2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45</v>
      </c>
      <c r="B67" s="63">
        <v>204</v>
      </c>
      <c r="C67" s="63">
        <v>6</v>
      </c>
      <c r="D67" s="63">
        <v>28</v>
      </c>
      <c r="E67" s="54"/>
      <c r="F67" s="54"/>
      <c r="G67" s="54"/>
      <c r="H67" s="54"/>
      <c r="I67" s="52">
        <f t="shared" si="2"/>
        <v>11.4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50</v>
      </c>
      <c r="B68" s="63">
        <v>231</v>
      </c>
      <c r="C68" s="63">
        <v>7</v>
      </c>
      <c r="D68" s="63">
        <v>28</v>
      </c>
      <c r="E68" s="54"/>
      <c r="F68" s="54"/>
      <c r="G68" s="54"/>
      <c r="H68" s="54"/>
      <c r="I68" s="52">
        <f t="shared" si="2"/>
        <v>11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55</v>
      </c>
      <c r="B69" s="53">
        <v>254</v>
      </c>
      <c r="C69" s="53">
        <v>8</v>
      </c>
      <c r="D69" s="53">
        <v>28</v>
      </c>
      <c r="E69" s="54"/>
      <c r="F69" s="54"/>
      <c r="G69" s="54"/>
      <c r="H69" s="54"/>
      <c r="I69" s="52">
        <f t="shared" si="2"/>
        <v>10.199999999999999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60</v>
      </c>
      <c r="B70" s="53">
        <v>273</v>
      </c>
      <c r="C70" s="53">
        <v>9</v>
      </c>
      <c r="D70" s="53">
        <v>28</v>
      </c>
      <c r="E70" s="54"/>
      <c r="F70" s="54"/>
      <c r="G70" s="54"/>
      <c r="H70" s="54"/>
      <c r="I70" s="52">
        <f t="shared" si="2"/>
        <v>9.4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65</v>
      </c>
      <c r="B71" s="53">
        <v>289</v>
      </c>
      <c r="C71" s="53">
        <v>10</v>
      </c>
      <c r="D71" s="53">
        <v>28</v>
      </c>
      <c r="E71" s="54"/>
      <c r="F71" s="54"/>
      <c r="G71" s="54"/>
      <c r="H71" s="54"/>
      <c r="I71" s="52">
        <f t="shared" si="2"/>
        <v>8.8000000000000007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70</v>
      </c>
      <c r="B72" s="53">
        <v>302</v>
      </c>
      <c r="C72" s="53">
        <v>11</v>
      </c>
      <c r="D72" s="53">
        <v>28</v>
      </c>
      <c r="E72" s="54"/>
      <c r="F72" s="54"/>
      <c r="G72" s="54"/>
      <c r="H72" s="54"/>
      <c r="I72" s="52">
        <f t="shared" si="2"/>
        <v>8.1999999999999993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75</v>
      </c>
      <c r="B73" s="53">
        <v>312</v>
      </c>
      <c r="C73" s="53">
        <v>12</v>
      </c>
      <c r="D73" s="53">
        <v>28</v>
      </c>
      <c r="E73" s="54"/>
      <c r="F73" s="54"/>
      <c r="G73" s="54"/>
      <c r="H73" s="54"/>
      <c r="I73" s="52">
        <f t="shared" si="2"/>
        <v>7.6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80</v>
      </c>
      <c r="B74" s="53">
        <v>320</v>
      </c>
      <c r="C74" s="53">
        <v>13</v>
      </c>
      <c r="D74" s="53">
        <v>28</v>
      </c>
      <c r="E74" s="54"/>
      <c r="F74" s="54"/>
      <c r="G74" s="54"/>
      <c r="H74" s="54"/>
      <c r="I74" s="52">
        <f t="shared" si="2"/>
        <v>7.2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85</v>
      </c>
      <c r="B75" s="53">
        <v>326</v>
      </c>
      <c r="C75" s="53">
        <v>14</v>
      </c>
      <c r="D75" s="53">
        <v>28</v>
      </c>
      <c r="E75" s="54"/>
      <c r="F75" s="54"/>
      <c r="G75" s="54"/>
      <c r="H75" s="54"/>
      <c r="I75" s="52">
        <f t="shared" si="2"/>
        <v>6.8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90</v>
      </c>
      <c r="B76" s="53">
        <v>330</v>
      </c>
      <c r="C76" s="53">
        <v>15</v>
      </c>
      <c r="D76" s="53">
        <v>28</v>
      </c>
      <c r="E76" s="54"/>
      <c r="F76" s="54"/>
      <c r="G76" s="54"/>
      <c r="H76" s="54"/>
      <c r="I76" s="52">
        <f t="shared" si="2"/>
        <v>6.4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95</v>
      </c>
      <c r="B77" s="53">
        <v>333</v>
      </c>
      <c r="C77" s="53">
        <v>16</v>
      </c>
      <c r="D77" s="53">
        <v>28</v>
      </c>
      <c r="E77" s="54"/>
      <c r="F77" s="54"/>
      <c r="G77" s="54"/>
      <c r="H77" s="54"/>
      <c r="I77" s="52">
        <f t="shared" si="2"/>
        <v>6.2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100</v>
      </c>
      <c r="B78" s="53">
        <v>333</v>
      </c>
      <c r="C78" s="53">
        <v>17</v>
      </c>
      <c r="D78" s="53">
        <v>27</v>
      </c>
      <c r="E78" s="54"/>
      <c r="F78" s="54"/>
      <c r="G78" s="54"/>
      <c r="H78" s="54"/>
      <c r="I78" s="52">
        <f t="shared" si="2"/>
        <v>5.6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105</v>
      </c>
      <c r="B79" s="53">
        <v>333</v>
      </c>
      <c r="C79" s="53">
        <v>18</v>
      </c>
      <c r="D79" s="53">
        <v>26</v>
      </c>
      <c r="E79" s="54"/>
      <c r="F79" s="54"/>
      <c r="G79" s="54"/>
      <c r="H79" s="54"/>
      <c r="I79" s="52">
        <f t="shared" si="2"/>
        <v>5.4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110</v>
      </c>
      <c r="B80" s="53">
        <v>332</v>
      </c>
      <c r="C80" s="53">
        <v>19</v>
      </c>
      <c r="D80" s="53">
        <v>25</v>
      </c>
      <c r="E80" s="54"/>
      <c r="F80" s="54"/>
      <c r="G80" s="54"/>
      <c r="H80" s="54"/>
      <c r="I80" s="52">
        <f t="shared" si="2"/>
        <v>5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115</v>
      </c>
      <c r="B81" s="53">
        <v>321</v>
      </c>
      <c r="C81" s="53">
        <v>20</v>
      </c>
      <c r="D81" s="53">
        <v>321</v>
      </c>
      <c r="E81" s="54"/>
      <c r="F81" s="54"/>
      <c r="G81" s="54"/>
      <c r="H81" s="54"/>
      <c r="I81" s="52">
        <f t="shared" si="2"/>
        <v>2.8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Chêne sessile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20</v>
      </c>
      <c r="B88" s="63">
        <v>73</v>
      </c>
      <c r="C88" s="63">
        <v>1</v>
      </c>
      <c r="D88" s="63">
        <v>6</v>
      </c>
      <c r="E88" s="54">
        <v>0.2</v>
      </c>
      <c r="F88" s="54"/>
      <c r="G88" s="54">
        <v>0.8</v>
      </c>
      <c r="H88" s="93"/>
      <c r="I88" s="56">
        <f>IFERROR(B88/A88,"")</f>
        <v>3.65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25</v>
      </c>
      <c r="B89" s="63">
        <v>103</v>
      </c>
      <c r="C89" s="63">
        <v>2</v>
      </c>
      <c r="D89" s="63">
        <v>28</v>
      </c>
      <c r="E89" s="54">
        <v>0.2</v>
      </c>
      <c r="F89" s="54"/>
      <c r="G89" s="54">
        <v>0.8</v>
      </c>
      <c r="H89" s="93"/>
      <c r="I89" s="56">
        <f t="shared" ref="I89:I107" si="3">IF(A89&lt;&gt;0,(B89-(B88-D88))/(A89-A88),"")</f>
        <v>7.2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30</v>
      </c>
      <c r="B90" s="63">
        <v>121</v>
      </c>
      <c r="C90" s="63">
        <v>3</v>
      </c>
      <c r="D90" s="63">
        <v>28</v>
      </c>
      <c r="E90" s="93">
        <v>0.2</v>
      </c>
      <c r="F90" s="93">
        <v>0.1</v>
      </c>
      <c r="G90" s="93">
        <v>0.7</v>
      </c>
      <c r="H90" s="93"/>
      <c r="I90" s="56">
        <f t="shared" si="3"/>
        <v>9.1999999999999993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35</v>
      </c>
      <c r="B91" s="63">
        <v>147</v>
      </c>
      <c r="C91" s="63">
        <v>4</v>
      </c>
      <c r="D91" s="63">
        <v>28</v>
      </c>
      <c r="E91" s="93"/>
      <c r="F91" s="93"/>
      <c r="G91" s="93"/>
      <c r="H91" s="93"/>
      <c r="I91" s="56">
        <f t="shared" si="3"/>
        <v>10.8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40</v>
      </c>
      <c r="B92" s="63">
        <v>175</v>
      </c>
      <c r="C92" s="63">
        <v>5</v>
      </c>
      <c r="D92" s="63">
        <v>28</v>
      </c>
      <c r="E92" s="93"/>
      <c r="F92" s="93"/>
      <c r="G92" s="93"/>
      <c r="H92" s="93"/>
      <c r="I92" s="56">
        <f t="shared" si="3"/>
        <v>11.2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45</v>
      </c>
      <c r="B93" s="63">
        <v>204</v>
      </c>
      <c r="C93" s="63">
        <v>6</v>
      </c>
      <c r="D93" s="63">
        <v>28</v>
      </c>
      <c r="E93" s="93"/>
      <c r="F93" s="93"/>
      <c r="G93" s="93"/>
      <c r="H93" s="93"/>
      <c r="I93" s="56">
        <f t="shared" si="3"/>
        <v>11.4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50</v>
      </c>
      <c r="B94" s="63">
        <v>231</v>
      </c>
      <c r="C94" s="63">
        <v>7</v>
      </c>
      <c r="D94" s="63">
        <v>28</v>
      </c>
      <c r="E94" s="93"/>
      <c r="F94" s="93"/>
      <c r="G94" s="93"/>
      <c r="H94" s="93"/>
      <c r="I94" s="56">
        <f t="shared" si="3"/>
        <v>11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55</v>
      </c>
      <c r="B95" s="63">
        <v>254</v>
      </c>
      <c r="C95" s="63">
        <v>8</v>
      </c>
      <c r="D95" s="63">
        <v>28</v>
      </c>
      <c r="E95" s="93"/>
      <c r="F95" s="93"/>
      <c r="G95" s="93"/>
      <c r="H95" s="93"/>
      <c r="I95" s="56">
        <f t="shared" si="3"/>
        <v>10.199999999999999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60</v>
      </c>
      <c r="B96" s="63">
        <v>273</v>
      </c>
      <c r="C96" s="63">
        <v>9</v>
      </c>
      <c r="D96" s="63">
        <v>28</v>
      </c>
      <c r="E96" s="93"/>
      <c r="F96" s="93"/>
      <c r="G96" s="93"/>
      <c r="H96" s="93"/>
      <c r="I96" s="56">
        <f t="shared" si="3"/>
        <v>9.4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65</v>
      </c>
      <c r="B97" s="63">
        <v>289</v>
      </c>
      <c r="C97" s="63">
        <v>10</v>
      </c>
      <c r="D97" s="63">
        <v>28</v>
      </c>
      <c r="E97" s="93"/>
      <c r="F97" s="93"/>
      <c r="G97" s="93"/>
      <c r="H97" s="93"/>
      <c r="I97" s="56">
        <f t="shared" si="3"/>
        <v>8.8000000000000007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70</v>
      </c>
      <c r="B98" s="63">
        <v>302</v>
      </c>
      <c r="C98" s="63">
        <v>11</v>
      </c>
      <c r="D98" s="63">
        <v>28</v>
      </c>
      <c r="E98" s="93"/>
      <c r="F98" s="93"/>
      <c r="G98" s="93"/>
      <c r="H98" s="93"/>
      <c r="I98" s="56">
        <f t="shared" si="3"/>
        <v>8.1999999999999993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>
        <v>75</v>
      </c>
      <c r="B99" s="63">
        <v>312</v>
      </c>
      <c r="C99" s="63">
        <v>12</v>
      </c>
      <c r="D99" s="63">
        <v>28</v>
      </c>
      <c r="E99" s="93"/>
      <c r="F99" s="93"/>
      <c r="G99" s="93"/>
      <c r="H99" s="93"/>
      <c r="I99" s="56">
        <f t="shared" si="3"/>
        <v>7.6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>
        <v>80</v>
      </c>
      <c r="B100" s="63">
        <v>320</v>
      </c>
      <c r="C100" s="63">
        <v>13</v>
      </c>
      <c r="D100" s="63">
        <v>28</v>
      </c>
      <c r="E100" s="68"/>
      <c r="F100" s="68"/>
      <c r="G100" s="68"/>
      <c r="H100" s="68"/>
      <c r="I100" s="56">
        <f t="shared" si="3"/>
        <v>7.2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>
        <v>85</v>
      </c>
      <c r="B101" s="63">
        <v>326</v>
      </c>
      <c r="C101" s="63">
        <v>14</v>
      </c>
      <c r="D101" s="63">
        <v>28</v>
      </c>
      <c r="E101" s="68"/>
      <c r="F101" s="68"/>
      <c r="G101" s="68"/>
      <c r="H101" s="68"/>
      <c r="I101" s="56">
        <f t="shared" si="3"/>
        <v>6.8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>
        <v>90</v>
      </c>
      <c r="B102" s="53">
        <v>330</v>
      </c>
      <c r="C102" s="63">
        <v>15</v>
      </c>
      <c r="D102" s="53">
        <v>28</v>
      </c>
      <c r="E102" s="57"/>
      <c r="F102" s="57"/>
      <c r="G102" s="57"/>
      <c r="H102" s="57"/>
      <c r="I102" s="56">
        <f t="shared" si="3"/>
        <v>6.4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>
        <v>95</v>
      </c>
      <c r="B103" s="53">
        <v>333</v>
      </c>
      <c r="C103" s="63">
        <v>16</v>
      </c>
      <c r="D103" s="53">
        <v>28</v>
      </c>
      <c r="E103" s="57"/>
      <c r="F103" s="57"/>
      <c r="G103" s="57"/>
      <c r="H103" s="57"/>
      <c r="I103" s="56">
        <f t="shared" si="3"/>
        <v>6.2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>
        <v>100</v>
      </c>
      <c r="B104" s="53">
        <v>333</v>
      </c>
      <c r="C104" s="63">
        <v>17</v>
      </c>
      <c r="D104" s="53">
        <v>27</v>
      </c>
      <c r="E104" s="57"/>
      <c r="F104" s="57"/>
      <c r="G104" s="57"/>
      <c r="H104" s="57"/>
      <c r="I104" s="56">
        <f t="shared" si="3"/>
        <v>5.6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>
        <v>105</v>
      </c>
      <c r="B105" s="53">
        <v>333</v>
      </c>
      <c r="C105" s="53">
        <v>18</v>
      </c>
      <c r="D105" s="53">
        <v>26</v>
      </c>
      <c r="E105" s="57"/>
      <c r="F105" s="57"/>
      <c r="G105" s="57"/>
      <c r="H105" s="57"/>
      <c r="I105" s="56">
        <f t="shared" si="3"/>
        <v>5.4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>
        <v>110</v>
      </c>
      <c r="B106" s="53">
        <v>332</v>
      </c>
      <c r="C106" s="53">
        <v>19</v>
      </c>
      <c r="D106" s="53">
        <v>25</v>
      </c>
      <c r="E106" s="57"/>
      <c r="F106" s="57"/>
      <c r="G106" s="57"/>
      <c r="H106" s="57"/>
      <c r="I106" s="56">
        <f t="shared" si="3"/>
        <v>5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>
        <v>115</v>
      </c>
      <c r="B107" s="53">
        <v>321</v>
      </c>
      <c r="C107" s="53">
        <v>20</v>
      </c>
      <c r="D107" s="53">
        <v>321</v>
      </c>
      <c r="E107" s="57"/>
      <c r="F107" s="57"/>
      <c r="G107" s="57"/>
      <c r="H107" s="57"/>
      <c r="I107" s="56">
        <f t="shared" si="3"/>
        <v>2.8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Cèdre de l'Atlas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20</v>
      </c>
      <c r="B114" s="63">
        <v>158</v>
      </c>
      <c r="C114" s="53">
        <v>1</v>
      </c>
      <c r="D114" s="63">
        <v>0</v>
      </c>
      <c r="E114" s="54">
        <v>0.8</v>
      </c>
      <c r="F114" s="54"/>
      <c r="G114" s="54">
        <v>0.2</v>
      </c>
      <c r="H114" s="54"/>
      <c r="I114" s="56">
        <f>IFERROR(B114/A114,"")</f>
        <v>7.9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30</v>
      </c>
      <c r="B115" s="63">
        <v>250</v>
      </c>
      <c r="C115" s="53">
        <v>2</v>
      </c>
      <c r="D115" s="63">
        <v>0</v>
      </c>
      <c r="E115" s="54">
        <v>0.8</v>
      </c>
      <c r="F115" s="54"/>
      <c r="G115" s="54">
        <v>0.2</v>
      </c>
      <c r="H115" s="54"/>
      <c r="I115" s="56">
        <f t="shared" ref="I115:I133" si="4">IF(A115&lt;&gt;0,(B115-(B114-D114))/(A115-A114),"")</f>
        <v>9.1999999999999993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40</v>
      </c>
      <c r="B116" s="63">
        <v>350</v>
      </c>
      <c r="C116" s="53">
        <v>3</v>
      </c>
      <c r="D116" s="63">
        <v>88</v>
      </c>
      <c r="E116" s="54"/>
      <c r="F116" s="54"/>
      <c r="G116" s="54"/>
      <c r="H116" s="54"/>
      <c r="I116" s="56">
        <f t="shared" si="4"/>
        <v>10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50</v>
      </c>
      <c r="B117" s="63">
        <v>377</v>
      </c>
      <c r="C117" s="53">
        <v>4</v>
      </c>
      <c r="D117" s="63">
        <v>0</v>
      </c>
      <c r="E117" s="54"/>
      <c r="F117" s="54"/>
      <c r="G117" s="54"/>
      <c r="H117" s="54"/>
      <c r="I117" s="56">
        <f t="shared" si="4"/>
        <v>11.5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60</v>
      </c>
      <c r="B118" s="63">
        <v>512</v>
      </c>
      <c r="C118" s="53">
        <v>5</v>
      </c>
      <c r="D118" s="63">
        <v>102</v>
      </c>
      <c r="E118" s="54"/>
      <c r="F118" s="54"/>
      <c r="G118" s="54"/>
      <c r="H118" s="54"/>
      <c r="I118" s="56">
        <f t="shared" si="4"/>
        <v>13.5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70</v>
      </c>
      <c r="B119" s="63">
        <v>565</v>
      </c>
      <c r="C119" s="53">
        <v>6</v>
      </c>
      <c r="D119" s="63">
        <v>113</v>
      </c>
      <c r="E119" s="54"/>
      <c r="F119" s="54"/>
      <c r="G119" s="54"/>
      <c r="H119" s="54"/>
      <c r="I119" s="56">
        <f t="shared" si="4"/>
        <v>15.5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>
        <v>80</v>
      </c>
      <c r="B120" s="63">
        <v>622</v>
      </c>
      <c r="C120" s="63">
        <v>7</v>
      </c>
      <c r="D120" s="63">
        <v>124</v>
      </c>
      <c r="E120" s="93"/>
      <c r="F120" s="93"/>
      <c r="G120" s="93"/>
      <c r="H120" s="93"/>
      <c r="I120" s="56">
        <f t="shared" si="4"/>
        <v>17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>
        <v>90</v>
      </c>
      <c r="B121" s="63">
        <v>673</v>
      </c>
      <c r="C121" s="63">
        <v>8</v>
      </c>
      <c r="D121" s="63">
        <v>135</v>
      </c>
      <c r="E121" s="93"/>
      <c r="F121" s="93"/>
      <c r="G121" s="93"/>
      <c r="H121" s="93"/>
      <c r="I121" s="56">
        <f t="shared" si="4"/>
        <v>17.5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>
        <v>100</v>
      </c>
      <c r="B122" s="63">
        <v>723</v>
      </c>
      <c r="C122" s="63">
        <v>9</v>
      </c>
      <c r="D122" s="63">
        <v>723</v>
      </c>
      <c r="E122" s="93"/>
      <c r="F122" s="93"/>
      <c r="G122" s="93"/>
      <c r="H122" s="93"/>
      <c r="I122" s="56">
        <f t="shared" si="4"/>
        <v>18.5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Pin laricio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17</v>
      </c>
      <c r="B140" s="63">
        <v>118</v>
      </c>
      <c r="C140" s="53">
        <v>1</v>
      </c>
      <c r="D140" s="63">
        <v>15</v>
      </c>
      <c r="E140" s="54">
        <v>0.8</v>
      </c>
      <c r="F140" s="54"/>
      <c r="G140" s="54">
        <v>0.2</v>
      </c>
      <c r="H140" s="54"/>
      <c r="I140" s="60">
        <f>IFERROR(B140/A140,"")</f>
        <v>6.9411764705882355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20</v>
      </c>
      <c r="B141" s="63">
        <v>137</v>
      </c>
      <c r="C141" s="53">
        <v>2</v>
      </c>
      <c r="D141" s="63">
        <v>15</v>
      </c>
      <c r="E141" s="54">
        <v>0.8</v>
      </c>
      <c r="F141" s="54"/>
      <c r="G141" s="54">
        <v>0.2</v>
      </c>
      <c r="H141" s="54"/>
      <c r="I141" s="60">
        <f t="shared" ref="I141:I159" si="5">IF(A141&lt;&gt;0,(B141-(B140-D140))/(A141-A140),"")</f>
        <v>11.333333333333334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25</v>
      </c>
      <c r="B142" s="63">
        <v>204</v>
      </c>
      <c r="C142" s="53">
        <v>3</v>
      </c>
      <c r="D142" s="63">
        <v>36</v>
      </c>
      <c r="E142" s="54">
        <v>0.9</v>
      </c>
      <c r="F142" s="54"/>
      <c r="G142" s="54">
        <v>0.2</v>
      </c>
      <c r="H142" s="54"/>
      <c r="I142" s="60">
        <f t="shared" si="5"/>
        <v>16.399999999999999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30</v>
      </c>
      <c r="B143" s="63">
        <v>256</v>
      </c>
      <c r="C143" s="53">
        <v>4</v>
      </c>
      <c r="D143" s="63">
        <v>54</v>
      </c>
      <c r="E143" s="54">
        <v>0.9</v>
      </c>
      <c r="F143" s="54"/>
      <c r="G143" s="54">
        <v>0.1</v>
      </c>
      <c r="H143" s="54"/>
      <c r="I143" s="60">
        <f t="shared" si="5"/>
        <v>17.600000000000001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35</v>
      </c>
      <c r="B144" s="63">
        <v>296</v>
      </c>
      <c r="C144" s="53">
        <v>5</v>
      </c>
      <c r="D144" s="63">
        <v>52</v>
      </c>
      <c r="E144" s="54"/>
      <c r="F144" s="54"/>
      <c r="G144" s="54"/>
      <c r="H144" s="54"/>
      <c r="I144" s="60">
        <f t="shared" si="5"/>
        <v>18.8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40</v>
      </c>
      <c r="B145" s="63">
        <v>332</v>
      </c>
      <c r="C145" s="53">
        <v>6</v>
      </c>
      <c r="D145" s="63">
        <v>48</v>
      </c>
      <c r="E145" s="54"/>
      <c r="F145" s="54"/>
      <c r="G145" s="54"/>
      <c r="H145" s="54"/>
      <c r="I145" s="60">
        <f t="shared" si="5"/>
        <v>17.600000000000001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45</v>
      </c>
      <c r="B146" s="63">
        <v>384</v>
      </c>
      <c r="C146" s="53">
        <v>7</v>
      </c>
      <c r="D146" s="63">
        <v>57</v>
      </c>
      <c r="E146" s="54"/>
      <c r="F146" s="54"/>
      <c r="G146" s="54"/>
      <c r="H146" s="54"/>
      <c r="I146" s="60">
        <f t="shared" si="5"/>
        <v>20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>
        <v>50</v>
      </c>
      <c r="B147" s="63">
        <v>414</v>
      </c>
      <c r="C147" s="53">
        <v>8</v>
      </c>
      <c r="D147" s="63">
        <v>47</v>
      </c>
      <c r="E147" s="54"/>
      <c r="F147" s="54"/>
      <c r="G147" s="54"/>
      <c r="H147" s="54"/>
      <c r="I147" s="60">
        <f>IF(A147&lt;&gt;0,(B147-(B146-D146))/(A147-A146),"")</f>
        <v>17.399999999999999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>
        <v>55</v>
      </c>
      <c r="B148" s="63">
        <v>463</v>
      </c>
      <c r="C148" s="53">
        <v>9</v>
      </c>
      <c r="D148" s="63">
        <v>48</v>
      </c>
      <c r="E148" s="54"/>
      <c r="F148" s="54"/>
      <c r="G148" s="54"/>
      <c r="H148" s="54"/>
      <c r="I148" s="60">
        <f t="shared" si="5"/>
        <v>19.2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>
        <v>60</v>
      </c>
      <c r="B149" s="63">
        <v>500</v>
      </c>
      <c r="C149" s="53">
        <v>10</v>
      </c>
      <c r="D149" s="63">
        <v>32</v>
      </c>
      <c r="E149" s="54"/>
      <c r="F149" s="54"/>
      <c r="G149" s="54"/>
      <c r="H149" s="54"/>
      <c r="I149" s="60">
        <f t="shared" si="5"/>
        <v>17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>
        <v>65</v>
      </c>
      <c r="B150" s="63">
        <v>555</v>
      </c>
      <c r="C150" s="53">
        <v>11</v>
      </c>
      <c r="D150" s="63">
        <v>555</v>
      </c>
      <c r="E150" s="54"/>
      <c r="F150" s="54"/>
      <c r="G150" s="54"/>
      <c r="H150" s="54"/>
      <c r="I150" s="60">
        <f t="shared" si="5"/>
        <v>17.399999999999999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2" sqref="G22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Robinier faux-acacia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Chêne pédonculé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Chêne sessile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Cèdre de l'Atlas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>Pin laricio</v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312.43110610485337</v>
      </c>
      <c r="T3" s="62">
        <f>IF('Données projet'!E9&gt;30,$R$33-$H$33,LOOKUP('Données projet'!$E$9,$A$3:$A$203,R3:R203)-LOOKUP('Données projet'!$E$9,$A$3:$A$203,$H$3:$H$203))</f>
        <v>442.54749157177571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165</v>
      </c>
      <c r="AN3" s="62">
        <f ca="1">AVERAGE(OFFSET($AM$3,0,0,'Données projet'!$E$10+1,1))-AVERAGE(OFFSET($H$3,0,0,'Données projet'!$E$10+1,1))</f>
        <v>445.02659128831181</v>
      </c>
      <c r="AO3" s="62">
        <f>IF('Données projet'!E10&gt;30,$AM$33-$H$33,LOOKUP('Données projet'!$E$10,$A$3:$A$203,AM3:AM203)-LOOKUP('Données projet'!$E$10,$A$3:$A$203,$H$3:$H$203))</f>
        <v>281.06176764290592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165</v>
      </c>
      <c r="BI3" s="62">
        <f ca="1">AVERAGE(OFFSET($BH$3,0,0,'Données projet'!$E$11+1,1))-AVERAGE(OFFSET($H$3,0,0,'Données projet'!$E$11+1,1))</f>
        <v>472.46893084347687</v>
      </c>
      <c r="BJ3" s="62">
        <f>IF('Données projet'!E11&gt;30,$BH$33-$H$33,LOOKUP('Données projet'!$E$11,$A$3:$A$203,BH3:BH203)-LOOKUP('Données projet'!$E$11,$A$3:$A$203,$H$3:$H$203))</f>
        <v>297.32483725004136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165</v>
      </c>
      <c r="CD3" s="62">
        <f ca="1">AVERAGE(OFFSET($CC$3,0,0,'Données projet'!$E$12+1,1))-AVERAGE(OFFSET($H$3,0,0,'Données projet'!$E$12+1,1))</f>
        <v>426.87921482911719</v>
      </c>
      <c r="CE3" s="62">
        <f>IF('Données projet'!E12&gt;30,$CC$33-$H$33,LOOKUP('Données projet'!$E$12,$A$3:$A$203,CC3:CC203)-LOOKUP('Données projet'!$E$12,$A$3:$A$203,$H$3:$H$203))</f>
        <v>313.49594674441835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165</v>
      </c>
      <c r="CY3" s="62">
        <f ca="1">AVERAGE(OFFSET($CX$3,0,0,'Données projet'!$E$13+1,1))-AVERAGE(OFFSET($H$3,0,0,'Données projet'!$E$13+1,1))</f>
        <v>367.11994336501527</v>
      </c>
      <c r="CZ3" s="62">
        <f>IF('Données projet'!E13&gt;30,$CX$33-$H$33,LOOKUP('Données projet'!$E$13,$A$3:$A$203,CX3:CX203)-LOOKUP('Données projet'!$E$13,$A$3:$A$203,$H$3:$H$203))</f>
        <v>390.81417197867484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5.6</v>
      </c>
      <c r="N4" s="14">
        <f>IF('Données projet'!$A$36&gt;35,N3+M4-V3,IF(A4&lt;'Données projet'!$A$36,$K$205^A4,IF(A4='Données projet'!$A$36,'Données projet'!$B$36,N3+M4-V3)))</f>
        <v>1.9472943612303364</v>
      </c>
      <c r="O4" s="14">
        <f>N4*VLOOKUP('Données projet'!$B$9,Paramètres!$A$1:$I$89,3,0)*VLOOKUP('Données projet'!$B$9,Paramètres!$A$1:$I$89,5,0)</f>
        <v>1.7619119380412083</v>
      </c>
      <c r="P4" s="14">
        <f>EXP(-1.0587+0.8836*LN(O4)+0.284)</f>
        <v>0.76015770586189668</v>
      </c>
      <c r="Q4" s="22">
        <f t="shared" ref="Q4:Q34" si="2">(O4+P4)*0.475*44/12</f>
        <v>4.3926046297979076</v>
      </c>
      <c r="R4" s="62">
        <f t="shared" si="0"/>
        <v>172.20503858272176</v>
      </c>
      <c r="S4" s="62">
        <f ca="1">AVERAGE(OFFSET($R$3,0,0,'Données projet'!$E$9+1,1))-AVERAGE(OFFSET($H$3,0,0,'Données projet'!$E$9+1,1))</f>
        <v>312.43110610485337</v>
      </c>
      <c r="T4" s="62">
        <f>$T$3</f>
        <v>442.54749157177571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3.65</v>
      </c>
      <c r="AI4" s="14">
        <f>IF('Données projet'!$A$62&gt;35,AI3+AH4-AQ3,IF(A4&lt;'Données projet'!$A$62,$AF$205^A4,IF(A4='Données projet'!$A$62,'Données projet'!$B$62,AI3+AH4-AQ3)))</f>
        <v>1.2392705892426346</v>
      </c>
      <c r="AJ4" s="14">
        <f>AI4*VLOOKUP('Données projet'!$B$10,Paramètres!$A$1:$I$89,3,0)*VLOOKUP('Données projet'!$B$10,Paramètres!$A$1:$I$89,5,0)</f>
        <v>1.0439615443779955</v>
      </c>
      <c r="AK4" s="14">
        <f>EXP(-1.0587+0.8836*LN(AJ4)+0.284)</f>
        <v>0.478698084995758</v>
      </c>
      <c r="AL4" s="22">
        <f t="shared" ref="AL4:AL67" si="4">(AJ4+AK4)*0.475*44/12</f>
        <v>2.6519655211592874</v>
      </c>
      <c r="AM4" s="62">
        <f t="shared" ref="AM4:AM67" si="5">AL4+(AD4+AE4)*44/12</f>
        <v>170.46439947408314</v>
      </c>
      <c r="AN4" s="62">
        <f ca="1">AVERAGE(OFFSET($AM$3,0,0,'Données projet'!$E$10+1,1))-AVERAGE(OFFSET($H$3,0,0,'Données projet'!$E$10+1,1))</f>
        <v>445.02659128831181</v>
      </c>
      <c r="AO4" s="62">
        <f>$AO$3</f>
        <v>281.06176764290592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3.65</v>
      </c>
      <c r="BD4" s="13">
        <f>IF('Données projet'!$A$88&gt;35,BD3+BC4-BL3,IF(A4&lt;'Données projet'!$A$88,$BA$205^A4,IF(A4='Données projet'!$A$88,'Données projet'!$B$88,BD3+BC4-BL3)))</f>
        <v>1.2392705892426346</v>
      </c>
      <c r="BE4" s="14">
        <f>BD4*VLOOKUP('Données projet'!$B$11,Paramètres!$A$1:$I$89,3,0)*VLOOKUP('Données projet'!$B$11,Paramètres!$A$1:$I$89,5,0)</f>
        <v>1.1212920291467359</v>
      </c>
      <c r="BF4" s="14">
        <f>EXP(-1.0587+0.8836*LN(BE4)+0.284)</f>
        <v>0.50989827066551541</v>
      </c>
      <c r="BG4" s="22">
        <f t="shared" ref="BG4:BG67" si="7">(BE4+BF4)*0.475*44/12</f>
        <v>2.8409897721730037</v>
      </c>
      <c r="BH4" s="62">
        <f t="shared" ref="BH4:BH67" si="8">BG4+(AY4+AZ4)*44/12</f>
        <v>170.65342372509684</v>
      </c>
      <c r="BI4" s="62">
        <f ca="1">AVERAGE(OFFSET($BH$3,0,0,'Données projet'!$E$11+1,1))-AVERAGE(OFFSET($H$3,0,0,'Données projet'!$E$11+1,1))</f>
        <v>472.46893084347687</v>
      </c>
      <c r="BJ4" s="62">
        <f>$BJ$3</f>
        <v>297.32483725004136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7.9</v>
      </c>
      <c r="BY4" s="13">
        <f>IF('Données projet'!$A$114&gt;35,BY3+BX4-CG3,IF(A4&lt;'Données projet'!$A$114,$BV$205^A4,IF(A4='Données projet'!$A$114,'Données projet'!$B$114,BY3+BX4-CG3)))</f>
        <v>1.2880503926580862</v>
      </c>
      <c r="BZ4" s="14">
        <f>BY4*VLOOKUP('Données projet'!$B$12,Paramètres!$A$1:$I$89,3,0)*VLOOKUP('Données projet'!$B$12,Paramètres!$A$1:$I$89,5,0)</f>
        <v>0.60280758376398436</v>
      </c>
      <c r="CA4" s="14">
        <f>EXP(-1.0587+0.8836*LN(BZ4)+0.284)</f>
        <v>0.29465781953181042</v>
      </c>
      <c r="CB4" s="22">
        <f t="shared" ref="CB4:CB67" si="10">(BZ4+CA4)*0.475*44/12</f>
        <v>1.5630855774068424</v>
      </c>
      <c r="CC4" s="62">
        <f t="shared" ref="CC4:CC67" si="11">CB4+(BT4+BU4)*44/12</f>
        <v>169.37551953033068</v>
      </c>
      <c r="CD4" s="62">
        <f ca="1">AVERAGE(OFFSET($CC$3,0,0,'Données projet'!$E$12+1,1))-AVERAGE(OFFSET($H$3,0,0,'Données projet'!$E$12+1,1))</f>
        <v>426.87921482911719</v>
      </c>
      <c r="CE4" s="62">
        <f>$CE$3</f>
        <v>313.49594674441835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6.9411764705882355</v>
      </c>
      <c r="CT4" s="13">
        <f>IF('Données projet'!$A$140&gt;35,CT3+CS4-DB3,IF(A4&lt;'Données projet'!$A$140,$CQ$205^A4,IF(A4='Données projet'!$A$140,'Données projet'!$B$140,CT3+CS4-DB3)))</f>
        <v>1.3239616704988877</v>
      </c>
      <c r="CU4" s="18">
        <f>CT4*VLOOKUP('Données projet'!$B$13,Paramètres!$A$1:$I$89,3,0)*VLOOKUP('Données projet'!$B$13,Paramètres!$A$1:$I$89,5,0)</f>
        <v>0.79172907895833489</v>
      </c>
      <c r="CV4" s="14">
        <f>EXP(-1.0587+0.8836*LN(CU4)+0.284)</f>
        <v>0.37491631974909195</v>
      </c>
      <c r="CW4" s="22">
        <f t="shared" ref="CW4:CW67" si="13">(CU4+CV4)*0.475*44/12</f>
        <v>2.031907402748768</v>
      </c>
      <c r="CX4" s="62">
        <f t="shared" ref="CX4:CX67" si="14">CW4+(CO4+CP4)*44/12</f>
        <v>169.84434135567261</v>
      </c>
      <c r="CY4" s="62">
        <f ca="1">AVERAGE(OFFSET($CX$3,0,0,'Données projet'!$E$13+1,1))-AVERAGE(OFFSET($H$3,0,0,'Données projet'!$E$13+1,1))</f>
        <v>367.11994336501527</v>
      </c>
      <c r="CZ4" s="62">
        <f>$CZ$3</f>
        <v>390.81417197867484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5.6</v>
      </c>
      <c r="N5" s="14">
        <f>IF('Données projet'!$A$36&gt;35,N4+M5-V4,IF(A5&lt;'Données projet'!$A$36,$K$205^A5,IF(A5='Données projet'!$A$36,'Données projet'!$B$36,N4+M5-V4)))</f>
        <v>3.7919553292794639</v>
      </c>
      <c r="O5" s="14">
        <f>N5*VLOOKUP('Données projet'!$B$9,Paramètres!$A$1:$I$89,3,0)*VLOOKUP('Données projet'!$B$9,Paramètres!$A$1:$I$89,5,0)</f>
        <v>3.4309611819320587</v>
      </c>
      <c r="P5" s="14">
        <f t="shared" ref="P5:P68" si="33">EXP(-1.0587+0.8836*LN(O5)+0.284)</f>
        <v>1.3697631223860498</v>
      </c>
      <c r="Q5" s="22">
        <f t="shared" si="2"/>
        <v>8.3612614966873711</v>
      </c>
      <c r="R5" s="62">
        <f t="shared" si="0"/>
        <v>178.95854278418821</v>
      </c>
      <c r="S5" s="62">
        <f ca="1">AVERAGE(OFFSET($R$3,0,0,'Données projet'!$E$9+1,1))-AVERAGE(OFFSET($H$3,0,0,'Données projet'!$E$9+1,1))</f>
        <v>312.43110610485337</v>
      </c>
      <c r="T5" s="62">
        <f t="shared" ref="T5:T68" si="34">$T$3</f>
        <v>442.54749157177571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3.65</v>
      </c>
      <c r="AI5" s="14">
        <f>IF('Données projet'!$A$62&gt;35,AI4+AH5-AQ4,IF(A5&lt;'Données projet'!$A$62,$AF$205^A5,IF(A5='Données projet'!$A$62,'Données projet'!$B$62,AI4+AH5-AQ4)))</f>
        <v>1.5357915933617867</v>
      </c>
      <c r="AJ5" s="14">
        <f>AI5*VLOOKUP('Données projet'!$B$10,Paramètres!$A$1:$I$89,3,0)*VLOOKUP('Données projet'!$B$10,Paramètres!$A$1:$I$89,5,0)</f>
        <v>1.2937508382479692</v>
      </c>
      <c r="AK5" s="14">
        <f t="shared" ref="AK5:AK68" si="35">EXP(-1.0587+0.8836*LN(AJ5)+0.284)</f>
        <v>0.57860648124254321</v>
      </c>
      <c r="AL5" s="22">
        <f t="shared" si="4"/>
        <v>3.2610223314459752</v>
      </c>
      <c r="AM5" s="62">
        <f t="shared" si="5"/>
        <v>173.85830361894682</v>
      </c>
      <c r="AN5" s="62">
        <f ca="1">AVERAGE(OFFSET($AM$3,0,0,'Données projet'!$E$10+1,1))-AVERAGE(OFFSET($H$3,0,0,'Données projet'!$E$10+1,1))</f>
        <v>445.02659128831181</v>
      </c>
      <c r="AO5" s="62">
        <f t="shared" ref="AO5:AO68" si="36">$AO$3</f>
        <v>281.06176764290592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3.65</v>
      </c>
      <c r="BD5" s="13">
        <f>IF('Données projet'!$A$88&gt;35,BD4+BC5-BL4,IF(A5&lt;'Données projet'!$A$88,$BA$205^A5,IF(A5='Données projet'!$A$88,'Données projet'!$B$88,BD4+BC5-BL4)))</f>
        <v>1.5357915933617867</v>
      </c>
      <c r="BE5" s="14">
        <f>BD5*VLOOKUP('Données projet'!$B$11,Paramètres!$A$1:$I$89,3,0)*VLOOKUP('Données projet'!$B$11,Paramètres!$A$1:$I$89,5,0)</f>
        <v>1.3895842336737447</v>
      </c>
      <c r="BF5" s="14">
        <f t="shared" ref="BF5:BF68" si="37">EXP(-1.0587+0.8836*LN(BE5)+0.284)</f>
        <v>0.61631841327304715</v>
      </c>
      <c r="BG5" s="22">
        <f t="shared" si="7"/>
        <v>3.4936137767656628</v>
      </c>
      <c r="BH5" s="62">
        <f t="shared" si="8"/>
        <v>174.0908950642665</v>
      </c>
      <c r="BI5" s="62">
        <f ca="1">AVERAGE(OFFSET($BH$3,0,0,'Données projet'!$E$11+1,1))-AVERAGE(OFFSET($H$3,0,0,'Données projet'!$E$11+1,1))</f>
        <v>472.46893084347687</v>
      </c>
      <c r="BJ5" s="62">
        <f t="shared" ref="BJ5:BJ68" si="38">$BJ$3</f>
        <v>297.32483725004136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7.9</v>
      </c>
      <c r="BY5" s="13">
        <f>IF('Données projet'!$A$114&gt;35,BY4+BX5-CG4,IF(A5&lt;'Données projet'!$A$114,$BV$205^A5,IF(A5='Données projet'!$A$114,'Données projet'!$B$114,BY4+BX5-CG4)))</f>
        <v>1.6590738140266501</v>
      </c>
      <c r="BZ5" s="14">
        <f>BY5*VLOOKUP('Données projet'!$B$12,Paramètres!$A$1:$I$89,3,0)*VLOOKUP('Données projet'!$B$12,Paramètres!$A$1:$I$89,5,0)</f>
        <v>0.77644654496447219</v>
      </c>
      <c r="CA5" s="14">
        <f t="shared" ref="CA5:CA68" si="39">EXP(-1.0587+0.8836*LN(BZ5)+0.284)</f>
        <v>0.36851455096495994</v>
      </c>
      <c r="CB5" s="22">
        <f t="shared" si="10"/>
        <v>1.9941405754104276</v>
      </c>
      <c r="CC5" s="62">
        <f t="shared" si="11"/>
        <v>172.59142186291126</v>
      </c>
      <c r="CD5" s="62">
        <f ca="1">AVERAGE(OFFSET($CC$3,0,0,'Données projet'!$E$12+1,1))-AVERAGE(OFFSET($H$3,0,0,'Données projet'!$E$12+1,1))</f>
        <v>426.87921482911719</v>
      </c>
      <c r="CE5" s="62">
        <f t="shared" ref="CE5:CE68" si="40">$CE$3</f>
        <v>313.49594674441835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6.9411764705882355</v>
      </c>
      <c r="CT5" s="13">
        <f>IF('Données projet'!$A$140&gt;35,CT4+CS5-DB4,IF(A5&lt;'Données projet'!$A$140,$CQ$205^A5,IF(A5='Données projet'!$A$140,'Données projet'!$B$140,CT4+CS5-DB4)))</f>
        <v>1.7528745049502052</v>
      </c>
      <c r="CU5" s="18">
        <f>CT5*VLOOKUP('Données projet'!$B$13,Paramètres!$A$1:$I$89,3,0)*VLOOKUP('Données projet'!$B$13,Paramètres!$A$1:$I$89,5,0)</f>
        <v>1.0482189539602227</v>
      </c>
      <c r="CV5" s="14">
        <f t="shared" ref="CV5:CV68" si="41">EXP(-1.0587+0.8836*LN(CU5)+0.284)</f>
        <v>0.48042263342477459</v>
      </c>
      <c r="CW5" s="22">
        <f t="shared" si="13"/>
        <v>2.6623840980288702</v>
      </c>
      <c r="CX5" s="62">
        <f t="shared" si="14"/>
        <v>173.2596653855297</v>
      </c>
      <c r="CY5" s="62">
        <f ca="1">AVERAGE(OFFSET($CX$3,0,0,'Données projet'!$E$13+1,1))-AVERAGE(OFFSET($H$3,0,0,'Données projet'!$E$13+1,1))</f>
        <v>367.11994336501527</v>
      </c>
      <c r="CZ5" s="62">
        <f t="shared" ref="CZ5:CZ68" si="42">$CZ$3</f>
        <v>390.81417197867484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5.6</v>
      </c>
      <c r="N6" s="14">
        <f>IF('Données projet'!$A$36&gt;35,N5+M6-V5,IF(A6&lt;'Données projet'!$A$36,$K$205^A6,IF(A6='Données projet'!$A$36,'Données projet'!$B$36,N5+M6-V5)))</f>
        <v>7.3840532307432234</v>
      </c>
      <c r="O6" s="14">
        <f>N6*VLOOKUP('Données projet'!$B$9,Paramètres!$A$1:$I$89,3,0)*VLOOKUP('Données projet'!$B$9,Paramètres!$A$1:$I$89,5,0)</f>
        <v>6.6810913631764679</v>
      </c>
      <c r="P6" s="14">
        <f t="shared" si="33"/>
        <v>2.4682391521919964</v>
      </c>
      <c r="Q6" s="22">
        <f t="shared" si="2"/>
        <v>15.935083980933408</v>
      </c>
      <c r="R6" s="62">
        <f t="shared" si="0"/>
        <v>189.29010455081828</v>
      </c>
      <c r="S6" s="62">
        <f ca="1">AVERAGE(OFFSET($R$3,0,0,'Données projet'!$E$9+1,1))-AVERAGE(OFFSET($H$3,0,0,'Données projet'!$E$9+1,1))</f>
        <v>312.43110610485337</v>
      </c>
      <c r="T6" s="62">
        <f t="shared" si="34"/>
        <v>442.54749157177571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3.65</v>
      </c>
      <c r="AI6" s="14">
        <f>IF('Données projet'!$A$62&gt;35,AI5+AH6-AQ5,IF(A6&lt;'Données projet'!$A$62,$AF$205^A6,IF(A6='Données projet'!$A$62,'Données projet'!$B$62,AI5+AH6-AQ5)))</f>
        <v>1.9032613528593461</v>
      </c>
      <c r="AJ6" s="14">
        <f>AI6*VLOOKUP('Données projet'!$B$10,Paramètres!$A$1:$I$89,3,0)*VLOOKUP('Données projet'!$B$10,Paramètres!$A$1:$I$89,5,0)</f>
        <v>1.6033073636487132</v>
      </c>
      <c r="AK6" s="14">
        <f t="shared" si="35"/>
        <v>0.69936661672428513</v>
      </c>
      <c r="AL6" s="22">
        <f t="shared" si="4"/>
        <v>4.0104905158163051</v>
      </c>
      <c r="AM6" s="62">
        <f t="shared" si="5"/>
        <v>177.3655110857012</v>
      </c>
      <c r="AN6" s="62">
        <f ca="1">AVERAGE(OFFSET($AM$3,0,0,'Données projet'!$E$10+1,1))-AVERAGE(OFFSET($H$3,0,0,'Données projet'!$E$10+1,1))</f>
        <v>445.02659128831181</v>
      </c>
      <c r="AO6" s="62">
        <f t="shared" si="36"/>
        <v>281.06176764290592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3.65</v>
      </c>
      <c r="BD6" s="13">
        <f>IF('Données projet'!$A$88&gt;35,BD5+BC6-BL5,IF(A6&lt;'Données projet'!$A$88,$BA$205^A6,IF(A6='Données projet'!$A$88,'Données projet'!$B$88,BD5+BC6-BL5)))</f>
        <v>1.9032613528593461</v>
      </c>
      <c r="BE6" s="14">
        <f>BD6*VLOOKUP('Données projet'!$B$11,Paramètres!$A$1:$I$89,3,0)*VLOOKUP('Données projet'!$B$11,Paramètres!$A$1:$I$89,5,0)</f>
        <v>1.7220708720671365</v>
      </c>
      <c r="BF6" s="14">
        <f t="shared" si="37"/>
        <v>0.74494935243383209</v>
      </c>
      <c r="BG6" s="22">
        <f t="shared" si="7"/>
        <v>4.2967268910058536</v>
      </c>
      <c r="BH6" s="62">
        <f t="shared" si="8"/>
        <v>177.65174746089073</v>
      </c>
      <c r="BI6" s="62">
        <f ca="1">AVERAGE(OFFSET($BH$3,0,0,'Données projet'!$E$11+1,1))-AVERAGE(OFFSET($H$3,0,0,'Données projet'!$E$11+1,1))</f>
        <v>472.46893084347687</v>
      </c>
      <c r="BJ6" s="62">
        <f t="shared" si="38"/>
        <v>297.32483725004136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7.9</v>
      </c>
      <c r="BY6" s="13">
        <f>IF('Données projet'!$A$114&gt;35,BY5+BX6-CG5,IF(A6&lt;'Données projet'!$A$114,$BV$205^A6,IF(A6='Données projet'!$A$114,'Données projet'!$B$114,BY5+BX6-CG5)))</f>
        <v>2.1369706776057753</v>
      </c>
      <c r="BZ6" s="14">
        <f>BY6*VLOOKUP('Données projet'!$B$12,Paramètres!$A$1:$I$89,3,0)*VLOOKUP('Données projet'!$B$12,Paramètres!$A$1:$I$89,5,0)</f>
        <v>1.0001022771195029</v>
      </c>
      <c r="CA6" s="14">
        <f t="shared" si="39"/>
        <v>0.46088365986243646</v>
      </c>
      <c r="CB6" s="22">
        <f t="shared" si="10"/>
        <v>2.5445505069102112</v>
      </c>
      <c r="CC6" s="62">
        <f t="shared" si="11"/>
        <v>175.8995710767951</v>
      </c>
      <c r="CD6" s="62">
        <f ca="1">AVERAGE(OFFSET($CC$3,0,0,'Données projet'!$E$12+1,1))-AVERAGE(OFFSET($H$3,0,0,'Données projet'!$E$12+1,1))</f>
        <v>426.87921482911719</v>
      </c>
      <c r="CE6" s="62">
        <f t="shared" si="40"/>
        <v>313.49594674441835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6.9411764705882355</v>
      </c>
      <c r="CT6" s="13">
        <f>IF('Données projet'!$A$140&gt;35,CT5+CS6-DB5,IF(A6&lt;'Données projet'!$A$140,$CQ$205^A6,IF(A6='Données projet'!$A$140,'Données projet'!$B$140,CT5+CS6-DB5)))</f>
        <v>2.3207386577487843</v>
      </c>
      <c r="CU6" s="18">
        <f>CT6*VLOOKUP('Données projet'!$B$13,Paramètres!$A$1:$I$89,3,0)*VLOOKUP('Données projet'!$B$13,Paramètres!$A$1:$I$89,5,0)</f>
        <v>1.3878017173337731</v>
      </c>
      <c r="CV6" s="14">
        <f t="shared" si="41"/>
        <v>0.61561979180116611</v>
      </c>
      <c r="CW6" s="22">
        <f t="shared" si="13"/>
        <v>3.4892924617433518</v>
      </c>
      <c r="CX6" s="62">
        <f t="shared" si="14"/>
        <v>176.84431303162825</v>
      </c>
      <c r="CY6" s="62">
        <f ca="1">AVERAGE(OFFSET($CX$3,0,0,'Données projet'!$E$13+1,1))-AVERAGE(OFFSET($H$3,0,0,'Données projet'!$E$13+1,1))</f>
        <v>367.11994336501527</v>
      </c>
      <c r="CZ6" s="62">
        <f t="shared" si="42"/>
        <v>390.81417197867484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5.6</v>
      </c>
      <c r="N7" s="14">
        <f>IF('Données projet'!$A$36&gt;35,N6+M7-V6,IF(A7&lt;'Données projet'!$A$36,$K$205^A7,IF(A7='Données projet'!$A$36,'Données projet'!$B$36,N6+M7-V6)))</f>
        <v>14.378925219250927</v>
      </c>
      <c r="O7" s="14">
        <f>N7*VLOOKUP('Données projet'!$B$9,Paramètres!$A$1:$I$89,3,0)*VLOOKUP('Données projet'!$B$9,Paramètres!$A$1:$I$89,5,0)</f>
        <v>13.010051538378239</v>
      </c>
      <c r="P7" s="14">
        <f t="shared" si="33"/>
        <v>4.4476336184326453</v>
      </c>
      <c r="Q7" s="22">
        <f t="shared" si="2"/>
        <v>30.405468314778947</v>
      </c>
      <c r="R7" s="62">
        <f t="shared" si="0"/>
        <v>206.49159037895589</v>
      </c>
      <c r="S7" s="62">
        <f ca="1">AVERAGE(OFFSET($R$3,0,0,'Données projet'!$E$9+1,1))-AVERAGE(OFFSET($H$3,0,0,'Données projet'!$E$9+1,1))</f>
        <v>312.43110610485337</v>
      </c>
      <c r="T7" s="62">
        <f t="shared" si="34"/>
        <v>442.54749157177571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3.65</v>
      </c>
      <c r="AI7" s="14">
        <f>IF('Données projet'!$A$62&gt;35,AI6+AH7-AQ6,IF(A7&lt;'Données projet'!$A$62,$AF$205^A7,IF(A7='Données projet'!$A$62,'Données projet'!$B$62,AI6+AH7-AQ6)))</f>
        <v>2.3586558182407358</v>
      </c>
      <c r="AJ7" s="14">
        <f>AI7*VLOOKUP('Données projet'!$B$10,Paramètres!$A$1:$I$89,3,0)*VLOOKUP('Données projet'!$B$10,Paramètres!$A$1:$I$89,5,0)</f>
        <v>1.9869316612859962</v>
      </c>
      <c r="AK7" s="14">
        <f t="shared" si="35"/>
        <v>0.84533042826968274</v>
      </c>
      <c r="AL7" s="22">
        <f t="shared" si="4"/>
        <v>4.9328564726428068</v>
      </c>
      <c r="AM7" s="62">
        <f t="shared" si="5"/>
        <v>181.01897853681976</v>
      </c>
      <c r="AN7" s="62">
        <f ca="1">AVERAGE(OFFSET($AM$3,0,0,'Données projet'!$E$10+1,1))-AVERAGE(OFFSET($H$3,0,0,'Données projet'!$E$10+1,1))</f>
        <v>445.02659128831181</v>
      </c>
      <c r="AO7" s="62">
        <f t="shared" si="36"/>
        <v>281.06176764290592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3.65</v>
      </c>
      <c r="BD7" s="13">
        <f>IF('Données projet'!$A$88&gt;35,BD6+BC7-BL6,IF(A7&lt;'Données projet'!$A$88,$BA$205^A7,IF(A7='Données projet'!$A$88,'Données projet'!$B$88,BD6+BC7-BL6)))</f>
        <v>2.3586558182407358</v>
      </c>
      <c r="BE7" s="14">
        <f>BD7*VLOOKUP('Données projet'!$B$11,Paramètres!$A$1:$I$89,3,0)*VLOOKUP('Données projet'!$B$11,Paramètres!$A$1:$I$89,5,0)</f>
        <v>2.1341117843442179</v>
      </c>
      <c r="BF7" s="14">
        <f t="shared" si="37"/>
        <v>0.90042667189585779</v>
      </c>
      <c r="BG7" s="22">
        <f t="shared" si="7"/>
        <v>5.2851544779514645</v>
      </c>
      <c r="BH7" s="62">
        <f t="shared" si="8"/>
        <v>181.37127654212841</v>
      </c>
      <c r="BI7" s="62">
        <f ca="1">AVERAGE(OFFSET($BH$3,0,0,'Données projet'!$E$11+1,1))-AVERAGE(OFFSET($H$3,0,0,'Données projet'!$E$11+1,1))</f>
        <v>472.46893084347687</v>
      </c>
      <c r="BJ7" s="62">
        <f t="shared" si="38"/>
        <v>297.32483725004136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7.9</v>
      </c>
      <c r="BY7" s="13">
        <f>IF('Données projet'!$A$114&gt;35,BY6+BX7-CG6,IF(A7&lt;'Données projet'!$A$114,$BV$205^A7,IF(A7='Données projet'!$A$114,'Données projet'!$B$114,BY6+BX7-CG6)))</f>
        <v>2.7525259203889356</v>
      </c>
      <c r="BZ7" s="14">
        <f>BY7*VLOOKUP('Données projet'!$B$12,Paramètres!$A$1:$I$89,3,0)*VLOOKUP('Données projet'!$B$12,Paramètres!$A$1:$I$89,5,0)</f>
        <v>1.2881821307420218</v>
      </c>
      <c r="CA7" s="14">
        <f t="shared" si="39"/>
        <v>0.57640532069082717</v>
      </c>
      <c r="CB7" s="22">
        <f t="shared" si="10"/>
        <v>3.2474898112455457</v>
      </c>
      <c r="CC7" s="62">
        <f t="shared" si="11"/>
        <v>179.33361187542249</v>
      </c>
      <c r="CD7" s="62">
        <f ca="1">AVERAGE(OFFSET($CC$3,0,0,'Données projet'!$E$12+1,1))-AVERAGE(OFFSET($H$3,0,0,'Données projet'!$E$12+1,1))</f>
        <v>426.87921482911719</v>
      </c>
      <c r="CE7" s="62">
        <f t="shared" si="40"/>
        <v>313.49594674441835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6.9411764705882355</v>
      </c>
      <c r="CT7" s="13">
        <f>IF('Données projet'!$A$140&gt;35,CT6+CS7-DB6,IF(A7&lt;'Données projet'!$A$140,$CQ$205^A7,IF(A7='Données projet'!$A$140,'Données projet'!$B$140,CT6+CS7-DB6)))</f>
        <v>3.0725690301044271</v>
      </c>
      <c r="CU7" s="18">
        <f>CT7*VLOOKUP('Données projet'!$B$13,Paramètres!$A$1:$I$89,3,0)*VLOOKUP('Données projet'!$B$13,Paramètres!$A$1:$I$89,5,0)</f>
        <v>1.8373962800024475</v>
      </c>
      <c r="CV7" s="14">
        <f t="shared" si="41"/>
        <v>0.78886318355909346</v>
      </c>
      <c r="CW7" s="22">
        <f t="shared" si="13"/>
        <v>4.5740685657030165</v>
      </c>
      <c r="CX7" s="62">
        <f t="shared" si="14"/>
        <v>180.66019062987996</v>
      </c>
      <c r="CY7" s="62">
        <f ca="1">AVERAGE(OFFSET($CX$3,0,0,'Données projet'!$E$13+1,1))-AVERAGE(OFFSET($H$3,0,0,'Données projet'!$E$13+1,1))</f>
        <v>367.11994336501527</v>
      </c>
      <c r="CZ7" s="62">
        <f t="shared" si="42"/>
        <v>390.81417197867484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>
        <f>VLOOKUP(A8,'Données projet'!$A$35:$I$55,2,0)</f>
        <v>28</v>
      </c>
      <c r="L8" s="13">
        <f>VLOOKUP(A8,'Données projet'!$A$35:$I$55,9,0)</f>
        <v>5.6</v>
      </c>
      <c r="M8" s="13">
        <f t="array" ref="M8">INDEX(L:L,MIN(IF(ISNUMBER(L8:L204),ROW(L8:L204),"")))</f>
        <v>5.6</v>
      </c>
      <c r="N8" s="14">
        <f>IF('Données projet'!$A$36&gt;35,N7+M8-V7,IF(A8&lt;'Données projet'!$A$36,$K$205^A8,IF(A8='Données projet'!$A$36,'Données projet'!$B$36,N7+M8-V7)))</f>
        <v>28</v>
      </c>
      <c r="O8" s="14">
        <f>N8*VLOOKUP('Données projet'!$B$9,Paramètres!$A$1:$I$89,3,0)*VLOOKUP('Données projet'!$B$9,Paramètres!$A$1:$I$89,5,0)</f>
        <v>25.334399999999999</v>
      </c>
      <c r="P8" s="14">
        <f t="shared" si="33"/>
        <v>8.0143955200794572</v>
      </c>
      <c r="Q8" s="22">
        <f t="shared" si="2"/>
        <v>58.082485530805052</v>
      </c>
      <c r="R8" s="62">
        <f t="shared" si="0"/>
        <v>236.87353340725241</v>
      </c>
      <c r="S8" s="62">
        <f ca="1">AVERAGE(OFFSET($R$3,0,0,'Données projet'!$E$9+1,1))-AVERAGE(OFFSET($H$3,0,0,'Données projet'!$E$9+1,1))</f>
        <v>312.43110610485337</v>
      </c>
      <c r="T8" s="62">
        <f t="shared" si="34"/>
        <v>442.54749157177571</v>
      </c>
      <c r="U8" s="16">
        <f>IF(ISNA(VLOOKUP(A8,'Données projet'!$A$35:$I$55,3,0)),0,VLOOKUP(A8,'Données projet'!$A$35:$I$55,3,0))</f>
        <v>1</v>
      </c>
      <c r="V8" s="16">
        <f>IF(ISNA(VLOOKUP(A8,'Données projet'!$A$35:$I$55,4,0)),0,VLOOKUP(A8,'Données projet'!$A$35:$I$55,4,0))</f>
        <v>4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3.65</v>
      </c>
      <c r="AI8" s="14">
        <f>IF('Données projet'!$A$62&gt;35,AI7+AH8-AQ7,IF(A8&lt;'Données projet'!$A$62,$AF$205^A8,IF(A8='Données projet'!$A$62,'Données projet'!$B$62,AI7+AH8-AQ7)))</f>
        <v>2.9230127856917649</v>
      </c>
      <c r="AJ8" s="14">
        <f>AI8*VLOOKUP('Données projet'!$B$10,Paramètres!$A$1:$I$89,3,0)*VLOOKUP('Données projet'!$B$10,Paramètres!$A$1:$I$89,5,0)</f>
        <v>2.462345970666743</v>
      </c>
      <c r="AK8" s="14">
        <f t="shared" si="35"/>
        <v>1.021758139251189</v>
      </c>
      <c r="AL8" s="22">
        <f t="shared" si="4"/>
        <v>6.068147991440398</v>
      </c>
      <c r="AM8" s="62">
        <f t="shared" si="5"/>
        <v>184.85919586788776</v>
      </c>
      <c r="AN8" s="62">
        <f ca="1">AVERAGE(OFFSET($AM$3,0,0,'Données projet'!$E$10+1,1))-AVERAGE(OFFSET($H$3,0,0,'Données projet'!$E$10+1,1))</f>
        <v>445.02659128831181</v>
      </c>
      <c r="AO8" s="62">
        <f t="shared" si="36"/>
        <v>281.06176764290592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3.65</v>
      </c>
      <c r="BD8" s="13">
        <f>IF('Données projet'!$A$88&gt;35,BD7+BC8-BL7,IF(A8&lt;'Données projet'!$A$88,$BA$205^A8,IF(A8='Données projet'!$A$88,'Données projet'!$B$88,BD7+BC8-BL7)))</f>
        <v>2.9230127856917649</v>
      </c>
      <c r="BE8" s="14">
        <f>BD8*VLOOKUP('Données projet'!$B$11,Paramètres!$A$1:$I$89,3,0)*VLOOKUP('Données projet'!$B$11,Paramètres!$A$1:$I$89,5,0)</f>
        <v>2.6447419684939089</v>
      </c>
      <c r="BF8" s="14">
        <f t="shared" si="37"/>
        <v>1.0883534414958294</v>
      </c>
      <c r="BG8" s="22">
        <f t="shared" si="7"/>
        <v>6.5018078390654601</v>
      </c>
      <c r="BH8" s="62">
        <f t="shared" si="8"/>
        <v>185.29285571551281</v>
      </c>
      <c r="BI8" s="62">
        <f ca="1">AVERAGE(OFFSET($BH$3,0,0,'Données projet'!$E$11+1,1))-AVERAGE(OFFSET($H$3,0,0,'Données projet'!$E$11+1,1))</f>
        <v>472.46893084347687</v>
      </c>
      <c r="BJ8" s="62">
        <f t="shared" si="38"/>
        <v>297.32483725004136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7.9</v>
      </c>
      <c r="BY8" s="13">
        <f>IF('Données projet'!$A$114&gt;35,BY7+BX8-CG7,IF(A8&lt;'Données projet'!$A$114,$BV$205^A8,IF(A8='Données projet'!$A$114,'Données projet'!$B$114,BY7+BX8-CG7)))</f>
        <v>3.5453920925585285</v>
      </c>
      <c r="BZ8" s="14">
        <f>BY8*VLOOKUP('Données projet'!$B$12,Paramètres!$A$1:$I$89,3,0)*VLOOKUP('Données projet'!$B$12,Paramètres!$A$1:$I$89,5,0)</f>
        <v>1.6592434993173915</v>
      </c>
      <c r="CA8" s="14">
        <f t="shared" si="39"/>
        <v>0.72088277944126433</v>
      </c>
      <c r="CB8" s="22">
        <f t="shared" si="10"/>
        <v>4.1453866021713255</v>
      </c>
      <c r="CC8" s="62">
        <f t="shared" si="11"/>
        <v>182.93643447861868</v>
      </c>
      <c r="CD8" s="62">
        <f ca="1">AVERAGE(OFFSET($CC$3,0,0,'Données projet'!$E$12+1,1))-AVERAGE(OFFSET($H$3,0,0,'Données projet'!$E$12+1,1))</f>
        <v>426.87921482911719</v>
      </c>
      <c r="CE8" s="62">
        <f t="shared" si="40"/>
        <v>313.49594674441835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6.9411764705882355</v>
      </c>
      <c r="CT8" s="13">
        <f>IF('Données projet'!$A$140&gt;35,CT7+CS8-DB7,IF(A8&lt;'Données projet'!$A$140,$CQ$205^A8,IF(A8='Données projet'!$A$140,'Données projet'!$B$140,CT7+CS8-DB7)))</f>
        <v>4.0679636258202043</v>
      </c>
      <c r="CU8" s="18">
        <f>CT8*VLOOKUP('Données projet'!$B$13,Paramètres!$A$1:$I$89,3,0)*VLOOKUP('Données projet'!$B$13,Paramètres!$A$1:$I$89,5,0)</f>
        <v>2.4326422482404824</v>
      </c>
      <c r="CV8" s="14">
        <f t="shared" si="41"/>
        <v>1.0108595120931088</v>
      </c>
      <c r="CW8" s="22">
        <f t="shared" si="13"/>
        <v>5.9974322325810041</v>
      </c>
      <c r="CX8" s="62">
        <f t="shared" si="14"/>
        <v>184.78848010902834</v>
      </c>
      <c r="CY8" s="62">
        <f ca="1">AVERAGE(OFFSET($CX$3,0,0,'Données projet'!$E$13+1,1))-AVERAGE(OFFSET($H$3,0,0,'Données projet'!$E$13+1,1))</f>
        <v>367.11994336501527</v>
      </c>
      <c r="CZ8" s="62">
        <f t="shared" si="42"/>
        <v>390.81417197867484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11</v>
      </c>
      <c r="N9" s="14">
        <f>IF('Données projet'!$A$36&gt;35,N8+M9-V8,IF(A9&lt;'Données projet'!$A$36,$K$205^A9,IF(A9='Données projet'!$A$36,'Données projet'!$B$36,N8+M9-V8)))</f>
        <v>35</v>
      </c>
      <c r="O9" s="14">
        <f>N9*VLOOKUP('Données projet'!$B$9,Paramètres!$A$1:$I$89,3,0)*VLOOKUP('Données projet'!$B$9,Paramètres!$A$1:$I$89,5,0)</f>
        <v>31.667999999999996</v>
      </c>
      <c r="P9" s="14">
        <f t="shared" si="33"/>
        <v>9.7611381424130652</v>
      </c>
      <c r="Q9" s="22">
        <f t="shared" si="2"/>
        <v>72.155748931369416</v>
      </c>
      <c r="R9" s="62">
        <f t="shared" si="0"/>
        <v>253.62600102762838</v>
      </c>
      <c r="S9" s="62">
        <f ca="1">AVERAGE(OFFSET($R$3,0,0,'Données projet'!$E$9+1,1))-AVERAGE(OFFSET($H$3,0,0,'Données projet'!$E$9+1,1))</f>
        <v>312.43110610485337</v>
      </c>
      <c r="T9" s="62">
        <f t="shared" si="34"/>
        <v>442.54749157177571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3.65</v>
      </c>
      <c r="AI9" s="14">
        <f>IF('Données projet'!$A$62&gt;35,AI8+AH9-AQ8,IF(A9&lt;'Données projet'!$A$62,$AF$205^A9,IF(A9='Données projet'!$A$62,'Données projet'!$B$62,AI8+AH9-AQ8)))</f>
        <v>3.6224037772879885</v>
      </c>
      <c r="AJ9" s="14">
        <f>AI9*VLOOKUP('Données projet'!$B$10,Paramètres!$A$1:$I$89,3,0)*VLOOKUP('Données projet'!$B$10,Paramètres!$A$1:$I$89,5,0)</f>
        <v>3.0515129419874016</v>
      </c>
      <c r="AK9" s="14">
        <f t="shared" si="35"/>
        <v>1.2350078267772846</v>
      </c>
      <c r="AL9" s="22">
        <f t="shared" si="4"/>
        <v>7.4656903389318279</v>
      </c>
      <c r="AM9" s="62">
        <f t="shared" si="5"/>
        <v>188.93594243519081</v>
      </c>
      <c r="AN9" s="62">
        <f ca="1">AVERAGE(OFFSET($AM$3,0,0,'Données projet'!$E$10+1,1))-AVERAGE(OFFSET($H$3,0,0,'Données projet'!$E$10+1,1))</f>
        <v>445.02659128831181</v>
      </c>
      <c r="AO9" s="62">
        <f t="shared" si="36"/>
        <v>281.06176764290592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3.65</v>
      </c>
      <c r="BD9" s="13">
        <f>IF('Données projet'!$A$88&gt;35,BD8+BC9-BL8,IF(A9&lt;'Données projet'!$A$88,$BA$205^A9,IF(A9='Données projet'!$A$88,'Données projet'!$B$88,BD8+BC9-BL8)))</f>
        <v>3.6224037772879885</v>
      </c>
      <c r="BE9" s="14">
        <f>BD9*VLOOKUP('Données projet'!$B$11,Paramètres!$A$1:$I$89,3,0)*VLOOKUP('Données projet'!$B$11,Paramètres!$A$1:$I$89,5,0)</f>
        <v>3.2775509376901719</v>
      </c>
      <c r="BF9" s="14">
        <f t="shared" si="37"/>
        <v>1.315502139804245</v>
      </c>
      <c r="BG9" s="22">
        <f t="shared" si="7"/>
        <v>7.9995674433027766</v>
      </c>
      <c r="BH9" s="62">
        <f t="shared" si="8"/>
        <v>189.46981953956174</v>
      </c>
      <c r="BI9" s="62">
        <f ca="1">AVERAGE(OFFSET($BH$3,0,0,'Données projet'!$E$11+1,1))-AVERAGE(OFFSET($H$3,0,0,'Données projet'!$E$11+1,1))</f>
        <v>472.46893084347687</v>
      </c>
      <c r="BJ9" s="62">
        <f t="shared" si="38"/>
        <v>297.32483725004136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7.9</v>
      </c>
      <c r="BY9" s="13">
        <f>IF('Données projet'!$A$114&gt;35,BY8+BX9-CG8,IF(A9&lt;'Données projet'!$A$114,$BV$205^A9,IF(A9='Données projet'!$A$114,'Données projet'!$B$114,BY8+BX9-CG8)))</f>
        <v>4.566643676946887</v>
      </c>
      <c r="BZ9" s="14">
        <f>BY9*VLOOKUP('Données projet'!$B$12,Paramètres!$A$1:$I$89,3,0)*VLOOKUP('Données projet'!$B$12,Paramètres!$A$1:$I$89,5,0)</f>
        <v>2.1371892408111433</v>
      </c>
      <c r="CA9" s="14">
        <f t="shared" si="39"/>
        <v>0.9015738804633705</v>
      </c>
      <c r="CB9" s="22">
        <f t="shared" si="10"/>
        <v>5.292512436219778</v>
      </c>
      <c r="CC9" s="62">
        <f t="shared" si="11"/>
        <v>186.76276453247874</v>
      </c>
      <c r="CD9" s="62">
        <f ca="1">AVERAGE(OFFSET($CC$3,0,0,'Données projet'!$E$12+1,1))-AVERAGE(OFFSET($H$3,0,0,'Données projet'!$E$12+1,1))</f>
        <v>426.87921482911719</v>
      </c>
      <c r="CE9" s="62">
        <f t="shared" si="40"/>
        <v>313.49594674441835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6.9411764705882355</v>
      </c>
      <c r="CT9" s="13">
        <f>IF('Données projet'!$A$140&gt;35,CT8+CS9-DB8,IF(A9&lt;'Données projet'!$A$140,$CQ$205^A9,IF(A9='Données projet'!$A$140,'Données projet'!$B$140,CT8+CS9-DB8)))</f>
        <v>5.38582791756963</v>
      </c>
      <c r="CU9" s="18">
        <f>CT9*VLOOKUP('Données projet'!$B$13,Paramètres!$A$1:$I$89,3,0)*VLOOKUP('Données projet'!$B$13,Paramètres!$A$1:$I$89,5,0)</f>
        <v>3.2207250947066388</v>
      </c>
      <c r="CV9" s="14">
        <f t="shared" si="41"/>
        <v>1.2953284859599137</v>
      </c>
      <c r="CW9" s="22">
        <f t="shared" si="13"/>
        <v>7.8654599863275783</v>
      </c>
      <c r="CX9" s="62">
        <f t="shared" si="14"/>
        <v>189.33571208258655</v>
      </c>
      <c r="CY9" s="62">
        <f ca="1">AVERAGE(OFFSET($CX$3,0,0,'Données projet'!$E$13+1,1))-AVERAGE(OFFSET($H$3,0,0,'Données projet'!$E$13+1,1))</f>
        <v>367.11994336501527</v>
      </c>
      <c r="CZ9" s="62">
        <f t="shared" si="42"/>
        <v>390.81417197867484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11</v>
      </c>
      <c r="N10" s="14">
        <f>IF('Données projet'!$A$36&gt;35,N9+M10-V9,IF(A10&lt;'Données projet'!$A$36,$K$205^A10,IF(A10='Données projet'!$A$36,'Données projet'!$B$36,N9+M10-V9)))</f>
        <v>46</v>
      </c>
      <c r="O10" s="14">
        <f>N10*VLOOKUP('Données projet'!$B$9,Paramètres!$A$1:$I$89,3,0)*VLOOKUP('Données projet'!$B$9,Paramètres!$A$1:$I$89,5,0)</f>
        <v>41.620800000000003</v>
      </c>
      <c r="P10" s="14">
        <f t="shared" si="33"/>
        <v>12.427241987862391</v>
      </c>
      <c r="Q10" s="22">
        <f t="shared" si="2"/>
        <v>94.133673128860323</v>
      </c>
      <c r="R10" s="62">
        <f t="shared" si="0"/>
        <v>278.25785406459659</v>
      </c>
      <c r="S10" s="62">
        <f ca="1">AVERAGE(OFFSET($R$3,0,0,'Données projet'!$E$9+1,1))-AVERAGE(OFFSET($H$3,0,0,'Données projet'!$E$9+1,1))</f>
        <v>312.43110610485337</v>
      </c>
      <c r="T10" s="62">
        <f t="shared" si="34"/>
        <v>442.54749157177571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3.65</v>
      </c>
      <c r="AI10" s="14">
        <f>IF('Données projet'!$A$62&gt;35,AI9+AH10-AQ9,IF(A10&lt;'Données projet'!$A$62,$AF$205^A10,IF(A10='Données projet'!$A$62,'Données projet'!$B$62,AI9+AH10-AQ9)))</f>
        <v>4.4891384635544309</v>
      </c>
      <c r="AJ10" s="14">
        <f>AI10*VLOOKUP('Données projet'!$B$10,Paramètres!$A$1:$I$89,3,0)*VLOOKUP('Données projet'!$B$10,Paramètres!$A$1:$I$89,5,0)</f>
        <v>3.7816502416982529</v>
      </c>
      <c r="AK10" s="14">
        <f t="shared" si="35"/>
        <v>1.492764553183741</v>
      </c>
      <c r="AL10" s="22">
        <f t="shared" si="4"/>
        <v>9.1862724344194735</v>
      </c>
      <c r="AM10" s="62">
        <f t="shared" si="5"/>
        <v>193.3104533701557</v>
      </c>
      <c r="AN10" s="62">
        <f ca="1">AVERAGE(OFFSET($AM$3,0,0,'Données projet'!$E$10+1,1))-AVERAGE(OFFSET($H$3,0,0,'Données projet'!$E$10+1,1))</f>
        <v>445.02659128831181</v>
      </c>
      <c r="AO10" s="62">
        <f t="shared" si="36"/>
        <v>281.06176764290592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3.65</v>
      </c>
      <c r="BD10" s="13">
        <f>IF('Données projet'!$A$88&gt;35,BD9+BC10-BL9,IF(A10&lt;'Données projet'!$A$88,$BA$205^A10,IF(A10='Données projet'!$A$88,'Données projet'!$B$88,BD9+BC10-BL9)))</f>
        <v>4.4891384635544309</v>
      </c>
      <c r="BE10" s="14">
        <f>BD10*VLOOKUP('Données projet'!$B$11,Paramètres!$A$1:$I$89,3,0)*VLOOKUP('Données projet'!$B$11,Paramètres!$A$1:$I$89,5,0)</f>
        <v>4.0617724818240486</v>
      </c>
      <c r="BF10" s="14">
        <f t="shared" si="37"/>
        <v>1.590058719758437</v>
      </c>
      <c r="BG10" s="22">
        <f t="shared" si="7"/>
        <v>9.8436060094228282</v>
      </c>
      <c r="BH10" s="62">
        <f t="shared" si="8"/>
        <v>193.96778694515905</v>
      </c>
      <c r="BI10" s="62">
        <f ca="1">AVERAGE(OFFSET($BH$3,0,0,'Données projet'!$E$11+1,1))-AVERAGE(OFFSET($H$3,0,0,'Données projet'!$E$11+1,1))</f>
        <v>472.46893084347687</v>
      </c>
      <c r="BJ10" s="62">
        <f t="shared" si="38"/>
        <v>297.32483725004136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7.9</v>
      </c>
      <c r="BY10" s="13">
        <f>IF('Données projet'!$A$114&gt;35,BY9+BX10-CG9,IF(A10&lt;'Données projet'!$A$114,$BV$205^A10,IF(A10='Données projet'!$A$114,'Données projet'!$B$114,BY9+BX10-CG9)))</f>
        <v>5.8820671812210037</v>
      </c>
      <c r="BZ10" s="14">
        <f>BY10*VLOOKUP('Données projet'!$B$12,Paramètres!$A$1:$I$89,3,0)*VLOOKUP('Données projet'!$B$12,Paramètres!$A$1:$I$89,5,0)</f>
        <v>2.7528074408114294</v>
      </c>
      <c r="CA10" s="14">
        <f t="shared" si="39"/>
        <v>1.1275556652411438</v>
      </c>
      <c r="CB10" s="22">
        <f t="shared" si="10"/>
        <v>6.7582990763748976</v>
      </c>
      <c r="CC10" s="62">
        <f t="shared" si="11"/>
        <v>190.88248001211113</v>
      </c>
      <c r="CD10" s="62">
        <f ca="1">AVERAGE(OFFSET($CC$3,0,0,'Données projet'!$E$12+1,1))-AVERAGE(OFFSET($H$3,0,0,'Données projet'!$E$12+1,1))</f>
        <v>426.87921482911719</v>
      </c>
      <c r="CE10" s="62">
        <f t="shared" si="40"/>
        <v>313.49594674441835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6.9411764705882355</v>
      </c>
      <c r="CT10" s="13">
        <f>IF('Données projet'!$A$140&gt;35,CT9+CS10-DB9,IF(A10&lt;'Données projet'!$A$140,$CQ$205^A10,IF(A10='Données projet'!$A$140,'Données projet'!$B$140,CT9+CS10-DB9)))</f>
        <v>7.130629726765032</v>
      </c>
      <c r="CU10" s="18">
        <f>CT10*VLOOKUP('Données projet'!$B$13,Paramètres!$A$1:$I$89,3,0)*VLOOKUP('Données projet'!$B$13,Paramètres!$A$1:$I$89,5,0)</f>
        <v>4.26411657660549</v>
      </c>
      <c r="CV10" s="14">
        <f t="shared" si="41"/>
        <v>1.6598507175986843</v>
      </c>
      <c r="CW10" s="22">
        <f t="shared" si="13"/>
        <v>10.317576370738935</v>
      </c>
      <c r="CX10" s="62">
        <f t="shared" si="14"/>
        <v>194.44175730647518</v>
      </c>
      <c r="CY10" s="62">
        <f ca="1">AVERAGE(OFFSET($CX$3,0,0,'Données projet'!$E$13+1,1))-AVERAGE(OFFSET($H$3,0,0,'Données projet'!$E$13+1,1))</f>
        <v>367.11994336501527</v>
      </c>
      <c r="CZ10" s="62">
        <f t="shared" si="42"/>
        <v>390.81417197867484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11</v>
      </c>
      <c r="N11" s="14">
        <f>IF('Données projet'!$A$36&gt;35,N10+M11-V10,IF(A11&lt;'Données projet'!$A$36,$K$205^A11,IF(A11='Données projet'!$A$36,'Données projet'!$B$36,N10+M11-V10)))</f>
        <v>57</v>
      </c>
      <c r="O11" s="14">
        <f>N11*VLOOKUP('Données projet'!$B$9,Paramètres!$A$1:$I$89,3,0)*VLOOKUP('Données projet'!$B$9,Paramètres!$A$1:$I$89,5,0)</f>
        <v>51.573599999999992</v>
      </c>
      <c r="P11" s="14">
        <f t="shared" si="33"/>
        <v>15.019412930275323</v>
      </c>
      <c r="Q11" s="22">
        <f t="shared" si="2"/>
        <v>115.98283085356282</v>
      </c>
      <c r="R11" s="62">
        <f t="shared" si="0"/>
        <v>302.73610371978339</v>
      </c>
      <c r="S11" s="62">
        <f ca="1">AVERAGE(OFFSET($R$3,0,0,'Données projet'!$E$9+1,1))-AVERAGE(OFFSET($H$3,0,0,'Données projet'!$E$9+1,1))</f>
        <v>312.43110610485337</v>
      </c>
      <c r="T11" s="62">
        <f t="shared" si="34"/>
        <v>442.54749157177571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3.65</v>
      </c>
      <c r="AI11" s="14">
        <f>IF('Données projet'!$A$62&gt;35,AI10+AH11-AQ10,IF(A11&lt;'Données projet'!$A$62,$AF$205^A11,IF(A11='Données projet'!$A$62,'Données projet'!$B$62,AI10+AH11-AQ10)))</f>
        <v>5.563257268920875</v>
      </c>
      <c r="AJ11" s="14">
        <f>AI11*VLOOKUP('Données projet'!$B$10,Paramètres!$A$1:$I$89,3,0)*VLOOKUP('Données projet'!$B$10,Paramètres!$A$1:$I$89,5,0)</f>
        <v>4.6864879233389463</v>
      </c>
      <c r="AK11" s="14">
        <f t="shared" si="35"/>
        <v>1.8043173192324258</v>
      </c>
      <c r="AL11" s="22">
        <f t="shared" si="4"/>
        <v>11.304819130811806</v>
      </c>
      <c r="AM11" s="62">
        <f t="shared" si="5"/>
        <v>198.05809199703236</v>
      </c>
      <c r="AN11" s="62">
        <f ca="1">AVERAGE(OFFSET($AM$3,0,0,'Données projet'!$E$10+1,1))-AVERAGE(OFFSET($H$3,0,0,'Données projet'!$E$10+1,1))</f>
        <v>445.02659128831181</v>
      </c>
      <c r="AO11" s="62">
        <f t="shared" si="36"/>
        <v>281.06176764290592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3.65</v>
      </c>
      <c r="BD11" s="13">
        <f>IF('Données projet'!$A$88&gt;35,BD10+BC11-BL10,IF(A11&lt;'Données projet'!$A$88,$BA$205^A11,IF(A11='Données projet'!$A$88,'Données projet'!$B$88,BD10+BC11-BL10)))</f>
        <v>5.563257268920875</v>
      </c>
      <c r="BE11" s="14">
        <f>BD11*VLOOKUP('Données projet'!$B$11,Paramètres!$A$1:$I$89,3,0)*VLOOKUP('Données projet'!$B$11,Paramètres!$A$1:$I$89,5,0)</f>
        <v>5.0336351769196082</v>
      </c>
      <c r="BF11" s="14">
        <f t="shared" si="37"/>
        <v>1.9219176128866391</v>
      </c>
      <c r="BG11" s="22">
        <f t="shared" si="7"/>
        <v>12.11425444224588</v>
      </c>
      <c r="BH11" s="62">
        <f t="shared" si="8"/>
        <v>198.86752730846644</v>
      </c>
      <c r="BI11" s="62">
        <f ca="1">AVERAGE(OFFSET($BH$3,0,0,'Données projet'!$E$11+1,1))-AVERAGE(OFFSET($H$3,0,0,'Données projet'!$E$11+1,1))</f>
        <v>472.46893084347687</v>
      </c>
      <c r="BJ11" s="62">
        <f t="shared" si="38"/>
        <v>297.32483725004136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7.9</v>
      </c>
      <c r="BY11" s="13">
        <f>IF('Données projet'!$A$114&gt;35,BY10+BX11-CG10,IF(A11&lt;'Données projet'!$A$114,$BV$205^A11,IF(A11='Données projet'!$A$114,'Données projet'!$B$114,BY10+BX11-CG10)))</f>
        <v>7.5763989424129567</v>
      </c>
      <c r="BZ11" s="14">
        <f>BY11*VLOOKUP('Données projet'!$B$12,Paramètres!$A$1:$I$89,3,0)*VLOOKUP('Données projet'!$B$12,Paramètres!$A$1:$I$89,5,0)</f>
        <v>3.5457547050492639</v>
      </c>
      <c r="CA11" s="14">
        <f t="shared" si="39"/>
        <v>1.4101803587787649</v>
      </c>
      <c r="CB11" s="22">
        <f t="shared" si="10"/>
        <v>8.631586902833817</v>
      </c>
      <c r="CC11" s="62">
        <f t="shared" si="11"/>
        <v>195.38485976905437</v>
      </c>
      <c r="CD11" s="62">
        <f ca="1">AVERAGE(OFFSET($CC$3,0,0,'Données projet'!$E$12+1,1))-AVERAGE(OFFSET($H$3,0,0,'Données projet'!$E$12+1,1))</f>
        <v>426.87921482911719</v>
      </c>
      <c r="CE11" s="62">
        <f t="shared" si="40"/>
        <v>313.49594674441835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6.9411764705882355</v>
      </c>
      <c r="CT11" s="13">
        <f>IF('Données projet'!$A$140&gt;35,CT10+CS11-DB10,IF(A11&lt;'Données projet'!$A$140,$CQ$205^A11,IF(A11='Données projet'!$A$140,'Données projet'!$B$140,CT10+CS11-DB10)))</f>
        <v>9.4406804447568593</v>
      </c>
      <c r="CU11" s="18">
        <f>CT11*VLOOKUP('Données projet'!$B$13,Paramètres!$A$1:$I$89,3,0)*VLOOKUP('Données projet'!$B$13,Paramètres!$A$1:$I$89,5,0)</f>
        <v>5.6455269059646023</v>
      </c>
      <c r="CV11" s="14">
        <f t="shared" si="41"/>
        <v>2.1269542317454508</v>
      </c>
      <c r="CW11" s="22">
        <f t="shared" si="13"/>
        <v>13.53707131484501</v>
      </c>
      <c r="CX11" s="62">
        <f t="shared" si="14"/>
        <v>200.29034418106556</v>
      </c>
      <c r="CY11" s="62">
        <f ca="1">AVERAGE(OFFSET($CX$3,0,0,'Données projet'!$E$13+1,1))-AVERAGE(OFFSET($H$3,0,0,'Données projet'!$E$13+1,1))</f>
        <v>367.11994336501527</v>
      </c>
      <c r="CZ11" s="62">
        <f t="shared" si="42"/>
        <v>390.81417197867484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11</v>
      </c>
      <c r="N12" s="14">
        <f>IF('Données projet'!$A$36&gt;35,N11+M12-V11,IF(A12&lt;'Données projet'!$A$36,$K$205^A12,IF(A12='Données projet'!$A$36,'Données projet'!$B$36,N11+M12-V11)))</f>
        <v>68</v>
      </c>
      <c r="O12" s="14">
        <f>N12*VLOOKUP('Données projet'!$B$9,Paramètres!$A$1:$I$89,3,0)*VLOOKUP('Données projet'!$B$9,Paramètres!$A$1:$I$89,5,0)</f>
        <v>61.526399999999995</v>
      </c>
      <c r="P12" s="14">
        <f t="shared" si="33"/>
        <v>17.553624762159014</v>
      </c>
      <c r="Q12" s="22">
        <f t="shared" si="2"/>
        <v>137.73104312742694</v>
      </c>
      <c r="R12" s="62">
        <f t="shared" si="0"/>
        <v>327.08900187998302</v>
      </c>
      <c r="S12" s="62">
        <f ca="1">AVERAGE(OFFSET($R$3,0,0,'Données projet'!$E$9+1,1))-AVERAGE(OFFSET($H$3,0,0,'Données projet'!$E$9+1,1))</f>
        <v>312.43110610485337</v>
      </c>
      <c r="T12" s="62">
        <f t="shared" si="34"/>
        <v>442.54749157177571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3.65</v>
      </c>
      <c r="AI12" s="14">
        <f>IF('Données projet'!$A$62&gt;35,AI11+AH12-AQ11,IF(A12&lt;'Données projet'!$A$62,$AF$205^A12,IF(A12='Données projet'!$A$62,'Données projet'!$B$62,AI11+AH12-AQ11)))</f>
        <v>6.8943811137639424</v>
      </c>
      <c r="AJ12" s="14">
        <f>AI12*VLOOKUP('Données projet'!$B$10,Paramètres!$A$1:$I$89,3,0)*VLOOKUP('Données projet'!$B$10,Paramètres!$A$1:$I$89,5,0)</f>
        <v>5.8078266502347455</v>
      </c>
      <c r="AK12" s="14">
        <f t="shared" si="35"/>
        <v>2.1808938198181922</v>
      </c>
      <c r="AL12" s="22">
        <f t="shared" si="4"/>
        <v>13.913688152008866</v>
      </c>
      <c r="AM12" s="62">
        <f t="shared" si="5"/>
        <v>203.27164690456493</v>
      </c>
      <c r="AN12" s="62">
        <f ca="1">AVERAGE(OFFSET($AM$3,0,0,'Données projet'!$E$10+1,1))-AVERAGE(OFFSET($H$3,0,0,'Données projet'!$E$10+1,1))</f>
        <v>445.02659128831181</v>
      </c>
      <c r="AO12" s="62">
        <f t="shared" si="36"/>
        <v>281.06176764290592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3.65</v>
      </c>
      <c r="BD12" s="13">
        <f>IF('Données projet'!$A$88&gt;35,BD11+BC12-BL11,IF(A12&lt;'Données projet'!$A$88,$BA$205^A12,IF(A12='Données projet'!$A$88,'Données projet'!$B$88,BD11+BC12-BL11)))</f>
        <v>6.8943811137639424</v>
      </c>
      <c r="BE12" s="14">
        <f>BD12*VLOOKUP('Données projet'!$B$11,Paramètres!$A$1:$I$89,3,0)*VLOOKUP('Données projet'!$B$11,Paramètres!$A$1:$I$89,5,0)</f>
        <v>6.2380360317336141</v>
      </c>
      <c r="BF12" s="14">
        <f t="shared" si="37"/>
        <v>2.3230383034439352</v>
      </c>
      <c r="BG12" s="22">
        <f t="shared" si="7"/>
        <v>14.910537800434229</v>
      </c>
      <c r="BH12" s="62">
        <f t="shared" si="8"/>
        <v>204.26849655299031</v>
      </c>
      <c r="BI12" s="62">
        <f ca="1">AVERAGE(OFFSET($BH$3,0,0,'Données projet'!$E$11+1,1))-AVERAGE(OFFSET($H$3,0,0,'Données projet'!$E$11+1,1))</f>
        <v>472.46893084347687</v>
      </c>
      <c r="BJ12" s="62">
        <f t="shared" si="38"/>
        <v>297.32483725004136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7.9</v>
      </c>
      <c r="BY12" s="13">
        <f>IF('Données projet'!$A$114&gt;35,BY11+BX12-CG11,IF(A12&lt;'Données projet'!$A$114,$BV$205^A12,IF(A12='Données projet'!$A$114,'Données projet'!$B$114,BY11+BX12-CG11)))</f>
        <v>9.7587836327093171</v>
      </c>
      <c r="BZ12" s="14">
        <f>BY12*VLOOKUP('Données projet'!$B$12,Paramètres!$A$1:$I$89,3,0)*VLOOKUP('Données projet'!$B$12,Paramètres!$A$1:$I$89,5,0)</f>
        <v>4.5671107401079603</v>
      </c>
      <c r="CA12" s="14">
        <f t="shared" si="39"/>
        <v>1.763645650133036</v>
      </c>
      <c r="CB12" s="22">
        <f t="shared" si="10"/>
        <v>11.026067379669733</v>
      </c>
      <c r="CC12" s="62">
        <f t="shared" si="11"/>
        <v>200.38402613222581</v>
      </c>
      <c r="CD12" s="62">
        <f ca="1">AVERAGE(OFFSET($CC$3,0,0,'Données projet'!$E$12+1,1))-AVERAGE(OFFSET($H$3,0,0,'Données projet'!$E$12+1,1))</f>
        <v>426.87921482911719</v>
      </c>
      <c r="CE12" s="62">
        <f t="shared" si="40"/>
        <v>313.49594674441835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6.9411764705882355</v>
      </c>
      <c r="CT12" s="13">
        <f>IF('Données projet'!$A$140&gt;35,CT11+CS12-DB11,IF(A12&lt;'Données projet'!$A$140,$CQ$205^A12,IF(A12='Données projet'!$A$140,'Données projet'!$B$140,CT11+CS12-DB11)))</f>
        <v>12.499099052286473</v>
      </c>
      <c r="CU12" s="18">
        <f>CT12*VLOOKUP('Données projet'!$B$13,Paramètres!$A$1:$I$89,3,0)*VLOOKUP('Données projet'!$B$13,Paramètres!$A$1:$I$89,5,0)</f>
        <v>7.474461233267311</v>
      </c>
      <c r="CV12" s="14">
        <f t="shared" si="41"/>
        <v>2.7255067314033421</v>
      </c>
      <c r="CW12" s="22">
        <f t="shared" si="13"/>
        <v>17.764944205134721</v>
      </c>
      <c r="CX12" s="62">
        <f t="shared" si="14"/>
        <v>207.1229029576908</v>
      </c>
      <c r="CY12" s="62">
        <f ca="1">AVERAGE(OFFSET($CX$3,0,0,'Données projet'!$E$13+1,1))-AVERAGE(OFFSET($H$3,0,0,'Données projet'!$E$13+1,1))</f>
        <v>367.11994336501527</v>
      </c>
      <c r="CZ12" s="62">
        <f t="shared" si="42"/>
        <v>390.81417197867484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>
        <f>VLOOKUP(A13,'Données projet'!$A$35:$I$55,2,0)</f>
        <v>79</v>
      </c>
      <c r="L13" s="13">
        <f>VLOOKUP(A13,'Données projet'!$A$35:$I$55,9,0)</f>
        <v>11</v>
      </c>
      <c r="M13" s="13">
        <f t="array" ref="M13">INDEX(L:L,MIN(IF(ISNUMBER(L13:L209),ROW(L13:L209),"")))</f>
        <v>11</v>
      </c>
      <c r="N13" s="14">
        <f>IF('Données projet'!$A$36&gt;35,N12+M13-V12,IF(A13&lt;'Données projet'!$A$36,$K$205^A13,IF(A13='Données projet'!$A$36,'Données projet'!$B$36,N12+M13-V12)))</f>
        <v>79</v>
      </c>
      <c r="O13" s="14">
        <f>N13*VLOOKUP('Données projet'!$B$9,Paramètres!$A$1:$I$89,3,0)*VLOOKUP('Données projet'!$B$9,Paramètres!$A$1:$I$89,5,0)</f>
        <v>71.479200000000006</v>
      </c>
      <c r="P13" s="14">
        <f t="shared" si="33"/>
        <v>20.040346808618612</v>
      </c>
      <c r="Q13" s="22">
        <f t="shared" si="2"/>
        <v>159.39654402501074</v>
      </c>
      <c r="R13" s="62">
        <f t="shared" si="0"/>
        <v>351.33520601005563</v>
      </c>
      <c r="S13" s="62">
        <f ca="1">AVERAGE(OFFSET($R$3,0,0,'Données projet'!$E$9+1,1))-AVERAGE(OFFSET($H$3,0,0,'Données projet'!$E$9+1,1))</f>
        <v>312.43110610485337</v>
      </c>
      <c r="T13" s="62">
        <f t="shared" si="34"/>
        <v>442.54749157177571</v>
      </c>
      <c r="U13" s="16">
        <f>IF(ISNA(VLOOKUP(A13,'Données projet'!$A$35:$I$55,3,0)),0,VLOOKUP(A13,'Données projet'!$A$35:$I$55,3,0))</f>
        <v>2</v>
      </c>
      <c r="V13" s="16">
        <f>IF(ISNA(VLOOKUP(A13,'Données projet'!$A$35:$I$55,4,0)),0,VLOOKUP(A13,'Données projet'!$A$35:$I$55,4,0))</f>
        <v>21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3.65</v>
      </c>
      <c r="AI13" s="14">
        <f>IF('Données projet'!$A$62&gt;35,AI12+AH13-AQ12,IF(A13&lt;'Données projet'!$A$62,$AF$205^A13,IF(A13='Données projet'!$A$62,'Données projet'!$B$62,AI12+AH13-AQ12)))</f>
        <v>8.5440037453175322</v>
      </c>
      <c r="AJ13" s="14">
        <f>AI13*VLOOKUP('Données projet'!$B$10,Paramètres!$A$1:$I$89,3,0)*VLOOKUP('Données projet'!$B$10,Paramètres!$A$1:$I$89,5,0)</f>
        <v>7.1974687550554899</v>
      </c>
      <c r="AK13" s="14">
        <f t="shared" si="35"/>
        <v>2.6360650660630816</v>
      </c>
      <c r="AL13" s="22">
        <f t="shared" si="4"/>
        <v>17.126738071781514</v>
      </c>
      <c r="AM13" s="62">
        <f t="shared" si="5"/>
        <v>209.06540005682641</v>
      </c>
      <c r="AN13" s="62">
        <f ca="1">AVERAGE(OFFSET($AM$3,0,0,'Données projet'!$E$10+1,1))-AVERAGE(OFFSET($H$3,0,0,'Données projet'!$E$10+1,1))</f>
        <v>445.02659128831181</v>
      </c>
      <c r="AO13" s="62">
        <f t="shared" si="36"/>
        <v>281.06176764290592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3.65</v>
      </c>
      <c r="BD13" s="13">
        <f>IF('Données projet'!$A$88&gt;35,BD12+BC13-BL12,IF(A13&lt;'Données projet'!$A$88,$BA$205^A13,IF(A13='Données projet'!$A$88,'Données projet'!$B$88,BD12+BC13-BL12)))</f>
        <v>8.5440037453175322</v>
      </c>
      <c r="BE13" s="14">
        <f>BD13*VLOOKUP('Données projet'!$B$11,Paramètres!$A$1:$I$89,3,0)*VLOOKUP('Données projet'!$B$11,Paramètres!$A$1:$I$89,5,0)</f>
        <v>7.7306145887633031</v>
      </c>
      <c r="BF13" s="14">
        <f t="shared" si="37"/>
        <v>2.8078763226288115</v>
      </c>
      <c r="BG13" s="22">
        <f t="shared" si="7"/>
        <v>18.354538337341264</v>
      </c>
      <c r="BH13" s="62">
        <f t="shared" si="8"/>
        <v>210.29320032238616</v>
      </c>
      <c r="BI13" s="62">
        <f ca="1">AVERAGE(OFFSET($BH$3,0,0,'Données projet'!$E$11+1,1))-AVERAGE(OFFSET($H$3,0,0,'Données projet'!$E$11+1,1))</f>
        <v>472.46893084347687</v>
      </c>
      <c r="BJ13" s="62">
        <f t="shared" si="38"/>
        <v>297.32483725004136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7.9</v>
      </c>
      <c r="BY13" s="13">
        <f>IF('Données projet'!$A$114&gt;35,BY12+BX13-CG12,IF(A13&lt;'Données projet'!$A$114,$BV$205^A13,IF(A13='Données projet'!$A$114,'Données projet'!$B$114,BY12+BX13-CG12)))</f>
        <v>12.569805089976542</v>
      </c>
      <c r="BZ13" s="14">
        <f>BY13*VLOOKUP('Données projet'!$B$12,Paramètres!$A$1:$I$89,3,0)*VLOOKUP('Données projet'!$B$12,Paramètres!$A$1:$I$89,5,0)</f>
        <v>5.8826687821090227</v>
      </c>
      <c r="CA13" s="14">
        <f t="shared" si="39"/>
        <v>2.2057079152108381</v>
      </c>
      <c r="CB13" s="22">
        <f t="shared" si="10"/>
        <v>14.087256081165423</v>
      </c>
      <c r="CC13" s="62">
        <f t="shared" si="11"/>
        <v>206.02591806621032</v>
      </c>
      <c r="CD13" s="62">
        <f ca="1">AVERAGE(OFFSET($CC$3,0,0,'Données projet'!$E$12+1,1))-AVERAGE(OFFSET($H$3,0,0,'Données projet'!$E$12+1,1))</f>
        <v>426.87921482911719</v>
      </c>
      <c r="CE13" s="62">
        <f t="shared" si="40"/>
        <v>313.49594674441835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6.9411764705882355</v>
      </c>
      <c r="CT13" s="13">
        <f>IF('Données projet'!$A$140&gt;35,CT12+CS13-DB12,IF(A13&lt;'Données projet'!$A$140,$CQ$205^A13,IF(A13='Données projet'!$A$140,'Données projet'!$B$140,CT12+CS13-DB12)))</f>
        <v>16.548328060996262</v>
      </c>
      <c r="CU13" s="18">
        <f>CT13*VLOOKUP('Données projet'!$B$13,Paramètres!$A$1:$I$89,3,0)*VLOOKUP('Données projet'!$B$13,Paramètres!$A$1:$I$89,5,0)</f>
        <v>9.8959001804757651</v>
      </c>
      <c r="CV13" s="14">
        <f t="shared" si="41"/>
        <v>3.4924996655094662</v>
      </c>
      <c r="CW13" s="22">
        <f t="shared" si="13"/>
        <v>23.318129731757608</v>
      </c>
      <c r="CX13" s="62">
        <f t="shared" si="14"/>
        <v>215.2567917168025</v>
      </c>
      <c r="CY13" s="62">
        <f ca="1">AVERAGE(OFFSET($CX$3,0,0,'Données projet'!$E$13+1,1))-AVERAGE(OFFSET($H$3,0,0,'Données projet'!$E$13+1,1))</f>
        <v>367.11994336501527</v>
      </c>
      <c r="CZ13" s="62">
        <f t="shared" si="42"/>
        <v>390.81417197867484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11</v>
      </c>
      <c r="N14" s="14">
        <f>IF('Données projet'!$A$36&gt;35,N13+M14-V13,IF(A14&lt;'Données projet'!$A$36,$K$205^A14,IF(A14='Données projet'!$A$36,'Données projet'!$B$36,N13+M14-V13)))</f>
        <v>69</v>
      </c>
      <c r="O14" s="14">
        <f>N14*VLOOKUP('Données projet'!$B$9,Paramètres!$A$1:$I$89,3,0)*VLOOKUP('Données projet'!$B$9,Paramètres!$A$1:$I$89,5,0)</f>
        <v>62.431199999999997</v>
      </c>
      <c r="P14" s="14">
        <f t="shared" si="33"/>
        <v>17.781524466058684</v>
      </c>
      <c r="Q14" s="22">
        <f t="shared" si="2"/>
        <v>139.70382844505221</v>
      </c>
      <c r="R14" s="62">
        <f t="shared" si="0"/>
        <v>334.19962705416634</v>
      </c>
      <c r="S14" s="62">
        <f ca="1">AVERAGE(OFFSET($R$3,0,0,'Données projet'!$E$9+1,1))-AVERAGE(OFFSET($H$3,0,0,'Données projet'!$E$9+1,1))</f>
        <v>312.43110610485337</v>
      </c>
      <c r="T14" s="62">
        <f t="shared" si="34"/>
        <v>442.54749157177571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3.65</v>
      </c>
      <c r="AI14" s="14">
        <f>IF('Données projet'!$A$62&gt;35,AI13+AH14-AQ13,IF(A14&lt;'Données projet'!$A$62,$AF$205^A14,IF(A14='Données projet'!$A$62,'Données projet'!$B$62,AI13+AH14-AQ13)))</f>
        <v>10.588332555950936</v>
      </c>
      <c r="AJ14" s="14">
        <f>AI14*VLOOKUP('Données projet'!$B$10,Paramètres!$A$1:$I$89,3,0)*VLOOKUP('Données projet'!$B$10,Paramètres!$A$1:$I$89,5,0)</f>
        <v>8.9196113451330703</v>
      </c>
      <c r="AK14" s="14">
        <f t="shared" si="35"/>
        <v>3.186234455512118</v>
      </c>
      <c r="AL14" s="22">
        <f t="shared" si="4"/>
        <v>21.084348102790369</v>
      </c>
      <c r="AM14" s="62">
        <f t="shared" si="5"/>
        <v>215.58014671190449</v>
      </c>
      <c r="AN14" s="62">
        <f ca="1">AVERAGE(OFFSET($AM$3,0,0,'Données projet'!$E$10+1,1))-AVERAGE(OFFSET($H$3,0,0,'Données projet'!$E$10+1,1))</f>
        <v>445.02659128831181</v>
      </c>
      <c r="AO14" s="62">
        <f t="shared" si="36"/>
        <v>281.06176764290592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3.65</v>
      </c>
      <c r="BD14" s="13">
        <f>IF('Données projet'!$A$88&gt;35,BD13+BC14-BL13,IF(A14&lt;'Données projet'!$A$88,$BA$205^A14,IF(A14='Données projet'!$A$88,'Données projet'!$B$88,BD13+BC14-BL13)))</f>
        <v>10.588332555950936</v>
      </c>
      <c r="BE14" s="14">
        <f>BD14*VLOOKUP('Données projet'!$B$11,Paramètres!$A$1:$I$89,3,0)*VLOOKUP('Données projet'!$B$11,Paramètres!$A$1:$I$89,5,0)</f>
        <v>9.5803232966244067</v>
      </c>
      <c r="BF14" s="14">
        <f t="shared" si="37"/>
        <v>3.3939041949894282</v>
      </c>
      <c r="BG14" s="22">
        <f t="shared" si="7"/>
        <v>22.596779547894098</v>
      </c>
      <c r="BH14" s="62">
        <f t="shared" si="8"/>
        <v>217.09257815700823</v>
      </c>
      <c r="BI14" s="62">
        <f ca="1">AVERAGE(OFFSET($BH$3,0,0,'Données projet'!$E$11+1,1))-AVERAGE(OFFSET($H$3,0,0,'Données projet'!$E$11+1,1))</f>
        <v>472.46893084347687</v>
      </c>
      <c r="BJ14" s="62">
        <f t="shared" si="38"/>
        <v>297.32483725004136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7.9</v>
      </c>
      <c r="BY14" s="13">
        <f>IF('Données projet'!$A$114&gt;35,BY13+BX14-CG13,IF(A14&lt;'Données projet'!$A$114,$BV$205^A14,IF(A14='Données projet'!$A$114,'Données projet'!$B$114,BY13+BX14-CG13)))</f>
        <v>16.190542381779895</v>
      </c>
      <c r="BZ14" s="14">
        <f>BY14*VLOOKUP('Données projet'!$B$12,Paramètres!$A$1:$I$89,3,0)*VLOOKUP('Données projet'!$B$12,Paramètres!$A$1:$I$89,5,0)</f>
        <v>7.5771738346729904</v>
      </c>
      <c r="CA14" s="14">
        <f t="shared" si="39"/>
        <v>2.7585742106736397</v>
      </c>
      <c r="CB14" s="22">
        <f t="shared" si="10"/>
        <v>18.001427845645381</v>
      </c>
      <c r="CC14" s="62">
        <f t="shared" si="11"/>
        <v>212.49722645475953</v>
      </c>
      <c r="CD14" s="62">
        <f ca="1">AVERAGE(OFFSET($CC$3,0,0,'Données projet'!$E$12+1,1))-AVERAGE(OFFSET($H$3,0,0,'Données projet'!$E$12+1,1))</f>
        <v>426.87921482911719</v>
      </c>
      <c r="CE14" s="62">
        <f t="shared" si="40"/>
        <v>313.49594674441835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6.9411764705882355</v>
      </c>
      <c r="CT14" s="13">
        <f>IF('Données projet'!$A$140&gt;35,CT13+CS14-DB13,IF(A14&lt;'Données projet'!$A$140,$CQ$205^A14,IF(A14='Données projet'!$A$140,'Données projet'!$B$140,CT13+CS14-DB13)))</f>
        <v>21.909352063600231</v>
      </c>
      <c r="CU14" s="18">
        <f>CT14*VLOOKUP('Données projet'!$B$13,Paramètres!$A$1:$I$89,3,0)*VLOOKUP('Données projet'!$B$13,Paramètres!$A$1:$I$89,5,0)</f>
        <v>13.101792534032938</v>
      </c>
      <c r="CV14" s="14">
        <f t="shared" si="41"/>
        <v>4.4753343563761101</v>
      </c>
      <c r="CW14" s="22">
        <f t="shared" si="13"/>
        <v>30.613496000795752</v>
      </c>
      <c r="CX14" s="62">
        <f t="shared" si="14"/>
        <v>225.10929460990988</v>
      </c>
      <c r="CY14" s="62">
        <f ca="1">AVERAGE(OFFSET($CX$3,0,0,'Données projet'!$E$13+1,1))-AVERAGE(OFFSET($H$3,0,0,'Données projet'!$E$13+1,1))</f>
        <v>367.11994336501527</v>
      </c>
      <c r="CZ14" s="62">
        <f t="shared" si="42"/>
        <v>390.81417197867484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11</v>
      </c>
      <c r="N15" s="14">
        <f>IF('Données projet'!$A$36&gt;35,N14+M15-V14,IF(A15&lt;'Données projet'!$A$36,$K$205^A15,IF(A15='Données projet'!$A$36,'Données projet'!$B$36,N14+M15-V14)))</f>
        <v>80</v>
      </c>
      <c r="O15" s="14">
        <f>N15*VLOOKUP('Données projet'!$B$9,Paramètres!$A$1:$I$89,3,0)*VLOOKUP('Données projet'!$B$9,Paramètres!$A$1:$I$89,5,0)</f>
        <v>72.384</v>
      </c>
      <c r="P15" s="14">
        <f t="shared" si="33"/>
        <v>20.264329923804397</v>
      </c>
      <c r="Q15" s="22">
        <f t="shared" si="2"/>
        <v>161.362507950626</v>
      </c>
      <c r="R15" s="62">
        <f t="shared" si="0"/>
        <v>358.39228540335887</v>
      </c>
      <c r="S15" s="62">
        <f ca="1">AVERAGE(OFFSET($R$3,0,0,'Données projet'!$E$9+1,1))-AVERAGE(OFFSET($H$3,0,0,'Données projet'!$E$9+1,1))</f>
        <v>312.43110610485337</v>
      </c>
      <c r="T15" s="62">
        <f t="shared" si="34"/>
        <v>442.54749157177571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3.65</v>
      </c>
      <c r="AI15" s="14">
        <f>IF('Données projet'!$A$62&gt;35,AI14+AH15-AQ14,IF(A15&lt;'Données projet'!$A$62,$AF$205^A15,IF(A15='Données projet'!$A$62,'Données projet'!$B$62,AI14+AH15-AQ14)))</f>
        <v>13.121809125710287</v>
      </c>
      <c r="AJ15" s="14">
        <f>AI15*VLOOKUP('Données projet'!$B$10,Paramètres!$A$1:$I$89,3,0)*VLOOKUP('Données projet'!$B$10,Paramètres!$A$1:$I$89,5,0)</f>
        <v>11.053812007498347</v>
      </c>
      <c r="AK15" s="14">
        <f t="shared" si="35"/>
        <v>3.8512289154738402</v>
      </c>
      <c r="AL15" s="22">
        <f t="shared" si="4"/>
        <v>25.959612940843225</v>
      </c>
      <c r="AM15" s="62">
        <f t="shared" si="5"/>
        <v>222.98939039357609</v>
      </c>
      <c r="AN15" s="62">
        <f ca="1">AVERAGE(OFFSET($AM$3,0,0,'Données projet'!$E$10+1,1))-AVERAGE(OFFSET($H$3,0,0,'Données projet'!$E$10+1,1))</f>
        <v>445.02659128831181</v>
      </c>
      <c r="AO15" s="62">
        <f t="shared" si="36"/>
        <v>281.06176764290592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3.65</v>
      </c>
      <c r="BD15" s="13">
        <f>IF('Données projet'!$A$88&gt;35,BD14+BC15-BL14,IF(A15&lt;'Données projet'!$A$88,$BA$205^A15,IF(A15='Données projet'!$A$88,'Données projet'!$B$88,BD14+BC15-BL14)))</f>
        <v>13.121809125710287</v>
      </c>
      <c r="BE15" s="14">
        <f>BD15*VLOOKUP('Données projet'!$B$11,Paramètres!$A$1:$I$89,3,0)*VLOOKUP('Données projet'!$B$11,Paramètres!$A$1:$I$89,5,0)</f>
        <v>11.872612896942668</v>
      </c>
      <c r="BF15" s="14">
        <f t="shared" si="37"/>
        <v>4.1022411108131784</v>
      </c>
      <c r="BG15" s="22">
        <f t="shared" si="7"/>
        <v>27.822870730174767</v>
      </c>
      <c r="BH15" s="62">
        <f t="shared" si="8"/>
        <v>224.85264818290764</v>
      </c>
      <c r="BI15" s="62">
        <f ca="1">AVERAGE(OFFSET($BH$3,0,0,'Données projet'!$E$11+1,1))-AVERAGE(OFFSET($H$3,0,0,'Données projet'!$E$11+1,1))</f>
        <v>472.46893084347687</v>
      </c>
      <c r="BJ15" s="62">
        <f t="shared" si="38"/>
        <v>297.32483725004136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7.9</v>
      </c>
      <c r="BY15" s="13">
        <f>IF('Données projet'!$A$114&gt;35,BY14+BX15-CG14,IF(A15&lt;'Données projet'!$A$114,$BV$205^A15,IF(A15='Données projet'!$A$114,'Données projet'!$B$114,BY14+BX15-CG14)))</f>
        <v>20.854234472198982</v>
      </c>
      <c r="BZ15" s="14">
        <f>BY15*VLOOKUP('Données projet'!$B$12,Paramètres!$A$1:$I$89,3,0)*VLOOKUP('Données projet'!$B$12,Paramètres!$A$1:$I$89,5,0)</f>
        <v>9.7597817329891239</v>
      </c>
      <c r="CA15" s="14">
        <f t="shared" si="39"/>
        <v>3.4500178483814818</v>
      </c>
      <c r="CB15" s="22">
        <f t="shared" si="10"/>
        <v>23.00706760422047</v>
      </c>
      <c r="CC15" s="62">
        <f t="shared" si="11"/>
        <v>220.03684505695335</v>
      </c>
      <c r="CD15" s="62">
        <f ca="1">AVERAGE(OFFSET($CC$3,0,0,'Données projet'!$E$12+1,1))-AVERAGE(OFFSET($H$3,0,0,'Données projet'!$E$12+1,1))</f>
        <v>426.87921482911719</v>
      </c>
      <c r="CE15" s="62">
        <f t="shared" si="40"/>
        <v>313.49594674441835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6.9411764705882355</v>
      </c>
      <c r="CT15" s="13">
        <f>IF('Données projet'!$A$140&gt;35,CT14+CS15-DB14,IF(A15&lt;'Données projet'!$A$140,$CQ$205^A15,IF(A15='Données projet'!$A$140,'Données projet'!$B$140,CT14+CS15-DB14)))</f>
        <v>29.007142357672414</v>
      </c>
      <c r="CU15" s="18">
        <f>CT15*VLOOKUP('Données projet'!$B$13,Paramètres!$A$1:$I$89,3,0)*VLOOKUP('Données projet'!$B$13,Paramètres!$A$1:$I$89,5,0)</f>
        <v>17.346271129888105</v>
      </c>
      <c r="CV15" s="14">
        <f t="shared" si="41"/>
        <v>5.7347514730366376</v>
      </c>
      <c r="CW15" s="22">
        <f t="shared" si="13"/>
        <v>40.19944770009392</v>
      </c>
      <c r="CX15" s="62">
        <f t="shared" si="14"/>
        <v>237.22922515282679</v>
      </c>
      <c r="CY15" s="62">
        <f ca="1">AVERAGE(OFFSET($CX$3,0,0,'Données projet'!$E$13+1,1))-AVERAGE(OFFSET($H$3,0,0,'Données projet'!$E$13+1,1))</f>
        <v>367.11994336501527</v>
      </c>
      <c r="CZ15" s="62">
        <f t="shared" si="42"/>
        <v>390.81417197867484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11</v>
      </c>
      <c r="N16" s="14">
        <f>IF('Données projet'!$A$36&gt;35,N15+M16-V15,IF(A16&lt;'Données projet'!$A$36,$K$205^A16,IF(A16='Données projet'!$A$36,'Données projet'!$B$36,N15+M16-V15)))</f>
        <v>91</v>
      </c>
      <c r="O16" s="14">
        <f>N16*VLOOKUP('Données projet'!$B$9,Paramètres!$A$1:$I$89,3,0)*VLOOKUP('Données projet'!$B$9,Paramètres!$A$1:$I$89,5,0)</f>
        <v>82.336799999999997</v>
      </c>
      <c r="P16" s="14">
        <f t="shared" si="33"/>
        <v>22.707582950885364</v>
      </c>
      <c r="Q16" s="22">
        <f t="shared" si="2"/>
        <v>182.95230030612535</v>
      </c>
      <c r="R16" s="62">
        <f t="shared" si="0"/>
        <v>382.49330055774419</v>
      </c>
      <c r="S16" s="62">
        <f ca="1">AVERAGE(OFFSET($R$3,0,0,'Données projet'!$E$9+1,1))-AVERAGE(OFFSET($H$3,0,0,'Données projet'!$E$9+1,1))</f>
        <v>312.43110610485337</v>
      </c>
      <c r="T16" s="62">
        <f t="shared" si="34"/>
        <v>442.54749157177571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3.65</v>
      </c>
      <c r="AI16" s="14">
        <f>IF('Données projet'!$A$62&gt;35,AI15+AH16-AQ15,IF(A16&lt;'Données projet'!$A$62,$AF$205^A16,IF(A16='Données projet'!$A$62,'Données projet'!$B$62,AI15+AH16-AQ15)))</f>
        <v>16.261472127148366</v>
      </c>
      <c r="AJ16" s="14">
        <f>AI16*VLOOKUP('Données projet'!$B$10,Paramètres!$A$1:$I$89,3,0)*VLOOKUP('Données projet'!$B$10,Paramètres!$A$1:$I$89,5,0)</f>
        <v>13.698664119909786</v>
      </c>
      <c r="AK16" s="14">
        <f t="shared" si="35"/>
        <v>4.6550134230463893</v>
      </c>
      <c r="AL16" s="22">
        <f t="shared" si="4"/>
        <v>31.965988387315338</v>
      </c>
      <c r="AM16" s="62">
        <f t="shared" si="5"/>
        <v>231.50698863893416</v>
      </c>
      <c r="AN16" s="62">
        <f ca="1">AVERAGE(OFFSET($AM$3,0,0,'Données projet'!$E$10+1,1))-AVERAGE(OFFSET($H$3,0,0,'Données projet'!$E$10+1,1))</f>
        <v>445.02659128831181</v>
      </c>
      <c r="AO16" s="62">
        <f t="shared" si="36"/>
        <v>281.06176764290592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3.65</v>
      </c>
      <c r="BD16" s="13">
        <f>IF('Données projet'!$A$88&gt;35,BD15+BC16-BL15,IF(A16&lt;'Données projet'!$A$88,$BA$205^A16,IF(A16='Données projet'!$A$88,'Données projet'!$B$88,BD15+BC16-BL15)))</f>
        <v>16.261472127148366</v>
      </c>
      <c r="BE16" s="14">
        <f>BD16*VLOOKUP('Données projet'!$B$11,Paramètres!$A$1:$I$89,3,0)*VLOOKUP('Données projet'!$B$11,Paramètres!$A$1:$I$89,5,0)</f>
        <v>14.713379980643843</v>
      </c>
      <c r="BF16" s="14">
        <f t="shared" si="37"/>
        <v>4.9584140165447881</v>
      </c>
      <c r="BG16" s="22">
        <f t="shared" si="7"/>
        <v>34.261707878436859</v>
      </c>
      <c r="BH16" s="62">
        <f t="shared" si="8"/>
        <v>233.80270813005566</v>
      </c>
      <c r="BI16" s="62">
        <f ca="1">AVERAGE(OFFSET($BH$3,0,0,'Données projet'!$E$11+1,1))-AVERAGE(OFFSET($H$3,0,0,'Données projet'!$E$11+1,1))</f>
        <v>472.46893084347687</v>
      </c>
      <c r="BJ16" s="62">
        <f t="shared" si="38"/>
        <v>297.32483725004136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7.9</v>
      </c>
      <c r="BY16" s="13">
        <f>IF('Données projet'!$A$114&gt;35,BY15+BX16-CG15,IF(A16&lt;'Données projet'!$A$114,$BV$205^A16,IF(A16='Données projet'!$A$114,'Données projet'!$B$114,BY15+BX16-CG15)))</f>
        <v>26.861304900499697</v>
      </c>
      <c r="BZ16" s="14">
        <f>BY16*VLOOKUP('Données projet'!$B$12,Paramètres!$A$1:$I$89,3,0)*VLOOKUP('Données projet'!$B$12,Paramètres!$A$1:$I$89,5,0)</f>
        <v>12.571090693433858</v>
      </c>
      <c r="CA16" s="14">
        <f t="shared" si="39"/>
        <v>4.3147735914069099</v>
      </c>
      <c r="CB16" s="22">
        <f t="shared" si="10"/>
        <v>29.409546962764335</v>
      </c>
      <c r="CC16" s="62">
        <f t="shared" si="11"/>
        <v>228.95054721438314</v>
      </c>
      <c r="CD16" s="62">
        <f ca="1">AVERAGE(OFFSET($CC$3,0,0,'Données projet'!$E$12+1,1))-AVERAGE(OFFSET($H$3,0,0,'Données projet'!$E$12+1,1))</f>
        <v>426.87921482911719</v>
      </c>
      <c r="CE16" s="62">
        <f t="shared" si="40"/>
        <v>313.49594674441835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6.9411764705882355</v>
      </c>
      <c r="CT16" s="13">
        <f>IF('Données projet'!$A$140&gt;35,CT15+CS16-DB15,IF(A16&lt;'Données projet'!$A$140,$CQ$205^A16,IF(A16='Données projet'!$A$140,'Données projet'!$B$140,CT15+CS16-DB15)))</f>
        <v>38.404344652263013</v>
      </c>
      <c r="CU16" s="18">
        <f>CT16*VLOOKUP('Données projet'!$B$13,Paramètres!$A$1:$I$89,3,0)*VLOOKUP('Données projet'!$B$13,Paramètres!$A$1:$I$89,5,0)</f>
        <v>22.965798102053284</v>
      </c>
      <c r="CV16" s="14">
        <f t="shared" si="41"/>
        <v>7.3485848963755025</v>
      </c>
      <c r="CW16" s="22">
        <f t="shared" si="13"/>
        <v>52.797550388930141</v>
      </c>
      <c r="CX16" s="62">
        <f t="shared" si="14"/>
        <v>252.33855064054896</v>
      </c>
      <c r="CY16" s="62">
        <f ca="1">AVERAGE(OFFSET($CX$3,0,0,'Données projet'!$E$13+1,1))-AVERAGE(OFFSET($H$3,0,0,'Données projet'!$E$13+1,1))</f>
        <v>367.11994336501527</v>
      </c>
      <c r="CZ16" s="62">
        <f t="shared" si="42"/>
        <v>390.81417197867484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11</v>
      </c>
      <c r="N17" s="14">
        <f>IF('Données projet'!$A$36&gt;35,N16+M17-V16,IF(A17&lt;'Données projet'!$A$36,$K$205^A17,IF(A17='Données projet'!$A$36,'Données projet'!$B$36,N16+M17-V16)))</f>
        <v>102</v>
      </c>
      <c r="O17" s="14">
        <f>N17*VLOOKUP('Données projet'!$B$9,Paramètres!$A$1:$I$89,3,0)*VLOOKUP('Données projet'!$B$9,Paramètres!$A$1:$I$89,5,0)</f>
        <v>92.289599999999993</v>
      </c>
      <c r="P17" s="14">
        <f t="shared" si="33"/>
        <v>25.116611431659546</v>
      </c>
      <c r="Q17" s="22">
        <f t="shared" si="2"/>
        <v>204.48248491014036</v>
      </c>
      <c r="R17" s="62">
        <f t="shared" si="0"/>
        <v>406.51234668241352</v>
      </c>
      <c r="S17" s="62">
        <f ca="1">AVERAGE(OFFSET($R$3,0,0,'Données projet'!$E$9+1,1))-AVERAGE(OFFSET($H$3,0,0,'Données projet'!$E$9+1,1))</f>
        <v>312.43110610485337</v>
      </c>
      <c r="T17" s="62">
        <f t="shared" si="34"/>
        <v>442.54749157177571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3.65</v>
      </c>
      <c r="AI17" s="14">
        <f>IF('Données projet'!$A$62&gt;35,AI16+AH17-AQ16,IF(A17&lt;'Données projet'!$A$62,$AF$205^A17,IF(A17='Données projet'!$A$62,'Données projet'!$B$62,AI16+AH17-AQ16)))</f>
        <v>20.152364144963837</v>
      </c>
      <c r="AJ17" s="14">
        <f>AI17*VLOOKUP('Données projet'!$B$10,Paramètres!$A$1:$I$89,3,0)*VLOOKUP('Données projet'!$B$10,Paramètres!$A$1:$I$89,5,0)</f>
        <v>16.976351555717539</v>
      </c>
      <c r="AK17" s="14">
        <f t="shared" si="35"/>
        <v>5.6265546516016363</v>
      </c>
      <c r="AL17" s="22">
        <f t="shared" si="4"/>
        <v>39.366728311080898</v>
      </c>
      <c r="AM17" s="62">
        <f t="shared" si="5"/>
        <v>241.39659008335408</v>
      </c>
      <c r="AN17" s="62">
        <f ca="1">AVERAGE(OFFSET($AM$3,0,0,'Données projet'!$E$10+1,1))-AVERAGE(OFFSET($H$3,0,0,'Données projet'!$E$10+1,1))</f>
        <v>445.02659128831181</v>
      </c>
      <c r="AO17" s="62">
        <f t="shared" si="36"/>
        <v>281.06176764290592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3.65</v>
      </c>
      <c r="BD17" s="13">
        <f>IF('Données projet'!$A$88&gt;35,BD16+BC17-BL16,IF(A17&lt;'Données projet'!$A$88,$BA$205^A17,IF(A17='Données projet'!$A$88,'Données projet'!$B$88,BD16+BC17-BL16)))</f>
        <v>20.152364144963837</v>
      </c>
      <c r="BE17" s="14">
        <f>BD17*VLOOKUP('Données projet'!$B$11,Paramètres!$A$1:$I$89,3,0)*VLOOKUP('Données projet'!$B$11,Paramètres!$A$1:$I$89,5,0)</f>
        <v>18.233859078363277</v>
      </c>
      <c r="BF17" s="14">
        <f t="shared" si="37"/>
        <v>5.9932775513027368</v>
      </c>
      <c r="BG17" s="22">
        <f t="shared" si="7"/>
        <v>42.195596296668306</v>
      </c>
      <c r="BH17" s="62">
        <f t="shared" si="8"/>
        <v>244.22545806894149</v>
      </c>
      <c r="BI17" s="62">
        <f ca="1">AVERAGE(OFFSET($BH$3,0,0,'Données projet'!$E$11+1,1))-AVERAGE(OFFSET($H$3,0,0,'Données projet'!$E$11+1,1))</f>
        <v>472.46893084347687</v>
      </c>
      <c r="BJ17" s="62">
        <f t="shared" si="38"/>
        <v>297.32483725004136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7.9</v>
      </c>
      <c r="BY17" s="13">
        <f>IF('Données projet'!$A$114&gt;35,BY16+BX17-CG16,IF(A17&lt;'Données projet'!$A$114,$BV$205^A17,IF(A17='Données projet'!$A$114,'Données projet'!$B$114,BY16+BX17-CG16)))</f>
        <v>34.598714324397214</v>
      </c>
      <c r="BZ17" s="14">
        <f>BY17*VLOOKUP('Données projet'!$B$12,Paramètres!$A$1:$I$89,3,0)*VLOOKUP('Données projet'!$B$12,Paramètres!$A$1:$I$89,5,0)</f>
        <v>16.192198303817896</v>
      </c>
      <c r="CA17" s="14">
        <f t="shared" si="39"/>
        <v>5.3962825594761723</v>
      </c>
      <c r="CB17" s="22">
        <f t="shared" si="10"/>
        <v>37.599937503570509</v>
      </c>
      <c r="CC17" s="62">
        <f t="shared" si="11"/>
        <v>239.62979927584371</v>
      </c>
      <c r="CD17" s="62">
        <f ca="1">AVERAGE(OFFSET($CC$3,0,0,'Données projet'!$E$12+1,1))-AVERAGE(OFFSET($H$3,0,0,'Données projet'!$E$12+1,1))</f>
        <v>426.87921482911719</v>
      </c>
      <c r="CE17" s="62">
        <f t="shared" si="40"/>
        <v>313.49594674441835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6.9411764705882355</v>
      </c>
      <c r="CT17" s="13">
        <f>IF('Données projet'!$A$140&gt;35,CT16+CS17-DB16,IF(A17&lt;'Données projet'!$A$140,$CQ$205^A17,IF(A17='Données projet'!$A$140,'Données projet'!$B$140,CT16+CS17-DB16)))</f>
        <v>50.845880300225161</v>
      </c>
      <c r="CU17" s="18">
        <f>CT17*VLOOKUP('Données projet'!$B$13,Paramètres!$A$1:$I$89,3,0)*VLOOKUP('Données projet'!$B$13,Paramètres!$A$1:$I$89,5,0)</f>
        <v>30.405836419534648</v>
      </c>
      <c r="CV17" s="14">
        <f t="shared" si="41"/>
        <v>9.4165719705798292</v>
      </c>
      <c r="CW17" s="22">
        <f t="shared" si="13"/>
        <v>69.357361279449364</v>
      </c>
      <c r="CX17" s="62">
        <f t="shared" si="14"/>
        <v>271.38722305172257</v>
      </c>
      <c r="CY17" s="62">
        <f ca="1">AVERAGE(OFFSET($CX$3,0,0,'Données projet'!$E$13+1,1))-AVERAGE(OFFSET($H$3,0,0,'Données projet'!$E$13+1,1))</f>
        <v>367.11994336501527</v>
      </c>
      <c r="CZ17" s="62">
        <f t="shared" si="42"/>
        <v>390.81417197867484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>
        <f>VLOOKUP(A18,'Données projet'!$A$35:$I$55,2,0)</f>
        <v>113</v>
      </c>
      <c r="L18" s="13">
        <f>VLOOKUP(A18,'Données projet'!$A$35:$I$55,9,0)</f>
        <v>11</v>
      </c>
      <c r="M18" s="13">
        <f t="array" ref="M18">INDEX(L:L,MIN(IF(ISNUMBER(L18:L214),ROW(L18:L214),"")))</f>
        <v>11</v>
      </c>
      <c r="N18" s="14">
        <f>IF('Données projet'!$A$36&gt;35,N17+M18-V17,IF(A18&lt;'Données projet'!$A$36,$K$205^A18,IF(A18='Données projet'!$A$36,'Données projet'!$B$36,N17+M18-V17)))</f>
        <v>113</v>
      </c>
      <c r="O18" s="14">
        <f>N18*VLOOKUP('Données projet'!$B$9,Paramètres!$A$1:$I$89,3,0)*VLOOKUP('Données projet'!$B$9,Paramètres!$A$1:$I$89,5,0)</f>
        <v>102.24239999999999</v>
      </c>
      <c r="P18" s="14">
        <f t="shared" si="33"/>
        <v>27.495526976991481</v>
      </c>
      <c r="Q18" s="22">
        <f t="shared" si="2"/>
        <v>225.96022281826015</v>
      </c>
      <c r="R18" s="62">
        <f t="shared" si="0"/>
        <v>430.45697275114117</v>
      </c>
      <c r="S18" s="62">
        <f ca="1">AVERAGE(OFFSET($R$3,0,0,'Données projet'!$E$9+1,1))-AVERAGE(OFFSET($H$3,0,0,'Données projet'!$E$9+1,1))</f>
        <v>312.43110610485337</v>
      </c>
      <c r="T18" s="62">
        <f t="shared" si="34"/>
        <v>442.54749157177571</v>
      </c>
      <c r="U18" s="16">
        <f>IF(ISNA(VLOOKUP(A18,'Données projet'!$A$35:$I$55,3,0)),0,VLOOKUP(A18,'Données projet'!$A$35:$I$55,3,0))</f>
        <v>3</v>
      </c>
      <c r="V18" s="16">
        <f>IF(ISNA(VLOOKUP(A18,'Données projet'!$A$35:$I$55,4,0)),0,VLOOKUP(A18,'Données projet'!$A$35:$I$55,4,0))</f>
        <v>17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3.65</v>
      </c>
      <c r="AI18" s="14">
        <f>IF('Données projet'!$A$62&gt;35,AI17+AH18-AQ17,IF(A18&lt;'Données projet'!$A$62,$AF$205^A18,IF(A18='Données projet'!$A$62,'Données projet'!$B$62,AI17+AH18-AQ17)))</f>
        <v>24.974232188561476</v>
      </c>
      <c r="AJ18" s="14">
        <f>AI18*VLOOKUP('Données projet'!$B$10,Paramètres!$A$1:$I$89,3,0)*VLOOKUP('Données projet'!$B$10,Paramètres!$A$1:$I$89,5,0)</f>
        <v>21.03829319564419</v>
      </c>
      <c r="AK18" s="14">
        <f t="shared" si="35"/>
        <v>6.8008648676982615</v>
      </c>
      <c r="AL18" s="22">
        <f t="shared" si="4"/>
        <v>48.486533626988098</v>
      </c>
      <c r="AM18" s="62">
        <f t="shared" si="5"/>
        <v>252.98328355986914</v>
      </c>
      <c r="AN18" s="62">
        <f ca="1">AVERAGE(OFFSET($AM$3,0,0,'Données projet'!$E$10+1,1))-AVERAGE(OFFSET($H$3,0,0,'Données projet'!$E$10+1,1))</f>
        <v>445.02659128831181</v>
      </c>
      <c r="AO18" s="62">
        <f t="shared" si="36"/>
        <v>281.06176764290592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3.65</v>
      </c>
      <c r="BD18" s="13">
        <f>IF('Données projet'!$A$88&gt;35,BD17+BC18-BL17,IF(A18&lt;'Données projet'!$A$88,$BA$205^A18,IF(A18='Données projet'!$A$88,'Données projet'!$B$88,BD17+BC18-BL17)))</f>
        <v>24.974232188561476</v>
      </c>
      <c r="BE18" s="14">
        <f>BD18*VLOOKUP('Données projet'!$B$11,Paramètres!$A$1:$I$89,3,0)*VLOOKUP('Données projet'!$B$11,Paramètres!$A$1:$I$89,5,0)</f>
        <v>22.596685284210423</v>
      </c>
      <c r="BF18" s="14">
        <f t="shared" si="37"/>
        <v>7.2441259820371586</v>
      </c>
      <c r="BG18" s="22">
        <f t="shared" si="7"/>
        <v>51.972746288714539</v>
      </c>
      <c r="BH18" s="62">
        <f t="shared" si="8"/>
        <v>256.46949622159559</v>
      </c>
      <c r="BI18" s="62">
        <f ca="1">AVERAGE(OFFSET($BH$3,0,0,'Données projet'!$E$11+1,1))-AVERAGE(OFFSET($H$3,0,0,'Données projet'!$E$11+1,1))</f>
        <v>472.46893084347687</v>
      </c>
      <c r="BJ18" s="62">
        <f t="shared" si="38"/>
        <v>297.32483725004136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7.9</v>
      </c>
      <c r="BY18" s="13">
        <f>IF('Données projet'!$A$114&gt;35,BY17+BX18-CG17,IF(A18&lt;'Données projet'!$A$114,$BV$205^A18,IF(A18='Données projet'!$A$114,'Données projet'!$B$114,BY17+BX18-CG17)))</f>
        <v>44.564887571004775</v>
      </c>
      <c r="BZ18" s="14">
        <f>BY18*VLOOKUP('Données projet'!$B$12,Paramètres!$A$1:$I$89,3,0)*VLOOKUP('Données projet'!$B$12,Paramètres!$A$1:$I$89,5,0)</f>
        <v>20.856367383230236</v>
      </c>
      <c r="CA18" s="14">
        <f t="shared" si="39"/>
        <v>6.7488744993944465</v>
      </c>
      <c r="CB18" s="22">
        <f t="shared" si="10"/>
        <v>48.079129612237985</v>
      </c>
      <c r="CC18" s="62">
        <f t="shared" si="11"/>
        <v>252.57587954511902</v>
      </c>
      <c r="CD18" s="62">
        <f ca="1">AVERAGE(OFFSET($CC$3,0,0,'Données projet'!$E$12+1,1))-AVERAGE(OFFSET($H$3,0,0,'Données projet'!$E$12+1,1))</f>
        <v>426.87921482911719</v>
      </c>
      <c r="CE18" s="62">
        <f t="shared" si="40"/>
        <v>313.49594674441835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6.9411764705882355</v>
      </c>
      <c r="CT18" s="13">
        <f>IF('Données projet'!$A$140&gt;35,CT17+CS18-DB17,IF(A18&lt;'Données projet'!$A$140,$CQ$205^A18,IF(A18='Données projet'!$A$140,'Données projet'!$B$140,CT17+CS18-DB17)))</f>
        <v>67.317996620272581</v>
      </c>
      <c r="CU18" s="18">
        <f>CT18*VLOOKUP('Données projet'!$B$13,Paramètres!$A$1:$I$89,3,0)*VLOOKUP('Données projet'!$B$13,Paramètres!$A$1:$I$89,5,0)</f>
        <v>40.256161978923011</v>
      </c>
      <c r="CV18" s="14">
        <f t="shared" si="41"/>
        <v>12.066517421720839</v>
      </c>
      <c r="CW18" s="22">
        <f t="shared" si="13"/>
        <v>91.128666622788032</v>
      </c>
      <c r="CX18" s="62">
        <f t="shared" si="14"/>
        <v>295.62541655566906</v>
      </c>
      <c r="CY18" s="62">
        <f ca="1">AVERAGE(OFFSET($CX$3,0,0,'Données projet'!$E$13+1,1))-AVERAGE(OFFSET($H$3,0,0,'Données projet'!$E$13+1,1))</f>
        <v>367.11994336501527</v>
      </c>
      <c r="CZ18" s="62">
        <f t="shared" si="42"/>
        <v>390.81417197867484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9.8000000000000007</v>
      </c>
      <c r="N19" s="14">
        <f>IF('Données projet'!$A$36&gt;35,N18+M19-V18,IF(A19&lt;'Données projet'!$A$36,$K$205^A19,IF(A19='Données projet'!$A$36,'Données projet'!$B$36,N18+M19-V18)))</f>
        <v>105.8</v>
      </c>
      <c r="O19" s="14">
        <f>N19*VLOOKUP('Données projet'!$B$9,Paramètres!$A$1:$I$89,3,0)*VLOOKUP('Données projet'!$B$9,Paramètres!$A$1:$I$89,5,0)</f>
        <v>95.72784</v>
      </c>
      <c r="P19" s="14">
        <f t="shared" si="33"/>
        <v>25.941642560384413</v>
      </c>
      <c r="Q19" s="22">
        <f t="shared" si="2"/>
        <v>211.90768212600287</v>
      </c>
      <c r="R19" s="62">
        <f t="shared" si="0"/>
        <v>418.84972804811696</v>
      </c>
      <c r="S19" s="62">
        <f ca="1">AVERAGE(OFFSET($R$3,0,0,'Données projet'!$E$9+1,1))-AVERAGE(OFFSET($H$3,0,0,'Données projet'!$E$9+1,1))</f>
        <v>312.43110610485337</v>
      </c>
      <c r="T19" s="62">
        <f t="shared" si="34"/>
        <v>442.54749157177571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3.65</v>
      </c>
      <c r="AI19" s="14">
        <f>IF('Données projet'!$A$62&gt;35,AI18+AH19-AQ18,IF(A19&lt;'Données projet'!$A$62,$AF$205^A19,IF(A19='Données projet'!$A$62,'Données projet'!$B$62,AI18+AH19-AQ18)))</f>
        <v>30.949831440200953</v>
      </c>
      <c r="AJ19" s="14">
        <f>AI19*VLOOKUP('Données projet'!$B$10,Paramètres!$A$1:$I$89,3,0)*VLOOKUP('Données projet'!$B$10,Paramètres!$A$1:$I$89,5,0)</f>
        <v>26.072138005225284</v>
      </c>
      <c r="AK19" s="14">
        <f t="shared" si="35"/>
        <v>8.2202636982343371</v>
      </c>
      <c r="AL19" s="22">
        <f t="shared" si="4"/>
        <v>59.725932966858835</v>
      </c>
      <c r="AM19" s="62">
        <f t="shared" si="5"/>
        <v>266.66797888897293</v>
      </c>
      <c r="AN19" s="62">
        <f ca="1">AVERAGE(OFFSET($AM$3,0,0,'Données projet'!$E$10+1,1))-AVERAGE(OFFSET($H$3,0,0,'Données projet'!$E$10+1,1))</f>
        <v>445.02659128831181</v>
      </c>
      <c r="AO19" s="62">
        <f t="shared" si="36"/>
        <v>281.06176764290592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3.65</v>
      </c>
      <c r="BD19" s="13">
        <f>IF('Données projet'!$A$88&gt;35,BD18+BC19-BL18,IF(A19&lt;'Données projet'!$A$88,$BA$205^A19,IF(A19='Données projet'!$A$88,'Données projet'!$B$88,BD18+BC19-BL18)))</f>
        <v>30.949831440200953</v>
      </c>
      <c r="BE19" s="14">
        <f>BD19*VLOOKUP('Données projet'!$B$11,Paramètres!$A$1:$I$89,3,0)*VLOOKUP('Données projet'!$B$11,Paramètres!$A$1:$I$89,5,0)</f>
        <v>28.003407487093821</v>
      </c>
      <c r="BF19" s="14">
        <f t="shared" si="37"/>
        <v>8.7560372090925433</v>
      </c>
      <c r="BG19" s="22">
        <f t="shared" si="7"/>
        <v>64.022699512524582</v>
      </c>
      <c r="BH19" s="62">
        <f t="shared" si="8"/>
        <v>270.96474543463864</v>
      </c>
      <c r="BI19" s="62">
        <f ca="1">AVERAGE(OFFSET($BH$3,0,0,'Données projet'!$E$11+1,1))-AVERAGE(OFFSET($H$3,0,0,'Données projet'!$E$11+1,1))</f>
        <v>472.46893084347687</v>
      </c>
      <c r="BJ19" s="62">
        <f t="shared" si="38"/>
        <v>297.32483725004136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7.9</v>
      </c>
      <c r="BY19" s="13">
        <f>IF('Données projet'!$A$114&gt;35,BY18+BX19-CG18,IF(A19&lt;'Données projet'!$A$114,$BV$205^A19,IF(A19='Données projet'!$A$114,'Données projet'!$B$114,BY18+BX19-CG18)))</f>
        <v>57.401820934596167</v>
      </c>
      <c r="BZ19" s="14">
        <f>BY19*VLOOKUP('Données projet'!$B$12,Paramètres!$A$1:$I$89,3,0)*VLOOKUP('Données projet'!$B$12,Paramètres!$A$1:$I$89,5,0)</f>
        <v>26.864052197391008</v>
      </c>
      <c r="CA19" s="14">
        <f t="shared" si="39"/>
        <v>8.4404970471001413</v>
      </c>
      <c r="CB19" s="22">
        <f t="shared" si="10"/>
        <v>61.488756600822086</v>
      </c>
      <c r="CC19" s="62">
        <f t="shared" si="11"/>
        <v>268.43080252293612</v>
      </c>
      <c r="CD19" s="62">
        <f ca="1">AVERAGE(OFFSET($CC$3,0,0,'Données projet'!$E$12+1,1))-AVERAGE(OFFSET($H$3,0,0,'Données projet'!$E$12+1,1))</f>
        <v>426.87921482911719</v>
      </c>
      <c r="CE19" s="62">
        <f t="shared" si="40"/>
        <v>313.49594674441835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6.9411764705882355</v>
      </c>
      <c r="CT19" s="13">
        <f>IF('Données projet'!$A$140&gt;35,CT18+CS19-DB18,IF(A19&lt;'Données projet'!$A$140,$CQ$205^A19,IF(A19='Données projet'!$A$140,'Données projet'!$B$140,CT18+CS19-DB18)))</f>
        <v>89.126447260014572</v>
      </c>
      <c r="CU19" s="18">
        <f>CT19*VLOOKUP('Données projet'!$B$13,Paramètres!$A$1:$I$89,3,0)*VLOOKUP('Données projet'!$B$13,Paramètres!$A$1:$I$89,5,0)</f>
        <v>53.297615461488718</v>
      </c>
      <c r="CV19" s="14">
        <f t="shared" si="41"/>
        <v>15.46219188294774</v>
      </c>
      <c r="CW19" s="22">
        <f t="shared" si="13"/>
        <v>119.75666445822681</v>
      </c>
      <c r="CX19" s="62">
        <f t="shared" si="14"/>
        <v>326.69871038034086</v>
      </c>
      <c r="CY19" s="62">
        <f ca="1">AVERAGE(OFFSET($CX$3,0,0,'Données projet'!$E$13+1,1))-AVERAGE(OFFSET($H$3,0,0,'Données projet'!$E$13+1,1))</f>
        <v>367.11994336501527</v>
      </c>
      <c r="CZ19" s="62">
        <f t="shared" si="42"/>
        <v>390.81417197867484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9.8000000000000007</v>
      </c>
      <c r="N20" s="14">
        <f>IF('Données projet'!$A$36&gt;35,N19+M20-V19,IF(A20&lt;'Données projet'!$A$36,$K$205^A20,IF(A20='Données projet'!$A$36,'Données projet'!$B$36,N19+M20-V19)))</f>
        <v>115.6</v>
      </c>
      <c r="O20" s="14">
        <f>N20*VLOOKUP('Données projet'!$B$9,Paramètres!$A$1:$I$89,3,0)*VLOOKUP('Données projet'!$B$9,Paramètres!$A$1:$I$89,5,0)</f>
        <v>104.59487999999999</v>
      </c>
      <c r="P20" s="14">
        <f t="shared" si="33"/>
        <v>28.053785838854211</v>
      </c>
      <c r="Q20" s="22">
        <f t="shared" si="2"/>
        <v>231.02975966933766</v>
      </c>
      <c r="R20" s="62">
        <f t="shared" si="0"/>
        <v>440.39588398521039</v>
      </c>
      <c r="S20" s="62">
        <f ca="1">AVERAGE(OFFSET($R$3,0,0,'Données projet'!$E$9+1,1))-AVERAGE(OFFSET($H$3,0,0,'Données projet'!$E$9+1,1))</f>
        <v>312.43110610485337</v>
      </c>
      <c r="T20" s="62">
        <f t="shared" si="34"/>
        <v>442.54749157177571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3.65</v>
      </c>
      <c r="AI20" s="14">
        <f>IF('Données projet'!$A$62&gt;35,AI19+AH20-AQ19,IF(A20&lt;'Données projet'!$A$62,$AF$205^A20,IF(A20='Données projet'!$A$62,'Données projet'!$B$62,AI19+AH20-AQ19)))</f>
        <v>38.355215845858055</v>
      </c>
      <c r="AJ20" s="14">
        <f>AI20*VLOOKUP('Données projet'!$B$10,Paramètres!$A$1:$I$89,3,0)*VLOOKUP('Données projet'!$B$10,Paramètres!$A$1:$I$89,5,0)</f>
        <v>32.310433828550828</v>
      </c>
      <c r="AK20" s="14">
        <f t="shared" si="35"/>
        <v>9.9359032392271498</v>
      </c>
      <c r="AL20" s="22">
        <f t="shared" si="4"/>
        <v>73.579037059713301</v>
      </c>
      <c r="AM20" s="62">
        <f t="shared" si="5"/>
        <v>282.94516137558605</v>
      </c>
      <c r="AN20" s="62">
        <f ca="1">AVERAGE(OFFSET($AM$3,0,0,'Données projet'!$E$10+1,1))-AVERAGE(OFFSET($H$3,0,0,'Données projet'!$E$10+1,1))</f>
        <v>445.02659128831181</v>
      </c>
      <c r="AO20" s="62">
        <f t="shared" si="36"/>
        <v>281.06176764290592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3.65</v>
      </c>
      <c r="BD20" s="13">
        <f>IF('Données projet'!$A$88&gt;35,BD19+BC20-BL19,IF(A20&lt;'Données projet'!$A$88,$BA$205^A20,IF(A20='Données projet'!$A$88,'Données projet'!$B$88,BD19+BC20-BL19)))</f>
        <v>38.355215845858055</v>
      </c>
      <c r="BE20" s="14">
        <f>BD20*VLOOKUP('Données projet'!$B$11,Paramètres!$A$1:$I$89,3,0)*VLOOKUP('Données projet'!$B$11,Paramètres!$A$1:$I$89,5,0)</f>
        <v>34.703799297332367</v>
      </c>
      <c r="BF20" s="14">
        <f t="shared" si="37"/>
        <v>10.583497277259243</v>
      </c>
      <c r="BG20" s="22">
        <f t="shared" si="7"/>
        <v>78.875374867413711</v>
      </c>
      <c r="BH20" s="62">
        <f t="shared" si="8"/>
        <v>288.24149918328646</v>
      </c>
      <c r="BI20" s="62">
        <f ca="1">AVERAGE(OFFSET($BH$3,0,0,'Données projet'!$E$11+1,1))-AVERAGE(OFFSET($H$3,0,0,'Données projet'!$E$11+1,1))</f>
        <v>472.46893084347687</v>
      </c>
      <c r="BJ20" s="62">
        <f t="shared" si="38"/>
        <v>297.32483725004136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7.9</v>
      </c>
      <c r="BY20" s="13">
        <f>IF('Données projet'!$A$114&gt;35,BY19+BX20-CG19,IF(A20&lt;'Données projet'!$A$114,$BV$205^A20,IF(A20='Données projet'!$A$114,'Données projet'!$B$114,BY19+BX20-CG19)))</f>
        <v>73.936437994095741</v>
      </c>
      <c r="BZ20" s="14">
        <f>BY20*VLOOKUP('Données projet'!$B$12,Paramètres!$A$1:$I$89,3,0)*VLOOKUP('Données projet'!$B$12,Paramètres!$A$1:$I$89,5,0)</f>
        <v>34.602252981236802</v>
      </c>
      <c r="CA20" s="14">
        <f t="shared" si="39"/>
        <v>10.556129086190376</v>
      </c>
      <c r="CB20" s="22">
        <f t="shared" si="10"/>
        <v>78.650848767435647</v>
      </c>
      <c r="CC20" s="62">
        <f t="shared" si="11"/>
        <v>288.01697308330836</v>
      </c>
      <c r="CD20" s="62">
        <f ca="1">AVERAGE(OFFSET($CC$3,0,0,'Données projet'!$E$12+1,1))-AVERAGE(OFFSET($H$3,0,0,'Données projet'!$E$12+1,1))</f>
        <v>426.87921482911719</v>
      </c>
      <c r="CE20" s="62">
        <f t="shared" si="40"/>
        <v>313.49594674441835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>
        <f>VLOOKUP(A20,'Données projet'!$A$139:$I$159,2,0)</f>
        <v>118</v>
      </c>
      <c r="CR20" s="13">
        <f>VLOOKUP(A20,'Données projet'!$A$139:$I$159,9,0)</f>
        <v>6.9411764705882355</v>
      </c>
      <c r="CS20" s="13">
        <f t="array" ref="CS20">INDEX(CR:CR,MIN(IF(ISNUMBER(CR20:CR216),ROW(CR20:CR216),"")))</f>
        <v>6.9411764705882355</v>
      </c>
      <c r="CT20" s="13">
        <f>IF('Données projet'!$A$140&gt;35,CT19+CS20-DB19,IF(A20&lt;'Données projet'!$A$140,$CQ$205^A20,IF(A20='Données projet'!$A$140,'Données projet'!$B$140,CT19+CS20-DB19)))</f>
        <v>118</v>
      </c>
      <c r="CU20" s="18">
        <f>CT20*VLOOKUP('Données projet'!$B$13,Paramètres!$A$1:$I$89,3,0)*VLOOKUP('Données projet'!$B$13,Paramètres!$A$1:$I$89,5,0)</f>
        <v>70.564000000000007</v>
      </c>
      <c r="CV20" s="14">
        <f t="shared" si="41"/>
        <v>19.813453167086163</v>
      </c>
      <c r="CW20" s="22">
        <f t="shared" si="13"/>
        <v>157.40739759934175</v>
      </c>
      <c r="CX20" s="62">
        <f t="shared" si="14"/>
        <v>366.77352191521447</v>
      </c>
      <c r="CY20" s="62">
        <f ca="1">AVERAGE(OFFSET($CX$3,0,0,'Données projet'!$E$13+1,1))-AVERAGE(OFFSET($H$3,0,0,'Données projet'!$E$13+1,1))</f>
        <v>367.11994336501527</v>
      </c>
      <c r="CZ20" s="62">
        <f t="shared" si="42"/>
        <v>390.81417197867484</v>
      </c>
      <c r="DA20" s="16">
        <f>IF(ISNA(VLOOKUP(A20,'Données projet'!$A$139:$I$159,3,0)),0,VLOOKUP(A20,'Données projet'!$A$139:$I$159,3,0))</f>
        <v>1</v>
      </c>
      <c r="DB20" s="16">
        <f>IF(ISNA(VLOOKUP(A20,'Données projet'!$A$139:$I$159,4,0)),0,VLOOKUP(A20,'Données projet'!$A$139:$I$159,4,0))</f>
        <v>15</v>
      </c>
      <c r="DC20" s="17">
        <f>IF(ISNA(VLOOKUP(A20,'Données projet'!$A$139:$I$159,5,0)),0%,VLOOKUP(A20,'Données projet'!$A$139:$I$159,5,0)*VLOOKUP('Données projet'!$B$13,Paramètres!$A$1:$I$89,7,0))</f>
        <v>0.36000000000000004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0.2</v>
      </c>
      <c r="DF20" s="23">
        <f>EXP(-LN(2)/35)*DF19+(1-EXP(-LN(2)/35))/(LN(2)/35)*DB20*DC20*VLOOKUP('Données projet'!$B$13,Paramètres!$A$1:$I$89,3,0)*0.475*44/12</f>
        <v>4.2837419395053642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2.0312247417624802</v>
      </c>
      <c r="DI20" s="24">
        <f t="shared" si="15"/>
        <v>6.314966681267844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9.8000000000000007</v>
      </c>
      <c r="N21" s="14">
        <f>IF('Données projet'!$A$36&gt;35,N20+M21-V20,IF(A21&lt;'Données projet'!$A$36,$K$205^A21,IF(A21='Données projet'!$A$36,'Données projet'!$B$36,N20+M21-V20)))</f>
        <v>125.39999999999999</v>
      </c>
      <c r="O21" s="14">
        <f>N21*VLOOKUP('Données projet'!$B$9,Paramètres!$A$1:$I$89,3,0)*VLOOKUP('Données projet'!$B$9,Paramètres!$A$1:$I$89,5,0)</f>
        <v>113.46191999999998</v>
      </c>
      <c r="P21" s="14">
        <f t="shared" si="33"/>
        <v>30.145163126535493</v>
      </c>
      <c r="Q21" s="22">
        <f t="shared" si="2"/>
        <v>250.11566977871595</v>
      </c>
      <c r="R21" s="62">
        <f t="shared" si="0"/>
        <v>461.88502297071909</v>
      </c>
      <c r="S21" s="62">
        <f ca="1">AVERAGE(OFFSET($R$3,0,0,'Données projet'!$E$9+1,1))-AVERAGE(OFFSET($H$3,0,0,'Données projet'!$E$9+1,1))</f>
        <v>312.43110610485337</v>
      </c>
      <c r="T21" s="62">
        <f t="shared" si="34"/>
        <v>442.54749157177571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3.65</v>
      </c>
      <c r="AI21" s="14">
        <f>IF('Données projet'!$A$62&gt;35,AI20+AH21-AQ20,IF(A21&lt;'Données projet'!$A$62,$AF$205^A21,IF(A21='Données projet'!$A$62,'Données projet'!$B$62,AI20+AH21-AQ20)))</f>
        <v>47.532490941824946</v>
      </c>
      <c r="AJ21" s="14">
        <f>AI21*VLOOKUP('Données projet'!$B$10,Paramètres!$A$1:$I$89,3,0)*VLOOKUP('Données projet'!$B$10,Paramètres!$A$1:$I$89,5,0)</f>
        <v>40.041370369393334</v>
      </c>
      <c r="AK21" s="14">
        <f t="shared" si="35"/>
        <v>12.009611467876571</v>
      </c>
      <c r="AL21" s="22">
        <f t="shared" si="4"/>
        <v>90.655460033245092</v>
      </c>
      <c r="AM21" s="62">
        <f t="shared" si="5"/>
        <v>302.42481322524822</v>
      </c>
      <c r="AN21" s="62">
        <f ca="1">AVERAGE(OFFSET($AM$3,0,0,'Données projet'!$E$10+1,1))-AVERAGE(OFFSET($H$3,0,0,'Données projet'!$E$10+1,1))</f>
        <v>445.02659128831181</v>
      </c>
      <c r="AO21" s="62">
        <f t="shared" si="36"/>
        <v>281.06176764290592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3.65</v>
      </c>
      <c r="BD21" s="13">
        <f>IF('Données projet'!$A$88&gt;35,BD20+BC21-BL20,IF(A21&lt;'Données projet'!$A$88,$BA$205^A21,IF(A21='Données projet'!$A$88,'Données projet'!$B$88,BD20+BC21-BL20)))</f>
        <v>47.532490941824946</v>
      </c>
      <c r="BE21" s="14">
        <f>BD21*VLOOKUP('Données projet'!$B$11,Paramètres!$A$1:$I$89,3,0)*VLOOKUP('Données projet'!$B$11,Paramètres!$A$1:$I$89,5,0)</f>
        <v>43.007397804163212</v>
      </c>
      <c r="BF21" s="14">
        <f t="shared" si="37"/>
        <v>12.792363936215189</v>
      </c>
      <c r="BG21" s="22">
        <f t="shared" si="7"/>
        <v>97.184585031159045</v>
      </c>
      <c r="BH21" s="62">
        <f t="shared" si="8"/>
        <v>308.95393822316214</v>
      </c>
      <c r="BI21" s="62">
        <f ca="1">AVERAGE(OFFSET($BH$3,0,0,'Données projet'!$E$11+1,1))-AVERAGE(OFFSET($H$3,0,0,'Données projet'!$E$11+1,1))</f>
        <v>472.46893084347687</v>
      </c>
      <c r="BJ21" s="62">
        <f t="shared" si="38"/>
        <v>297.32483725004136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7.9</v>
      </c>
      <c r="BY21" s="13">
        <f>IF('Données projet'!$A$114&gt;35,BY20+BX21-CG20,IF(A21&lt;'Données projet'!$A$114,$BV$205^A21,IF(A21='Données projet'!$A$114,'Données projet'!$B$114,BY20+BX21-CG20)))</f>
        <v>95.233857990035276</v>
      </c>
      <c r="BZ21" s="14">
        <f>BY21*VLOOKUP('Données projet'!$B$12,Paramètres!$A$1:$I$89,3,0)*VLOOKUP('Données projet'!$B$12,Paramètres!$A$1:$I$89,5,0)</f>
        <v>44.569445539336513</v>
      </c>
      <c r="CA21" s="14">
        <f t="shared" si="39"/>
        <v>13.202049673437019</v>
      </c>
      <c r="CB21" s="22">
        <f t="shared" si="10"/>
        <v>100.61868749558056</v>
      </c>
      <c r="CC21" s="62">
        <f t="shared" si="11"/>
        <v>312.38804068758367</v>
      </c>
      <c r="CD21" s="62">
        <f ca="1">AVERAGE(OFFSET($CC$3,0,0,'Données projet'!$E$12+1,1))-AVERAGE(OFFSET($H$3,0,0,'Données projet'!$E$12+1,1))</f>
        <v>426.87921482911719</v>
      </c>
      <c r="CE21" s="62">
        <f t="shared" si="40"/>
        <v>313.49594674441835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11.333333333333334</v>
      </c>
      <c r="CT21" s="13">
        <f>IF('Données projet'!$A$140&gt;35,CT20+CS21-DB20,IF(A21&lt;'Données projet'!$A$140,$CQ$205^A21,IF(A21='Données projet'!$A$140,'Données projet'!$B$140,CT20+CS21-DB20)))</f>
        <v>114.33333333333334</v>
      </c>
      <c r="CU21" s="18">
        <f>CT21*VLOOKUP('Données projet'!$B$13,Paramètres!$A$1:$I$89,3,0)*VLOOKUP('Données projet'!$B$13,Paramètres!$A$1:$I$89,5,0)</f>
        <v>68.37133333333334</v>
      </c>
      <c r="CV21" s="14">
        <f t="shared" si="41"/>
        <v>19.268449754335993</v>
      </c>
      <c r="CW21" s="22">
        <f t="shared" si="13"/>
        <v>152.63928887769075</v>
      </c>
      <c r="CX21" s="62">
        <f t="shared" si="14"/>
        <v>364.40864206969388</v>
      </c>
      <c r="CY21" s="62">
        <f ca="1">AVERAGE(OFFSET($CX$3,0,0,'Données projet'!$E$13+1,1))-AVERAGE(OFFSET($H$3,0,0,'Données projet'!$E$13+1,1))</f>
        <v>367.11994336501527</v>
      </c>
      <c r="CZ21" s="62">
        <f t="shared" si="42"/>
        <v>390.81417197867484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4.1997403728962519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1.4362927890141437</v>
      </c>
      <c r="DI21" s="24">
        <f t="shared" si="15"/>
        <v>5.6360331619103956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9.8000000000000007</v>
      </c>
      <c r="N22" s="14">
        <f>IF('Données projet'!$A$36&gt;35,N21+M22-V21,IF(A22&lt;'Données projet'!$A$36,$K$205^A22,IF(A22='Données projet'!$A$36,'Données projet'!$B$36,N21+M22-V21)))</f>
        <v>135.19999999999999</v>
      </c>
      <c r="O22" s="14">
        <f>N22*VLOOKUP('Données projet'!$B$9,Paramètres!$A$1:$I$89,3,0)*VLOOKUP('Données projet'!$B$9,Paramètres!$A$1:$I$89,5,0)</f>
        <v>122.32895999999998</v>
      </c>
      <c r="P22" s="14">
        <f t="shared" si="33"/>
        <v>32.217581794883031</v>
      </c>
      <c r="Q22" s="22">
        <f t="shared" si="2"/>
        <v>269.16856029275453</v>
      </c>
      <c r="R22" s="62">
        <f t="shared" si="0"/>
        <v>483.32065453577809</v>
      </c>
      <c r="S22" s="62">
        <f ca="1">AVERAGE(OFFSET($R$3,0,0,'Données projet'!$E$9+1,1))-AVERAGE(OFFSET($H$3,0,0,'Données projet'!$E$9+1,1))</f>
        <v>312.43110610485337</v>
      </c>
      <c r="T22" s="62">
        <f t="shared" si="34"/>
        <v>442.54749157177571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3.65</v>
      </c>
      <c r="AI22" s="14">
        <f>IF('Données projet'!$A$62&gt;35,AI21+AH22-AQ21,IF(A22&lt;'Données projet'!$A$62,$AF$205^A22,IF(A22='Données projet'!$A$62,'Données projet'!$B$62,AI21+AH22-AQ21)))</f>
        <v>58.90561805764559</v>
      </c>
      <c r="AJ22" s="14">
        <f>AI22*VLOOKUP('Données projet'!$B$10,Paramètres!$A$1:$I$89,3,0)*VLOOKUP('Données projet'!$B$10,Paramètres!$A$1:$I$89,5,0)</f>
        <v>49.622092651760646</v>
      </c>
      <c r="AK22" s="14">
        <f t="shared" si="35"/>
        <v>14.516120390537463</v>
      </c>
      <c r="AL22" s="22">
        <f t="shared" si="4"/>
        <v>111.70738771533587</v>
      </c>
      <c r="AM22" s="62">
        <f t="shared" si="5"/>
        <v>325.85948195835942</v>
      </c>
      <c r="AN22" s="62">
        <f ca="1">AVERAGE(OFFSET($AM$3,0,0,'Données projet'!$E$10+1,1))-AVERAGE(OFFSET($H$3,0,0,'Données projet'!$E$10+1,1))</f>
        <v>445.02659128831181</v>
      </c>
      <c r="AO22" s="62">
        <f t="shared" si="36"/>
        <v>281.06176764290592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3.65</v>
      </c>
      <c r="BD22" s="13">
        <f>IF('Données projet'!$A$88&gt;35,BD21+BC22-BL21,IF(A22&lt;'Données projet'!$A$88,$BA$205^A22,IF(A22='Données projet'!$A$88,'Données projet'!$B$88,BD21+BC22-BL21)))</f>
        <v>58.90561805764559</v>
      </c>
      <c r="BE22" s="14">
        <f>BD22*VLOOKUP('Données projet'!$B$11,Paramètres!$A$1:$I$89,3,0)*VLOOKUP('Données projet'!$B$11,Paramètres!$A$1:$I$89,5,0)</f>
        <v>53.297803218557732</v>
      </c>
      <c r="BF22" s="14">
        <f t="shared" si="37"/>
        <v>15.462240012873817</v>
      </c>
      <c r="BG22" s="22">
        <f t="shared" si="7"/>
        <v>119.75707529474329</v>
      </c>
      <c r="BH22" s="62">
        <f t="shared" si="8"/>
        <v>333.90916953776684</v>
      </c>
      <c r="BI22" s="62">
        <f ca="1">AVERAGE(OFFSET($BH$3,0,0,'Données projet'!$E$11+1,1))-AVERAGE(OFFSET($H$3,0,0,'Données projet'!$E$11+1,1))</f>
        <v>472.46893084347687</v>
      </c>
      <c r="BJ22" s="62">
        <f t="shared" si="38"/>
        <v>297.32483725004136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7.9</v>
      </c>
      <c r="BY22" s="13">
        <f>IF('Données projet'!$A$114&gt;35,BY21+BX22-CG21,IF(A22&lt;'Données projet'!$A$114,$BV$205^A22,IF(A22='Données projet'!$A$114,'Données projet'!$B$114,BY21+BX22-CG21)))</f>
        <v>122.66600817840934</v>
      </c>
      <c r="BZ22" s="14">
        <f>BY22*VLOOKUP('Données projet'!$B$12,Paramètres!$A$1:$I$89,3,0)*VLOOKUP('Données projet'!$B$12,Paramètres!$A$1:$I$89,5,0)</f>
        <v>57.407691827495569</v>
      </c>
      <c r="CA22" s="14">
        <f t="shared" si="39"/>
        <v>16.511176981334152</v>
      </c>
      <c r="CB22" s="22">
        <f t="shared" si="10"/>
        <v>128.7420298420451</v>
      </c>
      <c r="CC22" s="62">
        <f t="shared" si="11"/>
        <v>342.8941240850686</v>
      </c>
      <c r="CD22" s="62">
        <f ca="1">AVERAGE(OFFSET($CC$3,0,0,'Données projet'!$E$12+1,1))-AVERAGE(OFFSET($H$3,0,0,'Données projet'!$E$12+1,1))</f>
        <v>426.87921482911719</v>
      </c>
      <c r="CE22" s="62">
        <f t="shared" si="40"/>
        <v>313.49594674441835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11.333333333333334</v>
      </c>
      <c r="CT22" s="13">
        <f>IF('Données projet'!$A$140&gt;35,CT21+CS22-DB21,IF(A22&lt;'Données projet'!$A$140,$CQ$205^A22,IF(A22='Données projet'!$A$140,'Données projet'!$B$140,CT21+CS22-DB21)))</f>
        <v>125.66666666666667</v>
      </c>
      <c r="CU22" s="18">
        <f>CT22*VLOOKUP('Données projet'!$B$13,Paramètres!$A$1:$I$89,3,0)*VLOOKUP('Données projet'!$B$13,Paramètres!$A$1:$I$89,5,0)</f>
        <v>75.148666666666671</v>
      </c>
      <c r="CV22" s="14">
        <f t="shared" si="41"/>
        <v>20.946723857947624</v>
      </c>
      <c r="CW22" s="22">
        <f t="shared" si="13"/>
        <v>167.36613849703656</v>
      </c>
      <c r="CX22" s="62">
        <f t="shared" si="14"/>
        <v>381.51823274006006</v>
      </c>
      <c r="CY22" s="62">
        <f ca="1">AVERAGE(OFFSET($CX$3,0,0,'Données projet'!$E$13+1,1))-AVERAGE(OFFSET($H$3,0,0,'Données projet'!$E$13+1,1))</f>
        <v>367.11994336501527</v>
      </c>
      <c r="CZ22" s="62">
        <f t="shared" si="42"/>
        <v>390.81417197867484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4.1173860257724479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1.0156123708812403</v>
      </c>
      <c r="DI22" s="24">
        <f t="shared" si="15"/>
        <v>5.1329983966536883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145</v>
      </c>
      <c r="L23" s="13">
        <f>VLOOKUP(A23,'Données projet'!$A$35:$I$55,9,0)</f>
        <v>9.8000000000000007</v>
      </c>
      <c r="M23" s="13">
        <f t="array" ref="M23">INDEX(L:L,MIN(IF(ISNUMBER(L23:L219),ROW(L23:L219),"")))</f>
        <v>9.8000000000000007</v>
      </c>
      <c r="N23" s="14">
        <f>IF('Données projet'!$A$36&gt;35,N22+M23-V22,IF(A23&lt;'Données projet'!$A$36,$K$205^A23,IF(A23='Données projet'!$A$36,'Données projet'!$B$36,N22+M23-V22)))</f>
        <v>145</v>
      </c>
      <c r="O23" s="14">
        <f>N23*VLOOKUP('Données projet'!$B$9,Paramètres!$A$1:$I$89,3,0)*VLOOKUP('Données projet'!$B$9,Paramètres!$A$1:$I$89,5,0)</f>
        <v>131.196</v>
      </c>
      <c r="P23" s="14">
        <f t="shared" si="33"/>
        <v>34.272572346624997</v>
      </c>
      <c r="Q23" s="22">
        <f t="shared" si="2"/>
        <v>288.19109683703851</v>
      </c>
      <c r="R23" s="62">
        <f t="shared" si="0"/>
        <v>504.70579972393421</v>
      </c>
      <c r="S23" s="62">
        <f ca="1">AVERAGE(OFFSET($R$3,0,0,'Données projet'!$E$9+1,1))-AVERAGE(OFFSET($H$3,0,0,'Données projet'!$E$9+1,1))</f>
        <v>312.43110610485337</v>
      </c>
      <c r="T23" s="62">
        <f t="shared" si="34"/>
        <v>442.54749157177571</v>
      </c>
      <c r="U23" s="16">
        <f>IF(ISNA(VLOOKUP(A23,'Données projet'!$A$35:$I$55,3,0)),0,VLOOKUP(A23,'Données projet'!$A$35:$I$55,3,0))</f>
        <v>4</v>
      </c>
      <c r="V23" s="16">
        <f>IF(ISNA(VLOOKUP(A23,'Données projet'!$A$35:$I$55,4,0)),0,VLOOKUP(A23,'Données projet'!$A$35:$I$55,4,0))</f>
        <v>14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73</v>
      </c>
      <c r="AG23" s="13">
        <f>VLOOKUP(A23,'Données projet'!$A$61:$I$81,9,0)</f>
        <v>3.65</v>
      </c>
      <c r="AH23" s="13">
        <f t="array" ref="AH23">INDEX(AG:AG,MIN(IF(ISNUMBER(AG23:AG219),ROW(AG23:AG219),"")))</f>
        <v>3.65</v>
      </c>
      <c r="AI23" s="14">
        <f>IF('Données projet'!$A$62&gt;35,AI22+AH23-AQ22,IF(A23&lt;'Données projet'!$A$62,$AF$205^A23,IF(A23='Données projet'!$A$62,'Données projet'!$B$62,AI22+AH23-AQ22)))</f>
        <v>73</v>
      </c>
      <c r="AJ23" s="14">
        <f>AI23*VLOOKUP('Données projet'!$B$10,Paramètres!$A$1:$I$89,3,0)*VLOOKUP('Données projet'!$B$10,Paramètres!$A$1:$I$89,5,0)</f>
        <v>61.495200000000004</v>
      </c>
      <c r="AK23" s="14">
        <f t="shared" si="35"/>
        <v>17.545759224285259</v>
      </c>
      <c r="AL23" s="22">
        <f t="shared" si="4"/>
        <v>137.66300398229683</v>
      </c>
      <c r="AM23" s="62">
        <f t="shared" si="5"/>
        <v>354.17770686919255</v>
      </c>
      <c r="AN23" s="62">
        <f ca="1">AVERAGE(OFFSET($AM$3,0,0,'Données projet'!$E$10+1,1))-AVERAGE(OFFSET($H$3,0,0,'Données projet'!$E$10+1,1))</f>
        <v>445.02659128831181</v>
      </c>
      <c r="AO23" s="62">
        <f t="shared" si="36"/>
        <v>281.06176764290592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6</v>
      </c>
      <c r="AR23" s="17">
        <f>IF(ISNA(VLOOKUP(A23,'Données projet'!$A$61:$I$81,5,0)),0%,VLOOKUP(A23,'Données projet'!$A$61:$I$81,5,0)*VLOOKUP('Données projet'!$B$10,Paramètres!$A$1:$I$89,7,0))</f>
        <v>8.6000000000000007E-2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0.8</v>
      </c>
      <c r="AU23" s="23">
        <f>EXP(-LN(2)/35)*AU22+(1-EXP(-LN(2)/35))/(LN(2)/35)*AQ23*AR23*VLOOKUP('Données projet'!$B$10,Paramètres!$A$1:$I$89,3,0)*0.475*44/12</f>
        <v>0.48052409582277567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3.8151699497451794</v>
      </c>
      <c r="AX23" s="23">
        <f t="shared" si="6"/>
        <v>4.2956940455679549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73</v>
      </c>
      <c r="BB23" s="13">
        <f>VLOOKUP(A23,'Données projet'!$A$87:$I$107,9,0)</f>
        <v>3.65</v>
      </c>
      <c r="BC23" s="13">
        <f t="array" ref="BC23">INDEX(BB:BB,MIN(IF(ISNUMBER(BB23:BB219),ROW(BB23:BB219),"")))</f>
        <v>3.65</v>
      </c>
      <c r="BD23" s="13">
        <f>IF('Données projet'!$A$88&gt;35,BD22+BC23-BL22,IF(A23&lt;'Données projet'!$A$88,$BA$205^A23,IF(A23='Données projet'!$A$88,'Données projet'!$B$88,BD22+BC23-BL22)))</f>
        <v>73</v>
      </c>
      <c r="BE23" s="14">
        <f>BD23*VLOOKUP('Données projet'!$B$11,Paramètres!$A$1:$I$89,3,0)*VLOOKUP('Données projet'!$B$11,Paramètres!$A$1:$I$89,5,0)</f>
        <v>66.050399999999996</v>
      </c>
      <c r="BF23" s="14">
        <f t="shared" si="37"/>
        <v>18.689342126897891</v>
      </c>
      <c r="BG23" s="22">
        <f t="shared" si="7"/>
        <v>147.58838420434714</v>
      </c>
      <c r="BH23" s="62">
        <f t="shared" si="8"/>
        <v>364.10308709124286</v>
      </c>
      <c r="BI23" s="62">
        <f ca="1">AVERAGE(OFFSET($BH$3,0,0,'Données projet'!$E$11+1,1))-AVERAGE(OFFSET($H$3,0,0,'Données projet'!$E$11+1,1))</f>
        <v>472.46893084347687</v>
      </c>
      <c r="BJ23" s="62">
        <f t="shared" si="38"/>
        <v>297.32483725004136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6</v>
      </c>
      <c r="BM23" s="17">
        <f>IF(ISNA(VLOOKUP(A23,'Données projet'!$A$87:$I$107,5,0)),0%,VLOOKUP(A23,'Données projet'!$A$87:$I$107,5,0)*VLOOKUP('Données projet'!$B$11,Paramètres!$A$1:$I$89,7,0))</f>
        <v>8.6000000000000007E-2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0.8</v>
      </c>
      <c r="BP23" s="23">
        <f>EXP(-LN(2)/35)*BP22+(1-EXP(-LN(2)/35))/(LN(2)/35)*BL23*BM23*VLOOKUP('Données projet'!$B$11,Paramètres!$A$1:$I$89,3,0)*0.475*44/12</f>
        <v>0.51611847329112925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4.0977751312077855</v>
      </c>
      <c r="BS23" s="24">
        <f t="shared" si="9"/>
        <v>4.6138936044989149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158</v>
      </c>
      <c r="BW23" s="13">
        <f>VLOOKUP(A23,'Données projet'!$A$113:$I$133,9,0)</f>
        <v>7.9</v>
      </c>
      <c r="BX23" s="13">
        <f t="array" ref="BX23">INDEX(BW:BW,MIN(IF(ISNUMBER(BW23:BW219),ROW(BW23:BW219),"")))</f>
        <v>7.9</v>
      </c>
      <c r="BY23" s="13">
        <f>IF('Données projet'!$A$114&gt;35,BY22+BX23-CG22,IF(A23&lt;'Données projet'!$A$114,$BV$205^A23,IF(A23='Données projet'!$A$114,'Données projet'!$B$114,BY22+BX23-CG22)))</f>
        <v>158</v>
      </c>
      <c r="BZ23" s="14">
        <f>BY23*VLOOKUP('Données projet'!$B$12,Paramètres!$A$1:$I$89,3,0)*VLOOKUP('Données projet'!$B$12,Paramètres!$A$1:$I$89,5,0)</f>
        <v>73.944000000000003</v>
      </c>
      <c r="CA23" s="14">
        <f t="shared" si="39"/>
        <v>20.649745460165708</v>
      </c>
      <c r="CB23" s="22">
        <f t="shared" si="10"/>
        <v>164.75077334312192</v>
      </c>
      <c r="CC23" s="62">
        <f t="shared" si="11"/>
        <v>381.26547623001761</v>
      </c>
      <c r="CD23" s="62">
        <f ca="1">AVERAGE(OFFSET($CC$3,0,0,'Données projet'!$E$12+1,1))-AVERAGE(OFFSET($H$3,0,0,'Données projet'!$E$12+1,1))</f>
        <v>426.87921482911719</v>
      </c>
      <c r="CE23" s="62">
        <f t="shared" si="40"/>
        <v>313.49594674441835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0.44000000000000006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0.2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137</v>
      </c>
      <c r="CR23" s="13">
        <f>VLOOKUP(A23,'Données projet'!$A$139:$I$159,9,0)</f>
        <v>11.333333333333334</v>
      </c>
      <c r="CS23" s="13">
        <f t="array" ref="CS23">INDEX(CR:CR,MIN(IF(ISNUMBER(CR23:CR219),ROW(CR23:CR219),"")))</f>
        <v>11.333333333333334</v>
      </c>
      <c r="CT23" s="13">
        <f>IF('Données projet'!$A$140&gt;35,CT22+CS23-DB22,IF(A23&lt;'Données projet'!$A$140,$CQ$205^A23,IF(A23='Données projet'!$A$140,'Données projet'!$B$140,CT22+CS23-DB22)))</f>
        <v>137</v>
      </c>
      <c r="CU23" s="18">
        <f>CT23*VLOOKUP('Données projet'!$B$13,Paramètres!$A$1:$I$89,3,0)*VLOOKUP('Données projet'!$B$13,Paramètres!$A$1:$I$89,5,0)</f>
        <v>81.926000000000002</v>
      </c>
      <c r="CV23" s="14">
        <f t="shared" si="41"/>
        <v>22.607447146245146</v>
      </c>
      <c r="CW23" s="22">
        <f t="shared" si="13"/>
        <v>182.06242044637693</v>
      </c>
      <c r="CX23" s="62">
        <f t="shared" si="14"/>
        <v>398.57712333327265</v>
      </c>
      <c r="CY23" s="62">
        <f ca="1">AVERAGE(OFFSET($CX$3,0,0,'Données projet'!$E$13+1,1))-AVERAGE(OFFSET($H$3,0,0,'Données projet'!$E$13+1,1))</f>
        <v>367.11994336501527</v>
      </c>
      <c r="CZ23" s="62">
        <f t="shared" si="42"/>
        <v>390.81417197867484</v>
      </c>
      <c r="DA23" s="16">
        <f>IF(ISNA(VLOOKUP(A23,'Données projet'!$A$139:$I$159,3,0)),0,VLOOKUP(A23,'Données projet'!$A$139:$I$159,3,0))</f>
        <v>2</v>
      </c>
      <c r="DB23" s="16">
        <f>IF(ISNA(VLOOKUP(A23,'Données projet'!$A$139:$I$159,4,0)),0,VLOOKUP(A23,'Données projet'!$A$139:$I$159,4,0))</f>
        <v>15</v>
      </c>
      <c r="DC23" s="17">
        <f>IF(ISNA(VLOOKUP(A23,'Données projet'!$A$139:$I$159,5,0)),0%,VLOOKUP(A23,'Données projet'!$A$139:$I$159,5,0)*VLOOKUP('Données projet'!$B$13,Paramètres!$A$1:$I$89,7,0))</f>
        <v>0.36000000000000004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0.2</v>
      </c>
      <c r="DF23" s="23">
        <f>EXP(-LN(2)/35)*DF22+(1-EXP(-LN(2)/35))/(LN(2)/35)*DB23*DC23*VLOOKUP('Données projet'!$B$13,Paramètres!$A$1:$I$89,3,0)*0.475*44/12</f>
        <v>8.3203885366699133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2.7493711362695521</v>
      </c>
      <c r="DI23" s="24">
        <f t="shared" si="15"/>
        <v>11.069759672939465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8.4</v>
      </c>
      <c r="N24" s="14">
        <f>IF('Données projet'!$A$36&gt;35,N23+M24-V23,IF(A24&lt;'Données projet'!$A$36,$K$205^A24,IF(A24='Données projet'!$A$36,'Données projet'!$B$36,N23+M24-V23)))</f>
        <v>139.4</v>
      </c>
      <c r="O24" s="14">
        <f>N24*VLOOKUP('Données projet'!$B$9,Paramètres!$A$1:$I$89,3,0)*VLOOKUP('Données projet'!$B$9,Paramètres!$A$1:$I$89,5,0)</f>
        <v>126.12912000000001</v>
      </c>
      <c r="P24" s="14">
        <f t="shared" si="33"/>
        <v>33.100345121748241</v>
      </c>
      <c r="Q24" s="22">
        <f t="shared" si="2"/>
        <v>277.32465175371152</v>
      </c>
      <c r="R24" s="62">
        <f t="shared" si="0"/>
        <v>496.1821801295859</v>
      </c>
      <c r="S24" s="62">
        <f ca="1">AVERAGE(OFFSET($R$3,0,0,'Données projet'!$E$9+1,1))-AVERAGE(OFFSET($H$3,0,0,'Données projet'!$E$9+1,1))</f>
        <v>312.43110610485337</v>
      </c>
      <c r="T24" s="62">
        <f t="shared" si="34"/>
        <v>442.54749157177571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7.2</v>
      </c>
      <c r="AI24" s="14">
        <f>IF('Données projet'!$A$62&gt;35,AI23+AH24-AQ23,IF(A24&lt;'Données projet'!$A$62,$AF$205^A24,IF(A24='Données projet'!$A$62,'Données projet'!$B$62,AI23+AH24-AQ23)))</f>
        <v>74.2</v>
      </c>
      <c r="AJ24" s="14">
        <f>AI24*VLOOKUP('Données projet'!$B$10,Paramètres!$A$1:$I$89,3,0)*VLOOKUP('Données projet'!$B$10,Paramètres!$A$1:$I$89,5,0)</f>
        <v>62.506080000000011</v>
      </c>
      <c r="AK24" s="14">
        <f t="shared" si="35"/>
        <v>17.800367834870475</v>
      </c>
      <c r="AL24" s="22">
        <f t="shared" si="4"/>
        <v>139.86706331239944</v>
      </c>
      <c r="AM24" s="62">
        <f t="shared" si="5"/>
        <v>358.72459168827379</v>
      </c>
      <c r="AN24" s="62">
        <f ca="1">AVERAGE(OFFSET($AM$3,0,0,'Données projet'!$E$10+1,1))-AVERAGE(OFFSET($H$3,0,0,'Données projet'!$E$10+1,1))</f>
        <v>445.02659128831181</v>
      </c>
      <c r="AO24" s="62">
        <f t="shared" si="36"/>
        <v>281.06176764290592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0.47110131139444916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2.6977325428439562</v>
      </c>
      <c r="AX24" s="23">
        <f t="shared" si="6"/>
        <v>3.1688338542384056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7.2</v>
      </c>
      <c r="BD24" s="13">
        <f>IF('Données projet'!$A$88&gt;35,BD23+BC24-BL23,IF(A24&lt;'Données projet'!$A$88,$BA$205^A24,IF(A24='Données projet'!$A$88,'Données projet'!$B$88,BD23+BC24-BL23)))</f>
        <v>74.2</v>
      </c>
      <c r="BE24" s="14">
        <f>BD24*VLOOKUP('Données projet'!$B$11,Paramètres!$A$1:$I$89,3,0)*VLOOKUP('Données projet'!$B$11,Paramètres!$A$1:$I$89,5,0)</f>
        <v>67.136160000000004</v>
      </c>
      <c r="BF24" s="14">
        <f t="shared" si="37"/>
        <v>18.960545405756019</v>
      </c>
      <c r="BG24" s="22">
        <f t="shared" si="7"/>
        <v>149.95176191502506</v>
      </c>
      <c r="BH24" s="62">
        <f t="shared" si="8"/>
        <v>368.80929029089941</v>
      </c>
      <c r="BI24" s="62">
        <f ca="1">AVERAGE(OFFSET($BH$3,0,0,'Données projet'!$E$11+1,1))-AVERAGE(OFFSET($H$3,0,0,'Données projet'!$E$11+1,1))</f>
        <v>472.46893084347687</v>
      </c>
      <c r="BJ24" s="62">
        <f t="shared" si="38"/>
        <v>297.32483725004136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0.50599770483107487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2.8975645830546197</v>
      </c>
      <c r="BS24" s="24">
        <f t="shared" si="9"/>
        <v>3.4035622878856948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9.1999999999999993</v>
      </c>
      <c r="BY24" s="13">
        <f>IF('Données projet'!$A$114&gt;35,BY23+BX24-CG23,IF(A24&lt;'Données projet'!$A$114,$BV$205^A24,IF(A24='Données projet'!$A$114,'Données projet'!$B$114,BY23+BX24-CG23)))</f>
        <v>167.2</v>
      </c>
      <c r="BZ24" s="14">
        <f>BY24*VLOOKUP('Données projet'!$B$12,Paramètres!$A$1:$I$89,3,0)*VLOOKUP('Données projet'!$B$12,Paramètres!$A$1:$I$89,5,0)</f>
        <v>78.249599999999987</v>
      </c>
      <c r="CA24" s="14">
        <f t="shared" si="39"/>
        <v>21.708652740239781</v>
      </c>
      <c r="CB24" s="22">
        <f t="shared" si="10"/>
        <v>174.09395685591758</v>
      </c>
      <c r="CC24" s="62">
        <f t="shared" si="11"/>
        <v>392.95148523179193</v>
      </c>
      <c r="CD24" s="62">
        <f ca="1">AVERAGE(OFFSET($CC$3,0,0,'Données projet'!$E$12+1,1))-AVERAGE(OFFSET($H$3,0,0,'Données projet'!$E$12+1,1))</f>
        <v>426.87921482911719</v>
      </c>
      <c r="CE24" s="62">
        <f t="shared" si="40"/>
        <v>313.49594674441835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16.399999999999999</v>
      </c>
      <c r="CT24" s="13">
        <f>IF('Données projet'!$A$140&gt;35,CT23+CS24-DB23,IF(A24&lt;'Données projet'!$A$140,$CQ$205^A24,IF(A24='Données projet'!$A$140,'Données projet'!$B$140,CT23+CS24-DB23)))</f>
        <v>138.4</v>
      </c>
      <c r="CU24" s="18">
        <f>CT24*VLOOKUP('Données projet'!$B$13,Paramètres!$A$1:$I$89,3,0)*VLOOKUP('Données projet'!$B$13,Paramètres!$A$1:$I$89,5,0)</f>
        <v>82.763200000000012</v>
      </c>
      <c r="CV24" s="14">
        <f t="shared" si="41"/>
        <v>22.811459894537176</v>
      </c>
      <c r="CW24" s="22">
        <f t="shared" si="13"/>
        <v>183.8758659829856</v>
      </c>
      <c r="CX24" s="62">
        <f t="shared" si="14"/>
        <v>402.73339435885998</v>
      </c>
      <c r="CY24" s="62">
        <f ca="1">AVERAGE(OFFSET($CX$3,0,0,'Données projet'!$E$13+1,1))-AVERAGE(OFFSET($H$3,0,0,'Données projet'!$E$13+1,1))</f>
        <v>367.11994336501527</v>
      </c>
      <c r="CZ24" s="62">
        <f t="shared" si="42"/>
        <v>390.81417197867484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8.157230792401716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1.9440989744547639</v>
      </c>
      <c r="DI24" s="24">
        <f t="shared" si="15"/>
        <v>10.10132976685648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8.4</v>
      </c>
      <c r="N25" s="14">
        <f>IF('Données projet'!$A$36&gt;35,N24+M25-V24,IF(A25&lt;'Données projet'!$A$36,$K$205^A25,IF(A25='Données projet'!$A$36,'Données projet'!$B$36,N24+M25-V24)))</f>
        <v>147.80000000000001</v>
      </c>
      <c r="O25" s="14">
        <f>N25*VLOOKUP('Données projet'!$B$9,Paramètres!$A$1:$I$89,3,0)*VLOOKUP('Données projet'!$B$9,Paramètres!$A$1:$I$89,5,0)</f>
        <v>133.72944000000001</v>
      </c>
      <c r="P25" s="14">
        <f t="shared" si="33"/>
        <v>34.856699711744326</v>
      </c>
      <c r="Q25" s="22">
        <f t="shared" si="2"/>
        <v>293.62085999795471</v>
      </c>
      <c r="R25" s="62">
        <f t="shared" si="0"/>
        <v>514.80177390142308</v>
      </c>
      <c r="S25" s="62">
        <f ca="1">AVERAGE(OFFSET($R$3,0,0,'Données projet'!$E$9+1,1))-AVERAGE(OFFSET($H$3,0,0,'Données projet'!$E$9+1,1))</f>
        <v>312.43110610485337</v>
      </c>
      <c r="T25" s="62">
        <f t="shared" si="34"/>
        <v>442.54749157177571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7.2</v>
      </c>
      <c r="AI25" s="14">
        <f>IF('Données projet'!$A$62&gt;35,AI24+AH25-AQ24,IF(A25&lt;'Données projet'!$A$62,$AF$205^A25,IF(A25='Données projet'!$A$62,'Données projet'!$B$62,AI24+AH25-AQ24)))</f>
        <v>81.400000000000006</v>
      </c>
      <c r="AJ25" s="14">
        <f>AI25*VLOOKUP('Données projet'!$B$10,Paramètres!$A$1:$I$89,3,0)*VLOOKUP('Données projet'!$B$10,Paramètres!$A$1:$I$89,5,0)</f>
        <v>68.571360000000013</v>
      </c>
      <c r="AK25" s="14">
        <f t="shared" si="35"/>
        <v>19.318251258205343</v>
      </c>
      <c r="AL25" s="22">
        <f t="shared" si="4"/>
        <v>153.07440627470763</v>
      </c>
      <c r="AM25" s="62">
        <f t="shared" si="5"/>
        <v>374.25532017817602</v>
      </c>
      <c r="AN25" s="62">
        <f ca="1">AVERAGE(OFFSET($AM$3,0,0,'Données projet'!$E$10+1,1))-AVERAGE(OFFSET($H$3,0,0,'Données projet'!$E$10+1,1))</f>
        <v>445.02659128831181</v>
      </c>
      <c r="AO25" s="62">
        <f t="shared" si="36"/>
        <v>281.06176764290592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0.46186330202143117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1.9075849748725899</v>
      </c>
      <c r="AX25" s="23">
        <f t="shared" si="6"/>
        <v>2.3694482768940213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7.2</v>
      </c>
      <c r="BD25" s="13">
        <f>IF('Données projet'!$A$88&gt;35,BD24+BC25-BL24,IF(A25&lt;'Données projet'!$A$88,$BA$205^A25,IF(A25='Données projet'!$A$88,'Données projet'!$B$88,BD24+BC25-BL24)))</f>
        <v>81.400000000000006</v>
      </c>
      <c r="BE25" s="14">
        <f>BD25*VLOOKUP('Données projet'!$B$11,Paramètres!$A$1:$I$89,3,0)*VLOOKUP('Données projet'!$B$11,Paramètres!$A$1:$I$89,5,0)</f>
        <v>73.650720000000007</v>
      </c>
      <c r="BF25" s="14">
        <f t="shared" si="37"/>
        <v>20.577360172493922</v>
      </c>
      <c r="BG25" s="22">
        <f t="shared" si="7"/>
        <v>164.11390630042692</v>
      </c>
      <c r="BH25" s="62">
        <f t="shared" si="8"/>
        <v>385.29482020389531</v>
      </c>
      <c r="BI25" s="62">
        <f ca="1">AVERAGE(OFFSET($BH$3,0,0,'Données projet'!$E$11+1,1))-AVERAGE(OFFSET($H$3,0,0,'Données projet'!$E$11+1,1))</f>
        <v>472.46893084347687</v>
      </c>
      <c r="BJ25" s="62">
        <f t="shared" si="38"/>
        <v>297.32483725004136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0.49607539846746296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2.0488875656038927</v>
      </c>
      <c r="BS25" s="24">
        <f t="shared" si="9"/>
        <v>2.5449629640713556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9.1999999999999993</v>
      </c>
      <c r="BY25" s="13">
        <f>IF('Données projet'!$A$114&gt;35,BY24+BX25-CG24,IF(A25&lt;'Données projet'!$A$114,$BV$205^A25,IF(A25='Données projet'!$A$114,'Données projet'!$B$114,BY24+BX25-CG24)))</f>
        <v>176.39999999999998</v>
      </c>
      <c r="BZ25" s="14">
        <f>BY25*VLOOKUP('Données projet'!$B$12,Paramètres!$A$1:$I$89,3,0)*VLOOKUP('Données projet'!$B$12,Paramètres!$A$1:$I$89,5,0)</f>
        <v>82.555199999999985</v>
      </c>
      <c r="CA25" s="14">
        <f t="shared" si="39"/>
        <v>22.760796016854769</v>
      </c>
      <c r="CB25" s="22">
        <f t="shared" si="10"/>
        <v>183.42535972935536</v>
      </c>
      <c r="CC25" s="62">
        <f t="shared" si="11"/>
        <v>404.60627363282379</v>
      </c>
      <c r="CD25" s="62">
        <f ca="1">AVERAGE(OFFSET($CC$3,0,0,'Données projet'!$E$12+1,1))-AVERAGE(OFFSET($H$3,0,0,'Données projet'!$E$12+1,1))</f>
        <v>426.87921482911719</v>
      </c>
      <c r="CE25" s="62">
        <f t="shared" si="40"/>
        <v>313.49594674441835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16.399999999999999</v>
      </c>
      <c r="CT25" s="13">
        <f>IF('Données projet'!$A$140&gt;35,CT24+CS25-DB24,IF(A25&lt;'Données projet'!$A$140,$CQ$205^A25,IF(A25='Données projet'!$A$140,'Données projet'!$B$140,CT24+CS25-DB24)))</f>
        <v>154.80000000000001</v>
      </c>
      <c r="CU25" s="18">
        <f>CT25*VLOOKUP('Données projet'!$B$13,Paramètres!$A$1:$I$89,3,0)*VLOOKUP('Données projet'!$B$13,Paramètres!$A$1:$I$89,5,0)</f>
        <v>92.570400000000021</v>
      </c>
      <c r="CV25" s="14">
        <f t="shared" si="41"/>
        <v>25.184123943972491</v>
      </c>
      <c r="CW25" s="22">
        <f t="shared" si="13"/>
        <v>205.0891292024188</v>
      </c>
      <c r="CX25" s="62">
        <f t="shared" si="14"/>
        <v>426.27004310588723</v>
      </c>
      <c r="CY25" s="62">
        <f ca="1">AVERAGE(OFFSET($CX$3,0,0,'Données projet'!$E$13+1,1))-AVERAGE(OFFSET($H$3,0,0,'Données projet'!$E$13+1,1))</f>
        <v>367.11994336501527</v>
      </c>
      <c r="CZ25" s="62">
        <f t="shared" si="42"/>
        <v>390.81417197867484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7.9972724719822201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1.3746855681347763</v>
      </c>
      <c r="DI25" s="24">
        <f t="shared" si="15"/>
        <v>9.3719580401169971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8.4</v>
      </c>
      <c r="N26" s="14">
        <f>IF('Données projet'!$A$36&gt;35,N25+M26-V25,IF(A26&lt;'Données projet'!$A$36,$K$205^A26,IF(A26='Données projet'!$A$36,'Données projet'!$B$36,N25+M26-V25)))</f>
        <v>156.20000000000002</v>
      </c>
      <c r="O26" s="14">
        <f>N26*VLOOKUP('Données projet'!$B$9,Paramètres!$A$1:$I$89,3,0)*VLOOKUP('Données projet'!$B$9,Paramètres!$A$1:$I$89,5,0)</f>
        <v>141.32976000000002</v>
      </c>
      <c r="P26" s="14">
        <f t="shared" si="33"/>
        <v>36.601467030988793</v>
      </c>
      <c r="Q26" s="22">
        <f t="shared" si="2"/>
        <v>309.89688707897216</v>
      </c>
      <c r="R26" s="62">
        <f t="shared" si="0"/>
        <v>533.38208378851868</v>
      </c>
      <c r="S26" s="62">
        <f ca="1">AVERAGE(OFFSET($R$3,0,0,'Données projet'!$E$9+1,1))-AVERAGE(OFFSET($H$3,0,0,'Données projet'!$E$9+1,1))</f>
        <v>312.43110610485337</v>
      </c>
      <c r="T26" s="62">
        <f t="shared" si="34"/>
        <v>442.54749157177571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7.2</v>
      </c>
      <c r="AI26" s="14">
        <f>IF('Données projet'!$A$62&gt;35,AI25+AH26-AQ25,IF(A26&lt;'Données projet'!$A$62,$AF$205^A26,IF(A26='Données projet'!$A$62,'Données projet'!$B$62,AI25+AH26-AQ25)))</f>
        <v>88.600000000000009</v>
      </c>
      <c r="AJ26" s="14">
        <f>AI26*VLOOKUP('Données projet'!$B$10,Paramètres!$A$1:$I$89,3,0)*VLOOKUP('Données projet'!$B$10,Paramètres!$A$1:$I$89,5,0)</f>
        <v>74.636640000000014</v>
      </c>
      <c r="AK26" s="14">
        <f t="shared" si="35"/>
        <v>20.82056558443978</v>
      </c>
      <c r="AL26" s="22">
        <f t="shared" si="4"/>
        <v>166.25463305956598</v>
      </c>
      <c r="AM26" s="62">
        <f t="shared" si="5"/>
        <v>389.73982976911248</v>
      </c>
      <c r="AN26" s="62">
        <f ca="1">AVERAGE(OFFSET($AM$3,0,0,'Données projet'!$E$10+1,1))-AVERAGE(OFFSET($H$3,0,0,'Données projet'!$E$10+1,1))</f>
        <v>445.02659128831181</v>
      </c>
      <c r="AO26" s="62">
        <f t="shared" si="36"/>
        <v>281.06176764290592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0.45280644437758871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1.3488662714219783</v>
      </c>
      <c r="AX26" s="23">
        <f t="shared" si="6"/>
        <v>1.8016727157995671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7.2</v>
      </c>
      <c r="BD26" s="13">
        <f>IF('Données projet'!$A$88&gt;35,BD25+BC26-BL25,IF(A26&lt;'Données projet'!$A$88,$BA$205^A26,IF(A26='Données projet'!$A$88,'Données projet'!$B$88,BD25+BC26-BL25)))</f>
        <v>88.600000000000009</v>
      </c>
      <c r="BE26" s="14">
        <f>BD26*VLOOKUP('Données projet'!$B$11,Paramètres!$A$1:$I$89,3,0)*VLOOKUP('Données projet'!$B$11,Paramètres!$A$1:$I$89,5,0)</f>
        <v>80.165279999999996</v>
      </c>
      <c r="BF26" s="14">
        <f t="shared" si="37"/>
        <v>22.177591092468788</v>
      </c>
      <c r="BG26" s="22">
        <f t="shared" si="7"/>
        <v>178.24716715271646</v>
      </c>
      <c r="BH26" s="62">
        <f t="shared" si="8"/>
        <v>401.73236386226296</v>
      </c>
      <c r="BI26" s="62">
        <f ca="1">AVERAGE(OFFSET($BH$3,0,0,'Données projet'!$E$11+1,1))-AVERAGE(OFFSET($H$3,0,0,'Données projet'!$E$11+1,1))</f>
        <v>472.46893084347687</v>
      </c>
      <c r="BJ26" s="62">
        <f t="shared" si="38"/>
        <v>297.32483725004136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0.48634766247963218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1.4487822915273099</v>
      </c>
      <c r="BS26" s="24">
        <f t="shared" si="9"/>
        <v>1.935129954006942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9.1999999999999993</v>
      </c>
      <c r="BY26" s="13">
        <f>IF('Données projet'!$A$114&gt;35,BY25+BX26-CG25,IF(A26&lt;'Données projet'!$A$114,$BV$205^A26,IF(A26='Données projet'!$A$114,'Données projet'!$B$114,BY25+BX26-CG25)))</f>
        <v>185.59999999999997</v>
      </c>
      <c r="BZ26" s="14">
        <f>BY26*VLOOKUP('Données projet'!$B$12,Paramètres!$A$1:$I$89,3,0)*VLOOKUP('Données projet'!$B$12,Paramètres!$A$1:$I$89,5,0)</f>
        <v>86.860799999999983</v>
      </c>
      <c r="CA26" s="14">
        <f t="shared" si="39"/>
        <v>23.806568296036275</v>
      </c>
      <c r="CB26" s="22">
        <f t="shared" si="10"/>
        <v>192.7456664489298</v>
      </c>
      <c r="CC26" s="62">
        <f t="shared" si="11"/>
        <v>416.23086315847627</v>
      </c>
      <c r="CD26" s="62">
        <f ca="1">AVERAGE(OFFSET($CC$3,0,0,'Données projet'!$E$12+1,1))-AVERAGE(OFFSET($H$3,0,0,'Données projet'!$E$12+1,1))</f>
        <v>426.87921482911719</v>
      </c>
      <c r="CE26" s="62">
        <f t="shared" si="40"/>
        <v>313.49594674441835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16.399999999999999</v>
      </c>
      <c r="CT26" s="13">
        <f>IF('Données projet'!$A$140&gt;35,CT25+CS26-DB25,IF(A26&lt;'Données projet'!$A$140,$CQ$205^A26,IF(A26='Données projet'!$A$140,'Données projet'!$B$140,CT25+CS26-DB25)))</f>
        <v>171.20000000000002</v>
      </c>
      <c r="CU26" s="18">
        <f>CT26*VLOOKUP('Données projet'!$B$13,Paramètres!$A$1:$I$89,3,0)*VLOOKUP('Données projet'!$B$13,Paramètres!$A$1:$I$89,5,0)</f>
        <v>102.37760000000002</v>
      </c>
      <c r="CV26" s="14">
        <f t="shared" si="41"/>
        <v>27.527651005505614</v>
      </c>
      <c r="CW26" s="22">
        <f t="shared" si="13"/>
        <v>226.25164550125564</v>
      </c>
      <c r="CX26" s="62">
        <f t="shared" si="14"/>
        <v>449.73684221080214</v>
      </c>
      <c r="CY26" s="62">
        <f ca="1">AVERAGE(OFFSET($CX$3,0,0,'Données projet'!$E$13+1,1))-AVERAGE(OFFSET($H$3,0,0,'Données projet'!$E$13+1,1))</f>
        <v>367.11994336501527</v>
      </c>
      <c r="CZ26" s="62">
        <f t="shared" si="42"/>
        <v>390.81417197867484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7.8404508366612085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0.97204948722738205</v>
      </c>
      <c r="DI26" s="24">
        <f t="shared" si="15"/>
        <v>8.8125003238885906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8.4</v>
      </c>
      <c r="N27" s="14">
        <f>IF('Données projet'!$A$36&gt;35,N26+M27-V26,IF(A27&lt;'Données projet'!$A$36,$K$205^A27,IF(A27='Données projet'!$A$36,'Données projet'!$B$36,N26+M27-V26)))</f>
        <v>164.60000000000002</v>
      </c>
      <c r="O27" s="14">
        <f>N27*VLOOKUP('Données projet'!$B$9,Paramètres!$A$1:$I$89,3,0)*VLOOKUP('Données projet'!$B$9,Paramètres!$A$1:$I$89,5,0)</f>
        <v>148.93008</v>
      </c>
      <c r="P27" s="14">
        <f t="shared" si="33"/>
        <v>38.335341256889777</v>
      </c>
      <c r="Q27" s="22">
        <f t="shared" si="2"/>
        <v>326.1539420224164</v>
      </c>
      <c r="R27" s="62">
        <f t="shared" si="0"/>
        <v>551.92465020603618</v>
      </c>
      <c r="S27" s="62">
        <f ca="1">AVERAGE(OFFSET($R$3,0,0,'Données projet'!$E$9+1,1))-AVERAGE(OFFSET($H$3,0,0,'Données projet'!$E$9+1,1))</f>
        <v>312.43110610485337</v>
      </c>
      <c r="T27" s="62">
        <f t="shared" si="34"/>
        <v>442.54749157177571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7.2</v>
      </c>
      <c r="AI27" s="14">
        <f>IF('Données projet'!$A$62&gt;35,AI26+AH27-AQ26,IF(A27&lt;'Données projet'!$A$62,$AF$205^A27,IF(A27='Données projet'!$A$62,'Données projet'!$B$62,AI26+AH27-AQ26)))</f>
        <v>95.800000000000011</v>
      </c>
      <c r="AJ27" s="14">
        <f>AI27*VLOOKUP('Données projet'!$B$10,Paramètres!$A$1:$I$89,3,0)*VLOOKUP('Données projet'!$B$10,Paramètres!$A$1:$I$89,5,0)</f>
        <v>80.701920000000015</v>
      </c>
      <c r="AK27" s="14">
        <f t="shared" si="35"/>
        <v>22.308719863780368</v>
      </c>
      <c r="AL27" s="22">
        <f t="shared" si="4"/>
        <v>179.41019776275084</v>
      </c>
      <c r="AM27" s="62">
        <f t="shared" si="5"/>
        <v>405.18090594637067</v>
      </c>
      <c r="AN27" s="62">
        <f ca="1">AVERAGE(OFFSET($AM$3,0,0,'Données projet'!$E$10+1,1))-AVERAGE(OFFSET($H$3,0,0,'Données projet'!$E$10+1,1))</f>
        <v>445.02659128831181</v>
      </c>
      <c r="AO27" s="62">
        <f t="shared" si="36"/>
        <v>281.06176764290592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0.44392718618800431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0.95379248743629508</v>
      </c>
      <c r="AX27" s="23">
        <f t="shared" si="6"/>
        <v>1.3977196736242994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7.2</v>
      </c>
      <c r="BD27" s="13">
        <f>IF('Données projet'!$A$88&gt;35,BD26+BC27-BL26,IF(A27&lt;'Données projet'!$A$88,$BA$205^A27,IF(A27='Données projet'!$A$88,'Données projet'!$B$88,BD26+BC27-BL26)))</f>
        <v>95.800000000000011</v>
      </c>
      <c r="BE27" s="14">
        <f>BD27*VLOOKUP('Données projet'!$B$11,Paramètres!$A$1:$I$89,3,0)*VLOOKUP('Données projet'!$B$11,Paramètres!$A$1:$I$89,5,0)</f>
        <v>86.679839999999999</v>
      </c>
      <c r="BF27" s="14">
        <f t="shared" si="37"/>
        <v>23.762739053789723</v>
      </c>
      <c r="BG27" s="22">
        <f t="shared" si="7"/>
        <v>192.35415851868379</v>
      </c>
      <c r="BH27" s="62">
        <f t="shared" si="8"/>
        <v>418.12486670230362</v>
      </c>
      <c r="BI27" s="62">
        <f ca="1">AVERAGE(OFFSET($BH$3,0,0,'Données projet'!$E$11+1,1))-AVERAGE(OFFSET($H$3,0,0,'Données projet'!$E$11+1,1))</f>
        <v>472.46893084347687</v>
      </c>
      <c r="BJ27" s="62">
        <f t="shared" si="38"/>
        <v>297.32483725004136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0.47681068146118966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1.0244437828019464</v>
      </c>
      <c r="BS27" s="24">
        <f t="shared" si="9"/>
        <v>1.501254464263136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9.1999999999999993</v>
      </c>
      <c r="BY27" s="13">
        <f>IF('Données projet'!$A$114&gt;35,BY26+BX27-CG26,IF(A27&lt;'Données projet'!$A$114,$BV$205^A27,IF(A27='Données projet'!$A$114,'Données projet'!$B$114,BY26+BX27-CG26)))</f>
        <v>194.79999999999995</v>
      </c>
      <c r="BZ27" s="14">
        <f>BY27*VLOOKUP('Données projet'!$B$12,Paramètres!$A$1:$I$89,3,0)*VLOOKUP('Données projet'!$B$12,Paramètres!$A$1:$I$89,5,0)</f>
        <v>91.166399999999982</v>
      </c>
      <c r="CA27" s="14">
        <f t="shared" si="39"/>
        <v>24.846321420979159</v>
      </c>
      <c r="CB27" s="22">
        <f t="shared" si="10"/>
        <v>202.05548980820535</v>
      </c>
      <c r="CC27" s="62">
        <f t="shared" si="11"/>
        <v>427.82619799182515</v>
      </c>
      <c r="CD27" s="62">
        <f ca="1">AVERAGE(OFFSET($CC$3,0,0,'Données projet'!$E$12+1,1))-AVERAGE(OFFSET($H$3,0,0,'Données projet'!$E$12+1,1))</f>
        <v>426.87921482911719</v>
      </c>
      <c r="CE27" s="62">
        <f t="shared" si="40"/>
        <v>313.49594674441835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16.399999999999999</v>
      </c>
      <c r="CT27" s="13">
        <f>IF('Données projet'!$A$140&gt;35,CT26+CS27-DB26,IF(A27&lt;'Données projet'!$A$140,$CQ$205^A27,IF(A27='Données projet'!$A$140,'Données projet'!$B$140,CT26+CS27-DB26)))</f>
        <v>187.60000000000002</v>
      </c>
      <c r="CU27" s="18">
        <f>CT27*VLOOKUP('Données projet'!$B$13,Paramètres!$A$1:$I$89,3,0)*VLOOKUP('Données projet'!$B$13,Paramètres!$A$1:$I$89,5,0)</f>
        <v>112.18480000000002</v>
      </c>
      <c r="CV27" s="14">
        <f t="shared" si="41"/>
        <v>29.845149809641946</v>
      </c>
      <c r="CW27" s="22">
        <f t="shared" si="13"/>
        <v>247.36882925179307</v>
      </c>
      <c r="CX27" s="62">
        <f t="shared" si="14"/>
        <v>473.13953743541288</v>
      </c>
      <c r="CY27" s="62">
        <f ca="1">AVERAGE(OFFSET($CX$3,0,0,'Données projet'!$E$13+1,1))-AVERAGE(OFFSET($H$3,0,0,'Données projet'!$E$13+1,1))</f>
        <v>367.11994336501527</v>
      </c>
      <c r="CZ27" s="62">
        <f t="shared" si="42"/>
        <v>390.81417197867484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7.6867043779570894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0.68734278406738825</v>
      </c>
      <c r="DI27" s="24">
        <f t="shared" si="15"/>
        <v>8.3740471620244783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173</v>
      </c>
      <c r="L28" s="13">
        <f>VLOOKUP(A28,'Données projet'!$A$35:$I$55,9,0)</f>
        <v>8.4</v>
      </c>
      <c r="M28" s="13">
        <f t="array" ref="M28">INDEX(L:L,MIN(IF(ISNUMBER(L28:L224),ROW(L28:L224),"")))</f>
        <v>8.4</v>
      </c>
      <c r="N28" s="14">
        <f>IF('Données projet'!$A$36&gt;35,N27+M28-V27,IF(A28&lt;'Données projet'!$A$36,$K$205^A28,IF(A28='Données projet'!$A$36,'Données projet'!$B$36,N27+M28-V27)))</f>
        <v>173.00000000000003</v>
      </c>
      <c r="O28" s="14">
        <f>N28*VLOOKUP('Données projet'!$B$9,Paramètres!$A$1:$I$89,3,0)*VLOOKUP('Données projet'!$B$9,Paramètres!$A$1:$I$89,5,0)</f>
        <v>156.53040000000001</v>
      </c>
      <c r="P28" s="14">
        <f t="shared" si="33"/>
        <v>40.058941713182037</v>
      </c>
      <c r="Q28" s="22">
        <f t="shared" si="2"/>
        <v>342.39310348379212</v>
      </c>
      <c r="R28" s="62">
        <f t="shared" si="0"/>
        <v>570.43087745012417</v>
      </c>
      <c r="S28" s="62">
        <f ca="1">AVERAGE(OFFSET($R$3,0,0,'Données projet'!$E$9+1,1))-AVERAGE(OFFSET($H$3,0,0,'Données projet'!$E$9+1,1))</f>
        <v>312.43110610485337</v>
      </c>
      <c r="T28" s="62">
        <f t="shared" si="34"/>
        <v>442.54749157177571</v>
      </c>
      <c r="U28" s="16">
        <f>IF(ISNA(VLOOKUP(A28,'Données projet'!$A$35:$I$55,3,0)),0,VLOOKUP(A28,'Données projet'!$A$35:$I$55,3,0))</f>
        <v>5</v>
      </c>
      <c r="V28" s="16">
        <f>IF(ISNA(VLOOKUP(A28,'Données projet'!$A$35:$I$55,4,0)),0,VLOOKUP(A28,'Données projet'!$A$35:$I$55,4,0))</f>
        <v>11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103</v>
      </c>
      <c r="AG28" s="13">
        <f>VLOOKUP(A28,'Données projet'!$A$61:$I$81,9,0)</f>
        <v>7.2</v>
      </c>
      <c r="AH28" s="13">
        <f t="array" ref="AH28">INDEX(AG:AG,MIN(IF(ISNUMBER(AG28:AG224),ROW(AG28:AG224),"")))</f>
        <v>7.2</v>
      </c>
      <c r="AI28" s="14">
        <f>IF('Données projet'!$A$62&gt;35,AI27+AH28-AQ27,IF(A28&lt;'Données projet'!$A$62,$AF$205^A28,IF(A28='Données projet'!$A$62,'Données projet'!$B$62,AI27+AH28-AQ27)))</f>
        <v>103.00000000000001</v>
      </c>
      <c r="AJ28" s="14">
        <f>AI28*VLOOKUP('Données projet'!$B$10,Paramètres!$A$1:$I$89,3,0)*VLOOKUP('Données projet'!$B$10,Paramètres!$A$1:$I$89,5,0)</f>
        <v>86.767200000000017</v>
      </c>
      <c r="AK28" s="14">
        <f t="shared" si="35"/>
        <v>23.783899326718451</v>
      </c>
      <c r="AL28" s="22">
        <f t="shared" si="4"/>
        <v>192.54316466070134</v>
      </c>
      <c r="AM28" s="62">
        <f t="shared" si="5"/>
        <v>420.58093862703345</v>
      </c>
      <c r="AN28" s="62">
        <f ca="1">AVERAGE(OFFSET($AM$3,0,0,'Données projet'!$E$10+1,1))-AVERAGE(OFFSET($H$3,0,0,'Données projet'!$E$10+1,1))</f>
        <v>445.02659128831181</v>
      </c>
      <c r="AO28" s="62">
        <f t="shared" si="36"/>
        <v>281.06176764290592</v>
      </c>
      <c r="AP28" s="16">
        <f>IF(ISNA(VLOOKUP(A28,'Données projet'!$A$61:$I$81,3,0)),0,VLOOKUP(A28,'Données projet'!$A$61:$I$81,3,0))</f>
        <v>2</v>
      </c>
      <c r="AQ28" s="16">
        <f>IF(ISNA(VLOOKUP(A28,'Données projet'!$A$61:$I$81,4,0)),0,VLOOKUP(A28,'Données projet'!$A$61:$I$81,4,0))</f>
        <v>28</v>
      </c>
      <c r="AR28" s="17">
        <f>IF(ISNA(VLOOKUP(A28,'Données projet'!$A$61:$I$81,5,0)),0%,VLOOKUP(A28,'Données projet'!$A$61:$I$81,5,0)*VLOOKUP('Données projet'!$B$10,Paramètres!$A$1:$I$89,7,0))</f>
        <v>8.6000000000000007E-2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0.8</v>
      </c>
      <c r="AU28" s="23">
        <f>EXP(-LN(2)/35)*AU27+(1-EXP(-LN(2)/35))/(LN(2)/35)*AQ28*AR28*VLOOKUP('Données projet'!$B$10,Paramètres!$A$1:$I$89,3,0)*0.475*44/12</f>
        <v>2.6776678253419912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18.478559567855161</v>
      </c>
      <c r="AX28" s="23">
        <f t="shared" si="6"/>
        <v>21.156227393197153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103</v>
      </c>
      <c r="BB28" s="13">
        <f>VLOOKUP(A28,'Données projet'!$A$87:$I$107,9,0)</f>
        <v>7.2</v>
      </c>
      <c r="BC28" s="13">
        <f t="array" ref="BC28">INDEX(BB:BB,MIN(IF(ISNUMBER(BB28:BB224),ROW(BB28:BB224),"")))</f>
        <v>7.2</v>
      </c>
      <c r="BD28" s="13">
        <f>IF('Données projet'!$A$88&gt;35,BD27+BC28-BL27,IF(A28&lt;'Données projet'!$A$88,$BA$205^A28,IF(A28='Données projet'!$A$88,'Données projet'!$B$88,BD27+BC28-BL27)))</f>
        <v>103.00000000000001</v>
      </c>
      <c r="BE28" s="14">
        <f>BD28*VLOOKUP('Données projet'!$B$11,Paramètres!$A$1:$I$89,3,0)*VLOOKUP('Données projet'!$B$11,Paramètres!$A$1:$I$89,5,0)</f>
        <v>93.194400000000002</v>
      </c>
      <c r="BF28" s="14">
        <f t="shared" si="37"/>
        <v>25.33406653691528</v>
      </c>
      <c r="BG28" s="22">
        <f t="shared" si="7"/>
        <v>206.43707921846078</v>
      </c>
      <c r="BH28" s="62">
        <f t="shared" si="8"/>
        <v>434.47485318479289</v>
      </c>
      <c r="BI28" s="62">
        <f ca="1">AVERAGE(OFFSET($BH$3,0,0,'Données projet'!$E$11+1,1))-AVERAGE(OFFSET($H$3,0,0,'Données projet'!$E$11+1,1))</f>
        <v>472.46893084347687</v>
      </c>
      <c r="BJ28" s="62">
        <f t="shared" si="38"/>
        <v>297.32483725004136</v>
      </c>
      <c r="BK28" s="16">
        <f>IF(ISNA(VLOOKUP(A28,'Données projet'!$A$87:$I$107,3,0)),0,VLOOKUP(A28,'Données projet'!$A$87:$I$107,3,0))</f>
        <v>2</v>
      </c>
      <c r="BL28" s="16">
        <f>IF(ISNA(VLOOKUP(A28,'Données projet'!$A$87:$I$107,4,0)),0,VLOOKUP(A28,'Données projet'!$A$87:$I$107,4,0))</f>
        <v>28</v>
      </c>
      <c r="BM28" s="17">
        <f>IF(ISNA(VLOOKUP(A28,'Données projet'!$A$87:$I$107,5,0)),0%,VLOOKUP(A28,'Données projet'!$A$87:$I$107,5,0)*VLOOKUP('Données projet'!$B$11,Paramètres!$A$1:$I$89,7,0))</f>
        <v>8.6000000000000007E-2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0.8</v>
      </c>
      <c r="BP28" s="23">
        <f>EXP(-LN(2)/35)*BP27+(1-EXP(-LN(2)/35))/(LN(2)/35)*BL28*BM28*VLOOKUP('Données projet'!$B$11,Paramètres!$A$1:$I$89,3,0)*0.475*44/12</f>
        <v>2.8760135901821378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19.847341758066651</v>
      </c>
      <c r="BS28" s="24">
        <f t="shared" si="9"/>
        <v>22.723355348248788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9.1999999999999993</v>
      </c>
      <c r="BY28" s="13">
        <f>IF('Données projet'!$A$114&gt;35,BY27+BX28-CG27,IF(A28&lt;'Données projet'!$A$114,$BV$205^A28,IF(A28='Données projet'!$A$114,'Données projet'!$B$114,BY27+BX28-CG27)))</f>
        <v>203.99999999999994</v>
      </c>
      <c r="BZ28" s="14">
        <f>BY28*VLOOKUP('Données projet'!$B$12,Paramètres!$A$1:$I$89,3,0)*VLOOKUP('Données projet'!$B$12,Paramètres!$A$1:$I$89,5,0)</f>
        <v>95.47199999999998</v>
      </c>
      <c r="CA28" s="14">
        <f t="shared" si="39"/>
        <v>25.880372123231144</v>
      </c>
      <c r="CB28" s="22">
        <f t="shared" si="10"/>
        <v>211.35538144796087</v>
      </c>
      <c r="CC28" s="62">
        <f t="shared" si="11"/>
        <v>439.39315541429301</v>
      </c>
      <c r="CD28" s="62">
        <f ca="1">AVERAGE(OFFSET($CC$3,0,0,'Données projet'!$E$12+1,1))-AVERAGE(OFFSET($H$3,0,0,'Données projet'!$E$12+1,1))</f>
        <v>426.87921482911719</v>
      </c>
      <c r="CE28" s="62">
        <f t="shared" si="40"/>
        <v>313.49594674441835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204</v>
      </c>
      <c r="CR28" s="13">
        <f>VLOOKUP(A28,'Données projet'!$A$139:$I$159,9,0)</f>
        <v>16.399999999999999</v>
      </c>
      <c r="CS28" s="13">
        <f t="array" ref="CS28">INDEX(CR:CR,MIN(IF(ISNUMBER(CR28:CR224),ROW(CR28:CR224),"")))</f>
        <v>16.399999999999999</v>
      </c>
      <c r="CT28" s="13">
        <f>IF('Données projet'!$A$140&gt;35,CT27+CS28-DB27,IF(A28&lt;'Données projet'!$A$140,$CQ$205^A28,IF(A28='Données projet'!$A$140,'Données projet'!$B$140,CT27+CS28-DB27)))</f>
        <v>204.00000000000003</v>
      </c>
      <c r="CU28" s="18">
        <f>CT28*VLOOKUP('Données projet'!$B$13,Paramètres!$A$1:$I$89,3,0)*VLOOKUP('Données projet'!$B$13,Paramètres!$A$1:$I$89,5,0)</f>
        <v>121.99200000000003</v>
      </c>
      <c r="CV28" s="14">
        <f t="shared" si="41"/>
        <v>32.139154469866327</v>
      </c>
      <c r="CW28" s="22">
        <f t="shared" si="13"/>
        <v>268.44509403501723</v>
      </c>
      <c r="CX28" s="62">
        <f t="shared" si="14"/>
        <v>496.48286800134935</v>
      </c>
      <c r="CY28" s="62">
        <f ca="1">AVERAGE(OFFSET($CX$3,0,0,'Données projet'!$E$13+1,1))-AVERAGE(OFFSET($H$3,0,0,'Données projet'!$E$13+1,1))</f>
        <v>367.11994336501527</v>
      </c>
      <c r="CZ28" s="62">
        <f t="shared" si="42"/>
        <v>390.81417197867484</v>
      </c>
      <c r="DA28" s="16">
        <f>IF(ISNA(VLOOKUP(A28,'Données projet'!$A$139:$I$159,3,0)),0,VLOOKUP(A28,'Données projet'!$A$139:$I$159,3,0))</f>
        <v>3</v>
      </c>
      <c r="DB28" s="16">
        <f>IF(ISNA(VLOOKUP(A28,'Données projet'!$A$139:$I$159,4,0)),0,VLOOKUP(A28,'Données projet'!$A$139:$I$159,4,0))</f>
        <v>36</v>
      </c>
      <c r="DC28" s="17">
        <f>IF(ISNA(VLOOKUP(A28,'Données projet'!$A$139:$I$159,5,0)),0%,VLOOKUP(A28,'Données projet'!$A$139:$I$159,5,0)*VLOOKUP('Données projet'!$B$13,Paramètres!$A$1:$I$89,7,0))</f>
        <v>0.40500000000000003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0.2</v>
      </c>
      <c r="DF28" s="23">
        <f>EXP(-LN(2)/35)*DF27+(1-EXP(-LN(2)/35))/(LN(2)/35)*DB28*DC28*VLOOKUP('Données projet'!$B$13,Paramètres!$A$1:$I$89,3,0)*0.475*44/12</f>
        <v>19.10207603019656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5.3609641238436421</v>
      </c>
      <c r="DI28" s="24">
        <f t="shared" si="15"/>
        <v>24.4630401540402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6.8</v>
      </c>
      <c r="N29" s="14">
        <f>IF('Données projet'!$A$36&gt;35,N28+M29-V28,IF(A29&lt;'Données projet'!$A$36,$K$205^A29,IF(A29='Données projet'!$A$36,'Données projet'!$B$36,N28+M29-V28)))</f>
        <v>168.80000000000004</v>
      </c>
      <c r="O29" s="14">
        <f>N29*VLOOKUP('Données projet'!$B$9,Paramètres!$A$1:$I$89,3,0)*VLOOKUP('Données projet'!$B$9,Paramètres!$A$1:$I$89,5,0)</f>
        <v>152.73024000000001</v>
      </c>
      <c r="P29" s="14">
        <f t="shared" si="33"/>
        <v>39.198389597047516</v>
      </c>
      <c r="Q29" s="22">
        <f t="shared" si="2"/>
        <v>334.27569654819109</v>
      </c>
      <c r="R29" s="62">
        <f t="shared" si="0"/>
        <v>564.56241059738124</v>
      </c>
      <c r="S29" s="62">
        <f ca="1">AVERAGE(OFFSET($R$3,0,0,'Données projet'!$E$9+1,1))-AVERAGE(OFFSET($H$3,0,0,'Données projet'!$E$9+1,1))</f>
        <v>312.43110610485337</v>
      </c>
      <c r="T29" s="62">
        <f t="shared" si="34"/>
        <v>442.54749157177571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9.1999999999999993</v>
      </c>
      <c r="AI29" s="14">
        <f>IF('Données projet'!$A$62&gt;35,AI28+AH29-AQ28,IF(A29&lt;'Données projet'!$A$62,$AF$205^A29,IF(A29='Données projet'!$A$62,'Données projet'!$B$62,AI28+AH29-AQ28)))</f>
        <v>84.200000000000017</v>
      </c>
      <c r="AJ29" s="14">
        <f>AI29*VLOOKUP('Données projet'!$B$10,Paramètres!$A$1:$I$89,3,0)*VLOOKUP('Données projet'!$B$10,Paramètres!$A$1:$I$89,5,0)</f>
        <v>70.930080000000018</v>
      </c>
      <c r="AK29" s="14">
        <f t="shared" si="35"/>
        <v>19.904251483253464</v>
      </c>
      <c r="AL29" s="22">
        <f t="shared" si="4"/>
        <v>158.20312733333313</v>
      </c>
      <c r="AM29" s="62">
        <f t="shared" si="5"/>
        <v>388.48984138252331</v>
      </c>
      <c r="AN29" s="62">
        <f ca="1">AVERAGE(OFFSET($AM$3,0,0,'Données projet'!$E$10+1,1))-AVERAGE(OFFSET($H$3,0,0,'Données projet'!$E$10+1,1))</f>
        <v>445.02659128831181</v>
      </c>
      <c r="AO29" s="62">
        <f t="shared" si="36"/>
        <v>281.06176764290592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2.6251603925031417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13.066314776989945</v>
      </c>
      <c r="AX29" s="23">
        <f t="shared" si="6"/>
        <v>15.691475169493087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9.1999999999999993</v>
      </c>
      <c r="BD29" s="13">
        <f>IF('Données projet'!$A$88&gt;35,BD28+BC29-BL28,IF(A29&lt;'Données projet'!$A$88,$BA$205^A29,IF(A29='Données projet'!$A$88,'Données projet'!$B$88,BD28+BC29-BL28)))</f>
        <v>84.200000000000017</v>
      </c>
      <c r="BE29" s="14">
        <f>BD29*VLOOKUP('Données projet'!$B$11,Paramètres!$A$1:$I$89,3,0)*VLOOKUP('Données projet'!$B$11,Paramètres!$A$1:$I$89,5,0)</f>
        <v>76.184160000000006</v>
      </c>
      <c r="BF29" s="14">
        <f t="shared" si="37"/>
        <v>21.201554232857223</v>
      </c>
      <c r="BG29" s="22">
        <f t="shared" si="7"/>
        <v>169.613452288893</v>
      </c>
      <c r="BH29" s="62">
        <f t="shared" si="8"/>
        <v>399.90016633808318</v>
      </c>
      <c r="BI29" s="62">
        <f ca="1">AVERAGE(OFFSET($BH$3,0,0,'Données projet'!$E$11+1,1))-AVERAGE(OFFSET($H$3,0,0,'Données projet'!$E$11+1,1))</f>
        <v>472.46893084347687</v>
      </c>
      <c r="BJ29" s="62">
        <f t="shared" si="38"/>
        <v>297.32483725004136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2.8196167178737435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14.034189945655864</v>
      </c>
      <c r="BS29" s="24">
        <f t="shared" si="9"/>
        <v>16.853806663529607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9.1999999999999993</v>
      </c>
      <c r="BY29" s="13">
        <f>IF('Données projet'!$A$114&gt;35,BY28+BX29-CG28,IF(A29&lt;'Données projet'!$A$114,$BV$205^A29,IF(A29='Données projet'!$A$114,'Données projet'!$B$114,BY28+BX29-CG28)))</f>
        <v>213.19999999999993</v>
      </c>
      <c r="BZ29" s="14">
        <f>BY29*VLOOKUP('Données projet'!$B$12,Paramètres!$A$1:$I$89,3,0)*VLOOKUP('Données projet'!$B$12,Paramètres!$A$1:$I$89,5,0)</f>
        <v>99.777599999999964</v>
      </c>
      <c r="CA29" s="14">
        <f t="shared" si="39"/>
        <v>26.909006951444532</v>
      </c>
      <c r="CB29" s="22">
        <f t="shared" si="10"/>
        <v>220.64584044043249</v>
      </c>
      <c r="CC29" s="62">
        <f t="shared" si="11"/>
        <v>450.9325544896227</v>
      </c>
      <c r="CD29" s="62">
        <f ca="1">AVERAGE(OFFSET($CC$3,0,0,'Données projet'!$E$12+1,1))-AVERAGE(OFFSET($H$3,0,0,'Données projet'!$E$12+1,1))</f>
        <v>426.87921482911719</v>
      </c>
      <c r="CE29" s="62">
        <f t="shared" si="40"/>
        <v>313.49594674441835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17.600000000000001</v>
      </c>
      <c r="CT29" s="13">
        <f>IF('Données projet'!$A$140&gt;35,CT28+CS29-DB28,IF(A29&lt;'Données projet'!$A$140,$CQ$205^A29,IF(A29='Données projet'!$A$140,'Données projet'!$B$140,CT28+CS29-DB28)))</f>
        <v>185.60000000000002</v>
      </c>
      <c r="CU29" s="18">
        <f>CT29*VLOOKUP('Données projet'!$B$13,Paramètres!$A$1:$I$89,3,0)*VLOOKUP('Données projet'!$B$13,Paramètres!$A$1:$I$89,5,0)</f>
        <v>110.98880000000003</v>
      </c>
      <c r="CV29" s="14">
        <f t="shared" si="41"/>
        <v>29.56383208945169</v>
      </c>
      <c r="CW29" s="22">
        <f t="shared" si="13"/>
        <v>244.79583422246174</v>
      </c>
      <c r="CX29" s="62">
        <f t="shared" si="14"/>
        <v>475.08254827165194</v>
      </c>
      <c r="CY29" s="62">
        <f ca="1">AVERAGE(OFFSET($CX$3,0,0,'Données projet'!$E$13+1,1))-AVERAGE(OFFSET($H$3,0,0,'Données projet'!$E$13+1,1))</f>
        <v>367.11994336501527</v>
      </c>
      <c r="CZ29" s="62">
        <f t="shared" si="42"/>
        <v>390.81417197867484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18.727495970360334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3.7907740856676377</v>
      </c>
      <c r="DI29" s="24">
        <f t="shared" si="15"/>
        <v>22.518270056027973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6.8</v>
      </c>
      <c r="N30" s="14">
        <f>IF('Données projet'!$A$36&gt;35,N29+M30-V29,IF(A30&lt;'Données projet'!$A$36,$K$205^A30,IF(A30='Données projet'!$A$36,'Données projet'!$B$36,N29+M30-V29)))</f>
        <v>175.60000000000005</v>
      </c>
      <c r="O30" s="14">
        <f>N30*VLOOKUP('Données projet'!$B$9,Paramètres!$A$1:$I$89,3,0)*VLOOKUP('Données projet'!$B$9,Paramètres!$A$1:$I$89,5,0)</f>
        <v>158.88288000000006</v>
      </c>
      <c r="P30" s="14">
        <f t="shared" si="33"/>
        <v>40.590443217000178</v>
      </c>
      <c r="Q30" s="22">
        <f t="shared" si="2"/>
        <v>347.41603793627536</v>
      </c>
      <c r="R30" s="62">
        <f t="shared" si="0"/>
        <v>579.93388080883892</v>
      </c>
      <c r="S30" s="62">
        <f ca="1">AVERAGE(OFFSET($R$3,0,0,'Données projet'!$E$9+1,1))-AVERAGE(OFFSET($H$3,0,0,'Données projet'!$E$9+1,1))</f>
        <v>312.43110610485337</v>
      </c>
      <c r="T30" s="62">
        <f t="shared" si="34"/>
        <v>442.54749157177571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9.1999999999999993</v>
      </c>
      <c r="AI30" s="14">
        <f>IF('Données projet'!$A$62&gt;35,AI29+AH30-AQ29,IF(A30&lt;'Données projet'!$A$62,$AF$205^A30,IF(A30='Données projet'!$A$62,'Données projet'!$B$62,AI29+AH30-AQ29)))</f>
        <v>93.40000000000002</v>
      </c>
      <c r="AJ30" s="14">
        <f>AI30*VLOOKUP('Données projet'!$B$10,Paramètres!$A$1:$I$89,3,0)*VLOOKUP('Données projet'!$B$10,Paramètres!$A$1:$I$89,5,0)</f>
        <v>78.680160000000029</v>
      </c>
      <c r="AK30" s="14">
        <f t="shared" si="35"/>
        <v>21.814164609384523</v>
      </c>
      <c r="AL30" s="22">
        <f t="shared" si="4"/>
        <v>175.02761536134474</v>
      </c>
      <c r="AM30" s="62">
        <f t="shared" si="5"/>
        <v>407.54545823390822</v>
      </c>
      <c r="AN30" s="62">
        <f ca="1">AVERAGE(OFFSET($AM$3,0,0,'Données projet'!$E$10+1,1))-AVERAGE(OFFSET($H$3,0,0,'Données projet'!$E$10+1,1))</f>
        <v>445.02659128831181</v>
      </c>
      <c r="AO30" s="62">
        <f t="shared" si="36"/>
        <v>281.06176764290592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2.57368259839589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9.2392797839275822</v>
      </c>
      <c r="AX30" s="23">
        <f t="shared" si="6"/>
        <v>11.812962382323473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9.1999999999999993</v>
      </c>
      <c r="BD30" s="13">
        <f>IF('Données projet'!$A$88&gt;35,BD29+BC30-BL29,IF(A30&lt;'Données projet'!$A$88,$BA$205^A30,IF(A30='Données projet'!$A$88,'Données projet'!$B$88,BD29+BC30-BL29)))</f>
        <v>93.40000000000002</v>
      </c>
      <c r="BE30" s="14">
        <f>BD30*VLOOKUP('Données projet'!$B$11,Paramètres!$A$1:$I$89,3,0)*VLOOKUP('Données projet'!$B$11,Paramètres!$A$1:$I$89,5,0)</f>
        <v>84.508320000000026</v>
      </c>
      <c r="BF30" s="14">
        <f t="shared" si="37"/>
        <v>23.235950088324714</v>
      </c>
      <c r="BG30" s="22">
        <f t="shared" si="7"/>
        <v>187.65460373716556</v>
      </c>
      <c r="BH30" s="62">
        <f t="shared" si="8"/>
        <v>420.17244660972904</v>
      </c>
      <c r="BI30" s="62">
        <f ca="1">AVERAGE(OFFSET($BH$3,0,0,'Données projet'!$E$11+1,1))-AVERAGE(OFFSET($H$3,0,0,'Données projet'!$E$11+1,1))</f>
        <v>472.46893084347687</v>
      </c>
      <c r="BJ30" s="62">
        <f t="shared" si="38"/>
        <v>297.32483725004136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2.7643257538326216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9.9236708790333275</v>
      </c>
      <c r="BS30" s="24">
        <f t="shared" si="9"/>
        <v>12.68799663286595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9.1999999999999993</v>
      </c>
      <c r="BY30" s="13">
        <f>IF('Données projet'!$A$114&gt;35,BY29+BX30-CG29,IF(A30&lt;'Données projet'!$A$114,$BV$205^A30,IF(A30='Données projet'!$A$114,'Données projet'!$B$114,BY29+BX30-CG29)))</f>
        <v>222.39999999999992</v>
      </c>
      <c r="BZ30" s="14">
        <f>BY30*VLOOKUP('Données projet'!$B$12,Paramètres!$A$1:$I$89,3,0)*VLOOKUP('Données projet'!$B$12,Paramètres!$A$1:$I$89,5,0)</f>
        <v>104.08319999999996</v>
      </c>
      <c r="CA30" s="14">
        <f t="shared" si="39"/>
        <v>27.932486325387405</v>
      </c>
      <c r="CB30" s="22">
        <f t="shared" si="10"/>
        <v>229.92732035004965</v>
      </c>
      <c r="CC30" s="62">
        <f t="shared" si="11"/>
        <v>462.44516322261313</v>
      </c>
      <c r="CD30" s="62">
        <f ca="1">AVERAGE(OFFSET($CC$3,0,0,'Données projet'!$E$12+1,1))-AVERAGE(OFFSET($H$3,0,0,'Données projet'!$E$12+1,1))</f>
        <v>426.87921482911719</v>
      </c>
      <c r="CE30" s="62">
        <f t="shared" si="40"/>
        <v>313.49594674441835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17.600000000000001</v>
      </c>
      <c r="CT30" s="13">
        <f>IF('Données projet'!$A$140&gt;35,CT29+CS30-DB29,IF(A30&lt;'Données projet'!$A$140,$CQ$205^A30,IF(A30='Données projet'!$A$140,'Données projet'!$B$140,CT29+CS30-DB29)))</f>
        <v>203.20000000000002</v>
      </c>
      <c r="CU30" s="18">
        <f>CT30*VLOOKUP('Données projet'!$B$13,Paramètres!$A$1:$I$89,3,0)*VLOOKUP('Données projet'!$B$13,Paramètres!$A$1:$I$89,5,0)</f>
        <v>121.51360000000001</v>
      </c>
      <c r="CV30" s="14">
        <f t="shared" si="41"/>
        <v>32.027763694063836</v>
      </c>
      <c r="CW30" s="22">
        <f t="shared" si="13"/>
        <v>267.41787510049454</v>
      </c>
      <c r="CX30" s="62">
        <f t="shared" si="14"/>
        <v>499.93571797305805</v>
      </c>
      <c r="CY30" s="62">
        <f ca="1">AVERAGE(OFFSET($CX$3,0,0,'Données projet'!$E$13+1,1))-AVERAGE(OFFSET($H$3,0,0,'Données projet'!$E$13+1,1))</f>
        <v>367.11994336501527</v>
      </c>
      <c r="CZ30" s="62">
        <f t="shared" si="42"/>
        <v>390.81417197867484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18.360261197026215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2.6804820619218215</v>
      </c>
      <c r="DI30" s="24">
        <f t="shared" si="15"/>
        <v>21.040743258948037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6.8</v>
      </c>
      <c r="N31" s="14">
        <f>IF('Données projet'!$A$36&gt;35,N30+M31-V30,IF(A31&lt;'Données projet'!$A$36,$K$205^A31,IF(A31='Données projet'!$A$36,'Données projet'!$B$36,N30+M31-V30)))</f>
        <v>182.40000000000006</v>
      </c>
      <c r="O31" s="14">
        <f>N31*VLOOKUP('Données projet'!$B$9,Paramètres!$A$1:$I$89,3,0)*VLOOKUP('Données projet'!$B$9,Paramètres!$A$1:$I$89,5,0)</f>
        <v>165.03552000000005</v>
      </c>
      <c r="P31" s="14">
        <f t="shared" si="33"/>
        <v>41.976234598846517</v>
      </c>
      <c r="Q31" s="22">
        <f t="shared" si="2"/>
        <v>360.54547259299108</v>
      </c>
      <c r="R31" s="62">
        <f t="shared" si="0"/>
        <v>595.27694201497513</v>
      </c>
      <c r="S31" s="62">
        <f ca="1">AVERAGE(OFFSET($R$3,0,0,'Données projet'!$E$9+1,1))-AVERAGE(OFFSET($H$3,0,0,'Données projet'!$E$9+1,1))</f>
        <v>312.43110610485337</v>
      </c>
      <c r="T31" s="62">
        <f t="shared" si="34"/>
        <v>442.54749157177571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9.1999999999999993</v>
      </c>
      <c r="AI31" s="14">
        <f>IF('Données projet'!$A$62&gt;35,AI30+AH31-AQ30,IF(A31&lt;'Données projet'!$A$62,$AF$205^A31,IF(A31='Données projet'!$A$62,'Données projet'!$B$62,AI30+AH31-AQ30)))</f>
        <v>102.60000000000002</v>
      </c>
      <c r="AJ31" s="14">
        <f>AI31*VLOOKUP('Données projet'!$B$10,Paramètres!$A$1:$I$89,3,0)*VLOOKUP('Données projet'!$B$10,Paramètres!$A$1:$I$89,5,0)</f>
        <v>86.430240000000026</v>
      </c>
      <c r="AK31" s="14">
        <f t="shared" si="35"/>
        <v>23.702267442352529</v>
      </c>
      <c r="AL31" s="22">
        <f t="shared" si="4"/>
        <v>191.81411712876402</v>
      </c>
      <c r="AM31" s="62">
        <f t="shared" si="5"/>
        <v>426.54558655074811</v>
      </c>
      <c r="AN31" s="62">
        <f ca="1">AVERAGE(OFFSET($AM$3,0,0,'Données projet'!$E$10+1,1))-AVERAGE(OFFSET($H$3,0,0,'Données projet'!$E$10+1,1))</f>
        <v>445.02659128831181</v>
      </c>
      <c r="AO31" s="62">
        <f t="shared" si="36"/>
        <v>281.06176764290592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2.5232142524327275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6.5331573884949732</v>
      </c>
      <c r="AX31" s="23">
        <f t="shared" si="6"/>
        <v>9.0563716409277006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9.1999999999999993</v>
      </c>
      <c r="BD31" s="13">
        <f>IF('Données projet'!$A$88&gt;35,BD30+BC31-BL30,IF(A31&lt;'Données projet'!$A$88,$BA$205^A31,IF(A31='Données projet'!$A$88,'Données projet'!$B$88,BD30+BC31-BL30)))</f>
        <v>102.60000000000002</v>
      </c>
      <c r="BE31" s="14">
        <f>BD31*VLOOKUP('Données projet'!$B$11,Paramètres!$A$1:$I$89,3,0)*VLOOKUP('Données projet'!$B$11,Paramètres!$A$1:$I$89,5,0)</f>
        <v>92.832480000000018</v>
      </c>
      <c r="BF31" s="14">
        <f t="shared" si="37"/>
        <v>25.247114117480137</v>
      </c>
      <c r="BG31" s="22">
        <f t="shared" si="7"/>
        <v>205.65529308794461</v>
      </c>
      <c r="BH31" s="62">
        <f t="shared" si="8"/>
        <v>440.3867625099287</v>
      </c>
      <c r="BI31" s="62">
        <f ca="1">AVERAGE(OFFSET($BH$3,0,0,'Données projet'!$E$11+1,1))-AVERAGE(OFFSET($H$3,0,0,'Données projet'!$E$11+1,1))</f>
        <v>472.46893084347687</v>
      </c>
      <c r="BJ31" s="62">
        <f t="shared" si="38"/>
        <v>297.32483725004136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2.7101190118721878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7.017094972827933</v>
      </c>
      <c r="BS31" s="24">
        <f t="shared" si="9"/>
        <v>9.7272139847001213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9.1999999999999993</v>
      </c>
      <c r="BY31" s="13">
        <f>IF('Données projet'!$A$114&gt;35,BY30+BX31-CG30,IF(A31&lt;'Données projet'!$A$114,$BV$205^A31,IF(A31='Données projet'!$A$114,'Données projet'!$B$114,BY30+BX31-CG30)))</f>
        <v>231.59999999999991</v>
      </c>
      <c r="BZ31" s="14">
        <f>BY31*VLOOKUP('Données projet'!$B$12,Paramètres!$A$1:$I$89,3,0)*VLOOKUP('Données projet'!$B$12,Paramètres!$A$1:$I$89,5,0)</f>
        <v>108.38879999999996</v>
      </c>
      <c r="CA31" s="14">
        <f t="shared" si="39"/>
        <v>28.95104790024919</v>
      </c>
      <c r="CB31" s="22">
        <f t="shared" si="10"/>
        <v>239.20023509293392</v>
      </c>
      <c r="CC31" s="62">
        <f t="shared" si="11"/>
        <v>473.93170451491801</v>
      </c>
      <c r="CD31" s="62">
        <f ca="1">AVERAGE(OFFSET($CC$3,0,0,'Données projet'!$E$12+1,1))-AVERAGE(OFFSET($H$3,0,0,'Données projet'!$E$12+1,1))</f>
        <v>426.87921482911719</v>
      </c>
      <c r="CE31" s="62">
        <f t="shared" si="40"/>
        <v>313.49594674441835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17.600000000000001</v>
      </c>
      <c r="CT31" s="13">
        <f>IF('Données projet'!$A$140&gt;35,CT30+CS31-DB30,IF(A31&lt;'Données projet'!$A$140,$CQ$205^A31,IF(A31='Données projet'!$A$140,'Données projet'!$B$140,CT30+CS31-DB30)))</f>
        <v>220.8</v>
      </c>
      <c r="CU31" s="18">
        <f>CT31*VLOOKUP('Données projet'!$B$13,Paramètres!$A$1:$I$89,3,0)*VLOOKUP('Données projet'!$B$13,Paramètres!$A$1:$I$89,5,0)</f>
        <v>132.03840000000002</v>
      </c>
      <c r="CV31" s="14">
        <f t="shared" si="41"/>
        <v>34.466946374534373</v>
      </c>
      <c r="CW31" s="22">
        <f t="shared" si="13"/>
        <v>289.99681160231404</v>
      </c>
      <c r="CX31" s="62">
        <f t="shared" si="14"/>
        <v>524.7282810242981</v>
      </c>
      <c r="CY31" s="62">
        <f ca="1">AVERAGE(OFFSET($CX$3,0,0,'Données projet'!$E$13+1,1))-AVERAGE(OFFSET($H$3,0,0,'Données projet'!$E$13+1,1))</f>
        <v>367.11994336501527</v>
      </c>
      <c r="CZ31" s="62">
        <f t="shared" si="42"/>
        <v>390.81417197867484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18.000227673606087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1.8953870428338193</v>
      </c>
      <c r="DI31" s="24">
        <f t="shared" si="15"/>
        <v>19.895614716439905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6.8</v>
      </c>
      <c r="N32" s="14">
        <f>IF('Données projet'!$A$36&gt;35,N31+M32-V31,IF(A32&lt;'Données projet'!$A$36,$K$205^A32,IF(A32='Données projet'!$A$36,'Données projet'!$B$36,N31+M32-V31)))</f>
        <v>189.20000000000007</v>
      </c>
      <c r="O32" s="14">
        <f>N32*VLOOKUP('Données projet'!$B$9,Paramètres!$A$1:$I$89,3,0)*VLOOKUP('Données projet'!$B$9,Paramètres!$A$1:$I$89,5,0)</f>
        <v>171.18816000000007</v>
      </c>
      <c r="P32" s="14">
        <f t="shared" si="33"/>
        <v>43.356023936000852</v>
      </c>
      <c r="Q32" s="22">
        <f t="shared" si="2"/>
        <v>373.66445368853493</v>
      </c>
      <c r="R32" s="62">
        <f t="shared" si="0"/>
        <v>610.59235101131071</v>
      </c>
      <c r="S32" s="62">
        <f ca="1">AVERAGE(OFFSET($R$3,0,0,'Données projet'!$E$9+1,1))-AVERAGE(OFFSET($H$3,0,0,'Données projet'!$E$9+1,1))</f>
        <v>312.43110610485337</v>
      </c>
      <c r="T32" s="62">
        <f t="shared" si="34"/>
        <v>442.54749157177571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9.1999999999999993</v>
      </c>
      <c r="AI32" s="14">
        <f>IF('Données projet'!$A$62&gt;35,AI31+AH32-AQ31,IF(A32&lt;'Données projet'!$A$62,$AF$205^A32,IF(A32='Données projet'!$A$62,'Données projet'!$B$62,AI31+AH32-AQ31)))</f>
        <v>111.80000000000003</v>
      </c>
      <c r="AJ32" s="14">
        <f>AI32*VLOOKUP('Données projet'!$B$10,Paramètres!$A$1:$I$89,3,0)*VLOOKUP('Données projet'!$B$10,Paramètres!$A$1:$I$89,5,0)</f>
        <v>94.180320000000037</v>
      </c>
      <c r="AK32" s="14">
        <f t="shared" si="35"/>
        <v>25.570738079029208</v>
      </c>
      <c r="AL32" s="22">
        <f t="shared" si="4"/>
        <v>208.56642615430928</v>
      </c>
      <c r="AM32" s="62">
        <f t="shared" si="5"/>
        <v>445.49432347708512</v>
      </c>
      <c r="AN32" s="62">
        <f ca="1">AVERAGE(OFFSET($AM$3,0,0,'Données projet'!$E$10+1,1))-AVERAGE(OFFSET($H$3,0,0,'Données projet'!$E$10+1,1))</f>
        <v>445.02659128831181</v>
      </c>
      <c r="AO32" s="62">
        <f t="shared" si="36"/>
        <v>281.06176764290592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2.4737355599512512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4.619639891963792</v>
      </c>
      <c r="AX32" s="23">
        <f t="shared" si="6"/>
        <v>7.0933754519150432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9.1999999999999993</v>
      </c>
      <c r="BD32" s="13">
        <f>IF('Données projet'!$A$88&gt;35,BD31+BC32-BL31,IF(A32&lt;'Données projet'!$A$88,$BA$205^A32,IF(A32='Données projet'!$A$88,'Données projet'!$B$88,BD31+BC32-BL31)))</f>
        <v>111.80000000000003</v>
      </c>
      <c r="BE32" s="14">
        <f>BD32*VLOOKUP('Données projet'!$B$11,Paramètres!$A$1:$I$89,3,0)*VLOOKUP('Données projet'!$B$11,Paramètres!$A$1:$I$89,5,0)</f>
        <v>101.15664000000001</v>
      </c>
      <c r="BF32" s="14">
        <f t="shared" si="37"/>
        <v>27.237366379381644</v>
      </c>
      <c r="BG32" s="22">
        <f t="shared" si="7"/>
        <v>223.61956111075639</v>
      </c>
      <c r="BH32" s="62">
        <f t="shared" si="8"/>
        <v>460.54745843353226</v>
      </c>
      <c r="BI32" s="62">
        <f ca="1">AVERAGE(OFFSET($BH$3,0,0,'Données projet'!$E$11+1,1))-AVERAGE(OFFSET($H$3,0,0,'Données projet'!$E$11+1,1))</f>
        <v>472.46893084347687</v>
      </c>
      <c r="BJ32" s="62">
        <f t="shared" si="38"/>
        <v>297.32483725004136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2.6569752310587504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4.9618354395166646</v>
      </c>
      <c r="BS32" s="24">
        <f t="shared" si="9"/>
        <v>7.6188106705754155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9.1999999999999993</v>
      </c>
      <c r="BY32" s="13">
        <f>IF('Données projet'!$A$114&gt;35,BY31+BX32-CG31,IF(A32&lt;'Données projet'!$A$114,$BV$205^A32,IF(A32='Données projet'!$A$114,'Données projet'!$B$114,BY31+BX32-CG31)))</f>
        <v>240.7999999999999</v>
      </c>
      <c r="BZ32" s="14">
        <f>BY32*VLOOKUP('Données projet'!$B$12,Paramètres!$A$1:$I$89,3,0)*VLOOKUP('Données projet'!$B$12,Paramètres!$A$1:$I$89,5,0)</f>
        <v>112.69439999999994</v>
      </c>
      <c r="CA32" s="14">
        <f t="shared" si="39"/>
        <v>29.964909381330607</v>
      </c>
      <c r="CB32" s="22">
        <f t="shared" si="10"/>
        <v>248.46496383915073</v>
      </c>
      <c r="CC32" s="62">
        <f t="shared" si="11"/>
        <v>485.39286116192659</v>
      </c>
      <c r="CD32" s="62">
        <f ca="1">AVERAGE(OFFSET($CC$3,0,0,'Données projet'!$E$12+1,1))-AVERAGE(OFFSET($H$3,0,0,'Données projet'!$E$12+1,1))</f>
        <v>426.87921482911719</v>
      </c>
      <c r="CE32" s="62">
        <f t="shared" si="40"/>
        <v>313.49594674441835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17.600000000000001</v>
      </c>
      <c r="CT32" s="13">
        <f>IF('Données projet'!$A$140&gt;35,CT31+CS32-DB31,IF(A32&lt;'Données projet'!$A$140,$CQ$205^A32,IF(A32='Données projet'!$A$140,'Données projet'!$B$140,CT31+CS32-DB31)))</f>
        <v>238.4</v>
      </c>
      <c r="CU32" s="18">
        <f>CT32*VLOOKUP('Données projet'!$B$13,Paramètres!$A$1:$I$89,3,0)*VLOOKUP('Données projet'!$B$13,Paramètres!$A$1:$I$89,5,0)</f>
        <v>142.56319999999999</v>
      </c>
      <c r="CV32" s="14">
        <f t="shared" si="41"/>
        <v>36.883577154665602</v>
      </c>
      <c r="CW32" s="22">
        <f t="shared" si="13"/>
        <v>312.53647021104257</v>
      </c>
      <c r="CX32" s="62">
        <f t="shared" si="14"/>
        <v>549.4643675338184</v>
      </c>
      <c r="CY32" s="62">
        <f ca="1">AVERAGE(OFFSET($CX$3,0,0,'Données projet'!$E$13+1,1))-AVERAGE(OFFSET($H$3,0,0,'Données projet'!$E$13+1,1))</f>
        <v>367.11994336501527</v>
      </c>
      <c r="CZ32" s="62">
        <f t="shared" si="42"/>
        <v>390.81417197867484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17.64725418798146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1.340241030960911</v>
      </c>
      <c r="DI32" s="24">
        <f t="shared" si="15"/>
        <v>18.987495218942371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196</v>
      </c>
      <c r="L33" s="13">
        <f>VLOOKUP(A33,'Données projet'!$A$35:$I$55,9,0)</f>
        <v>6.8</v>
      </c>
      <c r="M33" s="13">
        <f t="array" ref="M33">INDEX(L:L,MIN(IF(ISNUMBER(L33:L229),ROW(L33:L229),"")))</f>
        <v>6.8</v>
      </c>
      <c r="N33" s="14">
        <f>IF('Données projet'!$A$36&gt;35,N32+M33-V32,IF(A33&lt;'Données projet'!$A$36,$K$205^A33,IF(A33='Données projet'!$A$36,'Données projet'!$B$36,N32+M33-V32)))</f>
        <v>196.00000000000009</v>
      </c>
      <c r="O33" s="14">
        <f>N33*VLOOKUP('Données projet'!$B$9,Paramètres!$A$1:$I$89,3,0)*VLOOKUP('Données projet'!$B$9,Paramètres!$A$1:$I$89,5,0)</f>
        <v>177.34080000000006</v>
      </c>
      <c r="P33" s="14">
        <f t="shared" si="33"/>
        <v>44.730051658603102</v>
      </c>
      <c r="Q33" s="22">
        <f t="shared" si="2"/>
        <v>386.77339997206712</v>
      </c>
      <c r="R33" s="62">
        <f t="shared" si="0"/>
        <v>625.88082490510908</v>
      </c>
      <c r="S33" s="62">
        <f ca="1">AVERAGE(OFFSET($R$3,0,0,'Données projet'!$E$9+1,1))-AVERAGE(OFFSET($H$3,0,0,'Données projet'!$E$9+1,1))</f>
        <v>312.43110610485337</v>
      </c>
      <c r="T33" s="62">
        <f t="shared" si="34"/>
        <v>442.54749157177571</v>
      </c>
      <c r="U33" s="16">
        <f>IF(ISNA(VLOOKUP(A33,'Données projet'!$A$35:$I$55,3,0)),0,VLOOKUP(A33,'Données projet'!$A$35:$I$55,3,0))</f>
        <v>6</v>
      </c>
      <c r="V33" s="16">
        <f>IF(ISNA(VLOOKUP(A33,'Données projet'!$A$35:$I$55,4,0)),0,VLOOKUP(A33,'Données projet'!$A$35:$I$55,4,0))</f>
        <v>9</v>
      </c>
      <c r="W33" s="17">
        <f>IF(ISNA(VLOOKUP(A33,'Données projet'!$A$35:$I$55,5,0)),0%,VLOOKUP(A33,'Données projet'!$A$35:$I$55,5,0)*VLOOKUP('Données projet'!$B$9,Paramètres!$A$1:$I$89,7,0))</f>
        <v>0.06</v>
      </c>
      <c r="X33" s="17">
        <f>IF(ISNA(VLOOKUP(A33,'Données projet'!$A$35:$I$55,6,0)),0%,VLOOKUP(A33,'Données projet'!$A$35:$I$55,6,0)*VLOOKUP('Données projet'!$B$9,Paramètres!$A$1:$I$89,7,0))</f>
        <v>0.105</v>
      </c>
      <c r="Y33" s="17">
        <f>IF(ISNA(VLOOKUP(A33,'Données projet'!$A$35:$I$55,7,0)),0%,VLOOKUP(A33,'Données projet'!$A$35:$I$55,7,0))</f>
        <v>0.5</v>
      </c>
      <c r="Z33" s="23">
        <f>EXP(-LN(2)/35)*Z32+(1-EXP(-LN(2)/35))/(LN(2)/35)*V33*W33*VLOOKUP('Données projet'!$B$9,Paramètres!$A$1:$I$89,3,0)*0.475*44/12</f>
        <v>0.54012398367676318</v>
      </c>
      <c r="AA33" s="23">
        <f>EXP(-LN(2)/25)*AA32+(1-EXP(-LN(2)/25))/(LN(2)/25)*Calculateur!V33*Calculateur!X33*VLOOKUP('Données projet'!$B$9,Paramètres!$A$1:$I$89,3,0)*0.475*44/12</f>
        <v>0.94149529206189664</v>
      </c>
      <c r="AB33" s="23">
        <f>EXP(-LN(2)/2)*AB32+(1-EXP(-LN(2)/2))/(LN(2)/2)*V33*Y33*VLOOKUP('Données projet'!$B$9,Paramètres!$A$1:$I$89,3,0)*0.475*44/12</f>
        <v>3.8416641855072982</v>
      </c>
      <c r="AC33" s="24">
        <f t="shared" si="3"/>
        <v>5.3232834612459579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121</v>
      </c>
      <c r="AG33" s="13">
        <f>VLOOKUP(A33,'Données projet'!$A$61:$I$81,9,0)</f>
        <v>9.1999999999999993</v>
      </c>
      <c r="AH33" s="13">
        <f t="array" ref="AH33">INDEX(AG:AG,MIN(IF(ISNUMBER(AG33:AG229),ROW(AG33:AG229),"")))</f>
        <v>9.1999999999999993</v>
      </c>
      <c r="AI33" s="14">
        <f>IF('Données projet'!$A$62&gt;35,AI32+AH33-AQ32,IF(A33&lt;'Données projet'!$A$62,$AF$205^A33,IF(A33='Données projet'!$A$62,'Données projet'!$B$62,AI32+AH33-AQ32)))</f>
        <v>121.00000000000003</v>
      </c>
      <c r="AJ33" s="14">
        <f>AI33*VLOOKUP('Données projet'!$B$10,Paramètres!$A$1:$I$89,3,0)*VLOOKUP('Données projet'!$B$10,Paramètres!$A$1:$I$89,5,0)</f>
        <v>101.93040000000003</v>
      </c>
      <c r="AK33" s="14">
        <f t="shared" si="35"/>
        <v>27.421375718582158</v>
      </c>
      <c r="AL33" s="22">
        <f t="shared" si="4"/>
        <v>225.28767604319731</v>
      </c>
      <c r="AM33" s="62">
        <f t="shared" si="5"/>
        <v>464.39510097623929</v>
      </c>
      <c r="AN33" s="62">
        <f ca="1">AVERAGE(OFFSET($AM$3,0,0,'Données projet'!$E$10+1,1))-AVERAGE(OFFSET($H$3,0,0,'Données projet'!$E$10+1,1))</f>
        <v>445.02659128831181</v>
      </c>
      <c r="AO33" s="62">
        <f t="shared" si="36"/>
        <v>281.06176764290592</v>
      </c>
      <c r="AP33" s="16">
        <f>IF(ISNA(VLOOKUP(A33,'Données projet'!$A$61:$I$81,3,0)),0,VLOOKUP(A33,'Données projet'!$A$61:$I$81,3,0))</f>
        <v>3</v>
      </c>
      <c r="AQ33" s="16">
        <f>IF(ISNA(VLOOKUP(A33,'Données projet'!$A$61:$I$81,4,0)),0,VLOOKUP(A33,'Données projet'!$A$61:$I$81,4,0))</f>
        <v>28</v>
      </c>
      <c r="AR33" s="17">
        <f>IF(ISNA(VLOOKUP(A33,'Données projet'!$A$61:$I$81,5,0)),0%,VLOOKUP(A33,'Données projet'!$A$61:$I$81,5,0)*VLOOKUP('Données projet'!$B$10,Paramètres!$A$1:$I$89,7,0))</f>
        <v>8.6000000000000007E-2</v>
      </c>
      <c r="AS33" s="17">
        <f>IF(ISNA(VLOOKUP(A33,'Données projet'!$A$61:$I$81,6,0)),0%,VLOOKUP(A33,'Données projet'!$A$61:$I$81,6,0)*VLOOKUP('Données projet'!$B$10,Paramètres!$A$1:$I$89,7,0))</f>
        <v>4.3000000000000003E-2</v>
      </c>
      <c r="AT33" s="17">
        <f>IF(ISNA(VLOOKUP(A33,'Données projet'!$A$61:$I$81,7,0)),0%,VLOOKUP(A33,'Données projet'!$A$61:$I$81,7,0))</f>
        <v>0.7</v>
      </c>
      <c r="AU33" s="23">
        <f>EXP(-LN(2)/35)*AU32+(1-EXP(-LN(2)/35))/(LN(2)/35)*AQ33*AR33*VLOOKUP('Données projet'!$B$10,Paramètres!$A$1:$I$89,3,0)*0.475*44/12</f>
        <v>4.6676728949566009</v>
      </c>
      <c r="AV33" s="23">
        <f>EXP(-LN(2)/25)*AV32+(1-EXP(-LN(2)/25))/(LN(2)/25)*Calculateur!AQ33*Calculateur!AS33*VLOOKUP('Données projet'!$B$10,Paramètres!$A$1:$I$89,3,0)*0.475*44/12</f>
        <v>1.1168082085148019</v>
      </c>
      <c r="AW33" s="23">
        <f>EXP(-LN(2)/2)*AW32+(1-EXP(-LN(2)/2))/(LN(2)/2)*AQ33*AT33*VLOOKUP('Données projet'!$B$10,Paramètres!$A$1:$I$89,3,0)*0.475*44/12</f>
        <v>18.845189322373638</v>
      </c>
      <c r="AX33" s="23">
        <f t="shared" si="6"/>
        <v>24.629670425845042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121</v>
      </c>
      <c r="BB33" s="13">
        <f>VLOOKUP(A33,'Données projet'!$A$87:$I$107,9,0)</f>
        <v>9.1999999999999993</v>
      </c>
      <c r="BC33" s="13">
        <f t="array" ref="BC33">INDEX(BB:BB,MIN(IF(ISNUMBER(BB33:BB229),ROW(BB33:BB229),"")))</f>
        <v>9.1999999999999993</v>
      </c>
      <c r="BD33" s="13">
        <f>IF('Données projet'!$A$88&gt;35,BD32+BC33-BL32,IF(A33&lt;'Données projet'!$A$88,$BA$205^A33,IF(A33='Données projet'!$A$88,'Données projet'!$B$88,BD32+BC33-BL32)))</f>
        <v>121.00000000000003</v>
      </c>
      <c r="BE33" s="14">
        <f>BD33*VLOOKUP('Données projet'!$B$11,Paramètres!$A$1:$I$89,3,0)*VLOOKUP('Données projet'!$B$11,Paramètres!$A$1:$I$89,5,0)</f>
        <v>109.48080000000002</v>
      </c>
      <c r="BF33" s="14">
        <f t="shared" si="37"/>
        <v>29.208623339903898</v>
      </c>
      <c r="BG33" s="22">
        <f t="shared" si="7"/>
        <v>241.55074565033269</v>
      </c>
      <c r="BH33" s="62">
        <f t="shared" si="8"/>
        <v>480.65817058337467</v>
      </c>
      <c r="BI33" s="62">
        <f ca="1">AVERAGE(OFFSET($BH$3,0,0,'Données projet'!$E$11+1,1))-AVERAGE(OFFSET($H$3,0,0,'Données projet'!$E$11+1,1))</f>
        <v>472.46893084347687</v>
      </c>
      <c r="BJ33" s="62">
        <f t="shared" si="38"/>
        <v>297.32483725004136</v>
      </c>
      <c r="BK33" s="16">
        <f>IF(ISNA(VLOOKUP(A33,'Données projet'!$A$87:$I$107,3,0)),0,VLOOKUP(A33,'Données projet'!$A$87:$I$107,3,0))</f>
        <v>3</v>
      </c>
      <c r="BL33" s="16">
        <f>IF(ISNA(VLOOKUP(A33,'Données projet'!$A$87:$I$107,4,0)),0,VLOOKUP(A33,'Données projet'!$A$87:$I$107,4,0))</f>
        <v>28</v>
      </c>
      <c r="BM33" s="17">
        <f>IF(ISNA(VLOOKUP(A33,'Données projet'!$A$87:$I$107,5,0)),0%,VLOOKUP(A33,'Données projet'!$A$87:$I$107,5,0)*VLOOKUP('Données projet'!$B$11,Paramètres!$A$1:$I$89,7,0))</f>
        <v>8.6000000000000007E-2</v>
      </c>
      <c r="BN33" s="17">
        <f>IF(ISNA(VLOOKUP(A33,'Données projet'!$A$87:$I$107,6,0)),0%,VLOOKUP(A33,'Données projet'!$A$87:$I$107,6,0)*VLOOKUP('Données projet'!$B$11,Paramètres!$A$1:$I$89,7,0))</f>
        <v>4.3000000000000003E-2</v>
      </c>
      <c r="BO33" s="17">
        <f>IF(ISNA(VLOOKUP(A33,'Données projet'!$A$87:$I$107,7,0)),0%,VLOOKUP(A33,'Données projet'!$A$87:$I$107,7,0))</f>
        <v>0.7</v>
      </c>
      <c r="BP33" s="23">
        <f>EXP(-LN(2)/35)*BP32+(1-EXP(-LN(2)/35))/(LN(2)/35)*BL33*BM33*VLOOKUP('Données projet'!$B$11,Paramètres!$A$1:$I$89,3,0)*0.475*44/12</f>
        <v>5.0134264427311619</v>
      </c>
      <c r="BQ33" s="23">
        <f>EXP(-LN(2)/25)*BQ32+(1-EXP(-LN(2)/25))/(LN(2)/25)*Calculateur!BL33*Calculateur!BN33*VLOOKUP('Données projet'!$B$11,Paramètres!$A$1:$I$89,3,0)*0.475*44/12</f>
        <v>1.1995347424788612</v>
      </c>
      <c r="BR33" s="23">
        <f>EXP(-LN(2)/2)*BR32+(1-EXP(-LN(2)/2))/(LN(2)/2)*BL33*BO33*VLOOKUP('Données projet'!$B$11,Paramètres!$A$1:$I$89,3,0)*0.475*44/12</f>
        <v>20.241129272179087</v>
      </c>
      <c r="BS33" s="24">
        <f t="shared" si="9"/>
        <v>26.45409045738911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250</v>
      </c>
      <c r="BW33" s="13">
        <f>VLOOKUP(A33,'Données projet'!$A$113:$I$133,9,0)</f>
        <v>9.1999999999999993</v>
      </c>
      <c r="BX33" s="13">
        <f t="array" ref="BX33">INDEX(BW:BW,MIN(IF(ISNUMBER(BW33:BW229),ROW(BW33:BW229),"")))</f>
        <v>9.1999999999999993</v>
      </c>
      <c r="BY33" s="13">
        <f>IF('Données projet'!$A$114&gt;35,BY32+BX33-CG32,IF(A33&lt;'Données projet'!$A$114,$BV$205^A33,IF(A33='Données projet'!$A$114,'Données projet'!$B$114,BY32+BX33-CG32)))</f>
        <v>249.99999999999989</v>
      </c>
      <c r="BZ33" s="14">
        <f>BY33*VLOOKUP('Données projet'!$B$12,Paramètres!$A$1:$I$89,3,0)*VLOOKUP('Données projet'!$B$12,Paramètres!$A$1:$I$89,5,0)</f>
        <v>116.99999999999994</v>
      </c>
      <c r="CA33" s="14">
        <f t="shared" si="39"/>
        <v>30.974270896484118</v>
      </c>
      <c r="CB33" s="22">
        <f t="shared" si="10"/>
        <v>257.72185514470976</v>
      </c>
      <c r="CC33" s="62">
        <f t="shared" si="11"/>
        <v>496.82928007775172</v>
      </c>
      <c r="CD33" s="62">
        <f ca="1">AVERAGE(OFFSET($CC$3,0,0,'Données projet'!$E$12+1,1))-AVERAGE(OFFSET($H$3,0,0,'Données projet'!$E$12+1,1))</f>
        <v>426.87921482911719</v>
      </c>
      <c r="CE33" s="62">
        <f t="shared" si="40"/>
        <v>313.49594674441835</v>
      </c>
      <c r="CF33" s="16">
        <f>IF(ISNA(VLOOKUP(A33,'Données projet'!$A$113:$I$133,3,0)),0,VLOOKUP(A33,'Données projet'!$A$113:$I$133,3,0))</f>
        <v>2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0.44000000000000006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0.2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256</v>
      </c>
      <c r="CR33" s="13">
        <f>VLOOKUP(A33,'Données projet'!$A$139:$I$159,9,0)</f>
        <v>17.600000000000001</v>
      </c>
      <c r="CS33" s="13">
        <f t="array" ref="CS33">INDEX(CR:CR,MIN(IF(ISNUMBER(CR33:CR229),ROW(CR33:CR229),"")))</f>
        <v>17.600000000000001</v>
      </c>
      <c r="CT33" s="13">
        <f>IF('Données projet'!$A$140&gt;35,CT32+CS33-DB32,IF(A33&lt;'Données projet'!$A$140,$CQ$205^A33,IF(A33='Données projet'!$A$140,'Données projet'!$B$140,CT32+CS33-DB32)))</f>
        <v>256</v>
      </c>
      <c r="CU33" s="18">
        <f>CT33*VLOOKUP('Données projet'!$B$13,Paramètres!$A$1:$I$89,3,0)*VLOOKUP('Données projet'!$B$13,Paramètres!$A$1:$I$89,5,0)</f>
        <v>153.08800000000002</v>
      </c>
      <c r="CV33" s="14">
        <f t="shared" si="41"/>
        <v>39.27951026543515</v>
      </c>
      <c r="CW33" s="22">
        <f t="shared" si="13"/>
        <v>335.04008037896625</v>
      </c>
      <c r="CX33" s="62">
        <f t="shared" si="14"/>
        <v>574.14750531200821</v>
      </c>
      <c r="CY33" s="62">
        <f ca="1">AVERAGE(OFFSET($CX$3,0,0,'Données projet'!$E$13+1,1))-AVERAGE(OFFSET($H$3,0,0,'Données projet'!$E$13+1,1))</f>
        <v>367.11994336501527</v>
      </c>
      <c r="CZ33" s="62">
        <f t="shared" si="42"/>
        <v>390.81417197867484</v>
      </c>
      <c r="DA33" s="16">
        <f>IF(ISNA(VLOOKUP(A33,'Données projet'!$A$139:$I$159,3,0)),0,VLOOKUP(A33,'Données projet'!$A$139:$I$159,3,0))</f>
        <v>4</v>
      </c>
      <c r="DB33" s="16">
        <f>IF(ISNA(VLOOKUP(A33,'Données projet'!$A$139:$I$159,4,0)),0,VLOOKUP(A33,'Données projet'!$A$139:$I$159,4,0))</f>
        <v>54</v>
      </c>
      <c r="DC33" s="17">
        <f>IF(ISNA(VLOOKUP(A33,'Données projet'!$A$139:$I$159,5,0)),0%,VLOOKUP(A33,'Données projet'!$A$139:$I$159,5,0)*VLOOKUP('Données projet'!$B$13,Paramètres!$A$1:$I$89,7,0))</f>
        <v>0.40500000000000003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0.1</v>
      </c>
      <c r="DF33" s="23">
        <f>EXP(-LN(2)/35)*DF32+(1-EXP(-LN(2)/35))/(LN(2)/35)*DB33*DC33*VLOOKUP('Données projet'!$B$13,Paramètres!$A$1:$I$89,3,0)*0.475*44/12</f>
        <v>34.650357152114083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4.6038980565893741</v>
      </c>
      <c r="DI33" s="24">
        <f t="shared" si="15"/>
        <v>39.254255208703455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5.8</v>
      </c>
      <c r="N34" s="14">
        <f>IF('Données projet'!$A$36&gt;35,N33+M34-V33,IF(A34&lt;'Données projet'!$A$36,$K$205^A34,IF(A34='Données projet'!$A$36,'Données projet'!$B$36,N33+M34-V33)))</f>
        <v>192.8000000000001</v>
      </c>
      <c r="O34" s="14">
        <f>N34*VLOOKUP('Données projet'!$B$9,Paramètres!$A$1:$I$89,3,0)*VLOOKUP('Données projet'!$B$9,Paramètres!$A$1:$I$89,5,0)</f>
        <v>174.4454400000001</v>
      </c>
      <c r="P34" s="14">
        <f t="shared" si="33"/>
        <v>44.084153549607706</v>
      </c>
      <c r="Q34" s="22">
        <f t="shared" si="2"/>
        <v>380.60570876556693</v>
      </c>
      <c r="R34" s="62">
        <f t="shared" si="0"/>
        <v>620.65383197838446</v>
      </c>
      <c r="S34" s="62">
        <f ca="1">AVERAGE(OFFSET($R$3,0,0,'Données projet'!$E$9+1,1))-AVERAGE(OFFSET($H$3,0,0,'Données projet'!$E$9+1,1))</f>
        <v>312.43110610485337</v>
      </c>
      <c r="T34" s="62">
        <f t="shared" si="34"/>
        <v>442.54749157177571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0.52953248179996204</v>
      </c>
      <c r="AA34" s="23">
        <f>EXP(-LN(2)/25)*AA33+(1-EXP(-LN(2)/25))/(LN(2)/25)*Calculateur!V34*Calculateur!X34*VLOOKUP('Données projet'!$B$9,Paramètres!$A$1:$I$89,3,0)*0.475*44/12</f>
        <v>0.91575005378937846</v>
      </c>
      <c r="AB34" s="23">
        <f>EXP(-LN(2)/2)*AB33+(1-EXP(-LN(2)/2))/(LN(2)/2)*V34*Y34*VLOOKUP('Données projet'!$B$9,Paramètres!$A$1:$I$89,3,0)*0.475*44/12</f>
        <v>2.7164667966137057</v>
      </c>
      <c r="AC34" s="24">
        <f t="shared" si="3"/>
        <v>4.1617493322030459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10.8</v>
      </c>
      <c r="AI34" s="14">
        <f>IF('Données projet'!$A$62&gt;35,AI33+AH34-AQ33,IF(A34&lt;'Données projet'!$A$62,$AF$205^A34,IF(A34='Données projet'!$A$62,'Données projet'!$B$62,AI33+AH34-AQ33)))</f>
        <v>103.80000000000004</v>
      </c>
      <c r="AJ34" s="14">
        <f>AI34*VLOOKUP('Données projet'!$B$10,Paramètres!$A$1:$I$89,3,0)*VLOOKUP('Données projet'!$B$10,Paramètres!$A$1:$I$89,5,0)</f>
        <v>87.441120000000041</v>
      </c>
      <c r="AK34" s="14">
        <f t="shared" si="35"/>
        <v>23.947052577122424</v>
      </c>
      <c r="AL34" s="22">
        <f t="shared" si="4"/>
        <v>194.0010672384883</v>
      </c>
      <c r="AM34" s="62">
        <f t="shared" si="5"/>
        <v>434.04919045130589</v>
      </c>
      <c r="AN34" s="62">
        <f ca="1">AVERAGE(OFFSET($AM$3,0,0,'Données projet'!$E$10+1,1))-AVERAGE(OFFSET($H$3,0,0,'Données projet'!$E$10+1,1))</f>
        <v>445.02659128831181</v>
      </c>
      <c r="AO34" s="62">
        <f t="shared" si="36"/>
        <v>281.06176764290592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4.5761426764858504</v>
      </c>
      <c r="AV34" s="23">
        <f>EXP(-LN(2)/25)*AV33+(1-EXP(-LN(2)/25))/(LN(2)/25)*Calculateur!AQ34*Calculateur!AS34*VLOOKUP('Données projet'!$B$10,Paramètres!$A$1:$I$89,3,0)*0.475*44/12</f>
        <v>1.0862690293225734</v>
      </c>
      <c r="AW34" s="23">
        <f>EXP(-LN(2)/2)*AW33+(1-EXP(-LN(2)/2))/(LN(2)/2)*AQ34*AT34*VLOOKUP('Données projet'!$B$10,Paramètres!$A$1:$I$89,3,0)*0.475*44/12</f>
        <v>13.325561162594719</v>
      </c>
      <c r="AX34" s="23">
        <f t="shared" si="6"/>
        <v>18.987972868403141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10.8</v>
      </c>
      <c r="BD34" s="13">
        <f>IF('Données projet'!$A$88&gt;35,BD33+BC34-BL33,IF(A34&lt;'Données projet'!$A$88,$BA$205^A34,IF(A34='Données projet'!$A$88,'Données projet'!$B$88,BD33+BC34-BL33)))</f>
        <v>103.80000000000004</v>
      </c>
      <c r="BE34" s="14">
        <f>BD34*VLOOKUP('Données projet'!$B$11,Paramètres!$A$1:$I$89,3,0)*VLOOKUP('Données projet'!$B$11,Paramètres!$A$1:$I$89,5,0)</f>
        <v>93.91824000000004</v>
      </c>
      <c r="BF34" s="14">
        <f t="shared" si="37"/>
        <v>25.507853654186022</v>
      </c>
      <c r="BG34" s="22">
        <f t="shared" si="7"/>
        <v>208.00044644770739</v>
      </c>
      <c r="BH34" s="62">
        <f t="shared" si="8"/>
        <v>448.04856966052495</v>
      </c>
      <c r="BI34" s="62">
        <f ca="1">AVERAGE(OFFSET($BH$3,0,0,'Données projet'!$E$11+1,1))-AVERAGE(OFFSET($H$3,0,0,'Données projet'!$E$11+1,1))</f>
        <v>472.46893084347687</v>
      </c>
      <c r="BJ34" s="62">
        <f t="shared" si="38"/>
        <v>297.32483725004136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4.9151162080773929</v>
      </c>
      <c r="BQ34" s="23">
        <f>EXP(-LN(2)/25)*BQ33+(1-EXP(-LN(2)/25))/(LN(2)/25)*Calculateur!BL34*Calculateur!BN34*VLOOKUP('Données projet'!$B$11,Paramètres!$A$1:$I$89,3,0)*0.475*44/12</f>
        <v>1.1667334018649862</v>
      </c>
      <c r="BR34" s="23">
        <f>EXP(-LN(2)/2)*BR33+(1-EXP(-LN(2)/2))/(LN(2)/2)*BL34*BO34*VLOOKUP('Données projet'!$B$11,Paramètres!$A$1:$I$89,3,0)*0.475*44/12</f>
        <v>14.31263976723136</v>
      </c>
      <c r="BS34" s="24">
        <f t="shared" si="9"/>
        <v>20.394489377173741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10</v>
      </c>
      <c r="BY34" s="13">
        <f>IF('Données projet'!$A$114&gt;35,BY33+BX34-CG33,IF(A34&lt;'Données projet'!$A$114,$BV$205^A34,IF(A34='Données projet'!$A$114,'Données projet'!$B$114,BY33+BX34-CG33)))</f>
        <v>259.99999999999989</v>
      </c>
      <c r="BZ34" s="14">
        <f>BY34*VLOOKUP('Données projet'!$B$12,Paramètres!$A$1:$I$89,3,0)*VLOOKUP('Données projet'!$B$12,Paramètres!$A$1:$I$89,5,0)</f>
        <v>121.67999999999994</v>
      </c>
      <c r="CA34" s="14">
        <f t="shared" si="39"/>
        <v>32.066514091456256</v>
      </c>
      <c r="CB34" s="22">
        <f t="shared" si="10"/>
        <v>267.77517870928619</v>
      </c>
      <c r="CC34" s="62">
        <f t="shared" si="11"/>
        <v>507.82330192210372</v>
      </c>
      <c r="CD34" s="62">
        <f ca="1">AVERAGE(OFFSET($CC$3,0,0,'Données projet'!$E$12+1,1))-AVERAGE(OFFSET($H$3,0,0,'Données projet'!$E$12+1,1))</f>
        <v>426.87921482911719</v>
      </c>
      <c r="CE34" s="62">
        <f t="shared" si="40"/>
        <v>313.49594674441835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18.8</v>
      </c>
      <c r="CT34" s="13">
        <f>IF('Données projet'!$A$140&gt;35,CT33+CS34-DB33,IF(A34&lt;'Données projet'!$A$140,$CQ$205^A34,IF(A34='Données projet'!$A$140,'Données projet'!$B$140,CT33+CS34-DB33)))</f>
        <v>220.8</v>
      </c>
      <c r="CU34" s="18">
        <f>CT34*VLOOKUP('Données projet'!$B$13,Paramètres!$A$1:$I$89,3,0)*VLOOKUP('Données projet'!$B$13,Paramètres!$A$1:$I$89,5,0)</f>
        <v>132.03840000000002</v>
      </c>
      <c r="CV34" s="14">
        <f t="shared" si="41"/>
        <v>34.466946374534373</v>
      </c>
      <c r="CW34" s="22">
        <f t="shared" si="13"/>
        <v>289.99681160231404</v>
      </c>
      <c r="CX34" s="62">
        <f t="shared" si="14"/>
        <v>530.04493481513157</v>
      </c>
      <c r="CY34" s="62">
        <f ca="1">AVERAGE(OFFSET($CX$3,0,0,'Données projet'!$E$13+1,1))-AVERAGE(OFFSET($H$3,0,0,'Données projet'!$E$13+1,1))</f>
        <v>367.11994336501527</v>
      </c>
      <c r="CZ34" s="62">
        <f t="shared" si="42"/>
        <v>390.81417197867484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33.970884782992115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3.2554475357059141</v>
      </c>
      <c r="DI34" s="24">
        <f t="shared" si="15"/>
        <v>37.226332318698027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5.8</v>
      </c>
      <c r="N35" s="14">
        <f>IF('Données projet'!$A$36&gt;35,N34+M35-V34,IF(A35&lt;'Données projet'!$A$36,$K$205^A35,IF(A35='Données projet'!$A$36,'Données projet'!$B$36,N34+M35-V34)))</f>
        <v>198.60000000000011</v>
      </c>
      <c r="O35" s="14">
        <f>N35*VLOOKUP('Données projet'!$B$9,Paramètres!$A$1:$I$89,3,0)*VLOOKUP('Données projet'!$B$9,Paramètres!$A$1:$I$89,5,0)</f>
        <v>179.6932800000001</v>
      </c>
      <c r="P35" s="14">
        <f t="shared" si="33"/>
        <v>45.253939845742352</v>
      </c>
      <c r="Q35" s="22">
        <f t="shared" ref="Q35:Q66" si="53">(O35+P35)*0.475*44/12</f>
        <v>391.78307456466808</v>
      </c>
      <c r="R35" s="62">
        <f t="shared" si="0"/>
        <v>632.75557704519338</v>
      </c>
      <c r="S35" s="62">
        <f ca="1">AVERAGE(OFFSET($R$3,0,0,'Données projet'!$E$9+1,1))-AVERAGE(OFFSET($H$3,0,0,'Données projet'!$E$9+1,1))</f>
        <v>312.43110610485337</v>
      </c>
      <c r="T35" s="62">
        <f t="shared" si="34"/>
        <v>442.54749157177571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0.51914867281478672</v>
      </c>
      <c r="AA35" s="23">
        <f>EXP(-LN(2)/25)*AA34+(1-EXP(-LN(2)/25))/(LN(2)/25)*Calculateur!V35*Calculateur!X35*VLOOKUP('Données projet'!$B$9,Paramètres!$A$1:$I$89,3,0)*0.475*44/12</f>
        <v>0.8907088204113055</v>
      </c>
      <c r="AB35" s="23">
        <f>EXP(-LN(2)/2)*AB34+(1-EXP(-LN(2)/2))/(LN(2)/2)*V35*Y35*VLOOKUP('Données projet'!$B$9,Paramètres!$A$1:$I$89,3,0)*0.475*44/12</f>
        <v>1.9208320927536495</v>
      </c>
      <c r="AC35" s="24">
        <f t="shared" si="3"/>
        <v>3.3306895859797416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10.8</v>
      </c>
      <c r="AI35" s="14">
        <f>IF('Données projet'!$A$62&gt;35,AI34+AH35-AQ34,IF(A35&lt;'Données projet'!$A$62,$AF$205^A35,IF(A35='Données projet'!$A$62,'Données projet'!$B$62,AI34+AH35-AQ34)))</f>
        <v>114.60000000000004</v>
      </c>
      <c r="AJ35" s="14">
        <f>AI35*VLOOKUP('Données projet'!$B$10,Paramètres!$A$1:$I$89,3,0)*VLOOKUP('Données projet'!$B$10,Paramètres!$A$1:$I$89,5,0)</f>
        <v>96.539040000000043</v>
      </c>
      <c r="AK35" s="14">
        <f t="shared" si="35"/>
        <v>26.135788937894091</v>
      </c>
      <c r="AL35" s="22">
        <f t="shared" si="4"/>
        <v>213.65866040016559</v>
      </c>
      <c r="AM35" s="62">
        <f t="shared" si="5"/>
        <v>454.63116288069091</v>
      </c>
      <c r="AN35" s="62">
        <f ca="1">AVERAGE(OFFSET($AM$3,0,0,'Données projet'!$E$10+1,1))-AVERAGE(OFFSET($H$3,0,0,'Données projet'!$E$10+1,1))</f>
        <v>445.02659128831181</v>
      </c>
      <c r="AO35" s="62">
        <f t="shared" si="36"/>
        <v>281.06176764290592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4.4864073097713906</v>
      </c>
      <c r="AV35" s="23">
        <f>EXP(-LN(2)/25)*AV34+(1-EXP(-LN(2)/25))/(LN(2)/25)*Calculateur!AQ35*Calculateur!AS35*VLOOKUP('Données projet'!$B$10,Paramètres!$A$1:$I$89,3,0)*0.475*44/12</f>
        <v>1.0565649455913422</v>
      </c>
      <c r="AW35" s="23">
        <f>EXP(-LN(2)/2)*AW34+(1-EXP(-LN(2)/2))/(LN(2)/2)*AQ35*AT35*VLOOKUP('Données projet'!$B$10,Paramètres!$A$1:$I$89,3,0)*0.475*44/12</f>
        <v>9.422594661186821</v>
      </c>
      <c r="AX35" s="23">
        <f t="shared" si="6"/>
        <v>14.965566916549554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10.8</v>
      </c>
      <c r="BD35" s="13">
        <f>IF('Données projet'!$A$88&gt;35,BD34+BC35-BL34,IF(A35&lt;'Données projet'!$A$88,$BA$205^A35,IF(A35='Données projet'!$A$88,'Données projet'!$B$88,BD34+BC35-BL34)))</f>
        <v>114.60000000000004</v>
      </c>
      <c r="BE35" s="14">
        <f>BD35*VLOOKUP('Données projet'!$B$11,Paramètres!$A$1:$I$89,3,0)*VLOOKUP('Données projet'!$B$11,Paramètres!$A$1:$I$89,5,0)</f>
        <v>103.69008000000004</v>
      </c>
      <c r="BF35" s="14">
        <f t="shared" si="37"/>
        <v>27.83924565319537</v>
      </c>
      <c r="BG35" s="22">
        <f t="shared" si="7"/>
        <v>229.08024217931529</v>
      </c>
      <c r="BH35" s="62">
        <f t="shared" si="8"/>
        <v>470.05274465984064</v>
      </c>
      <c r="BI35" s="62">
        <f ca="1">AVERAGE(OFFSET($BH$3,0,0,'Données projet'!$E$11+1,1))-AVERAGE(OFFSET($H$3,0,0,'Données projet'!$E$11+1,1))</f>
        <v>472.46893084347687</v>
      </c>
      <c r="BJ35" s="62">
        <f t="shared" si="38"/>
        <v>297.32483725004136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4.8187337771618619</v>
      </c>
      <c r="BQ35" s="23">
        <f>EXP(-LN(2)/25)*BQ34+(1-EXP(-LN(2)/25))/(LN(2)/25)*Calculateur!BL35*Calculateur!BN35*VLOOKUP('Données projet'!$B$11,Paramètres!$A$1:$I$89,3,0)*0.475*44/12</f>
        <v>1.134829015635145</v>
      </c>
      <c r="BR35" s="23">
        <f>EXP(-LN(2)/2)*BR34+(1-EXP(-LN(2)/2))/(LN(2)/2)*BL35*BO35*VLOOKUP('Données projet'!$B$11,Paramètres!$A$1:$I$89,3,0)*0.475*44/12</f>
        <v>10.120564636089545</v>
      </c>
      <c r="BS35" s="24">
        <f t="shared" si="9"/>
        <v>16.074127428886552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10</v>
      </c>
      <c r="BY35" s="13">
        <f>IF('Données projet'!$A$114&gt;35,BY34+BX35-CG34,IF(A35&lt;'Données projet'!$A$114,$BV$205^A35,IF(A35='Données projet'!$A$114,'Données projet'!$B$114,BY34+BX35-CG34)))</f>
        <v>269.99999999999989</v>
      </c>
      <c r="BZ35" s="14">
        <f>BY35*VLOOKUP('Données projet'!$B$12,Paramètres!$A$1:$I$89,3,0)*VLOOKUP('Données projet'!$B$12,Paramètres!$A$1:$I$89,5,0)</f>
        <v>126.35999999999996</v>
      </c>
      <c r="CA35" s="14">
        <f t="shared" si="39"/>
        <v>33.153877056327453</v>
      </c>
      <c r="CB35" s="22">
        <f t="shared" si="10"/>
        <v>277.82000253977026</v>
      </c>
      <c r="CC35" s="62">
        <f t="shared" si="11"/>
        <v>518.79250502029561</v>
      </c>
      <c r="CD35" s="62">
        <f ca="1">AVERAGE(OFFSET($CC$3,0,0,'Données projet'!$E$12+1,1))-AVERAGE(OFFSET($H$3,0,0,'Données projet'!$E$12+1,1))</f>
        <v>426.87921482911719</v>
      </c>
      <c r="CE35" s="62">
        <f t="shared" si="40"/>
        <v>313.49594674441835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18.8</v>
      </c>
      <c r="CT35" s="13">
        <f>IF('Données projet'!$A$140&gt;35,CT34+CS35-DB34,IF(A35&lt;'Données projet'!$A$140,$CQ$205^A35,IF(A35='Données projet'!$A$140,'Données projet'!$B$140,CT34+CS35-DB34)))</f>
        <v>239.60000000000002</v>
      </c>
      <c r="CU35" s="18">
        <f>CT35*VLOOKUP('Données projet'!$B$13,Paramètres!$A$1:$I$89,3,0)*VLOOKUP('Données projet'!$B$13,Paramètres!$A$1:$I$89,5,0)</f>
        <v>143.28080000000003</v>
      </c>
      <c r="CV35" s="14">
        <f t="shared" si="41"/>
        <v>37.047574465948976</v>
      </c>
      <c r="CW35" s="22">
        <f t="shared" si="13"/>
        <v>314.07191886152782</v>
      </c>
      <c r="CX35" s="62">
        <f t="shared" si="14"/>
        <v>555.04442134205317</v>
      </c>
      <c r="CY35" s="62">
        <f ca="1">AVERAGE(OFFSET($CX$3,0,0,'Données projet'!$E$13+1,1))-AVERAGE(OFFSET($H$3,0,0,'Données projet'!$E$13+1,1))</f>
        <v>367.11994336501527</v>
      </c>
      <c r="CZ35" s="62">
        <f t="shared" si="42"/>
        <v>390.81417197867484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33.304736452591406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2.3019490282946875</v>
      </c>
      <c r="DI35" s="24">
        <f t="shared" si="15"/>
        <v>35.606685480886092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5.8</v>
      </c>
      <c r="N36" s="14">
        <f>IF('Données projet'!$A$36&gt;35,N35+M36-V35,IF(A36&lt;'Données projet'!$A$36,$K$205^A36,IF(A36='Données projet'!$A$36,'Données projet'!$B$36,N35+M36-V35)))</f>
        <v>204.40000000000012</v>
      </c>
      <c r="O36" s="14">
        <f>N36*VLOOKUP('Données projet'!$B$9,Paramètres!$A$1:$I$89,3,0)*VLOOKUP('Données projet'!$B$9,Paramètres!$A$1:$I$89,5,0)</f>
        <v>184.9411200000001</v>
      </c>
      <c r="P36" s="14">
        <f t="shared" si="33"/>
        <v>46.419755730249477</v>
      </c>
      <c r="Q36" s="22">
        <f t="shared" si="53"/>
        <v>402.95352523018465</v>
      </c>
      <c r="R36" s="62">
        <f t="shared" si="0"/>
        <v>644.83437106472536</v>
      </c>
      <c r="S36" s="62">
        <f ca="1">AVERAGE(OFFSET($R$3,0,0,'Données projet'!$E$9+1,1))-AVERAGE(OFFSET($H$3,0,0,'Données projet'!$E$9+1,1))</f>
        <v>312.43110610485337</v>
      </c>
      <c r="T36" s="62">
        <f t="shared" si="34"/>
        <v>442.54749157177571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0.50896848399031258</v>
      </c>
      <c r="AA36" s="23">
        <f>EXP(-LN(2)/25)*AA35+(1-EXP(-LN(2)/25))/(LN(2)/25)*Calculateur!V36*Calculateur!X36*VLOOKUP('Données projet'!$B$9,Paramètres!$A$1:$I$89,3,0)*0.475*44/12</f>
        <v>0.86635234087681723</v>
      </c>
      <c r="AB36" s="23">
        <f>EXP(-LN(2)/2)*AB35+(1-EXP(-LN(2)/2))/(LN(2)/2)*V36*Y36*VLOOKUP('Données projet'!$B$9,Paramètres!$A$1:$I$89,3,0)*0.475*44/12</f>
        <v>1.3582333983068531</v>
      </c>
      <c r="AC36" s="24">
        <f t="shared" si="3"/>
        <v>2.7335542231739831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10.8</v>
      </c>
      <c r="AI36" s="14">
        <f>IF('Données projet'!$A$62&gt;35,AI35+AH36-AQ35,IF(A36&lt;'Données projet'!$A$62,$AF$205^A36,IF(A36='Données projet'!$A$62,'Données projet'!$B$62,AI35+AH36-AQ35)))</f>
        <v>125.40000000000003</v>
      </c>
      <c r="AJ36" s="14">
        <f>AI36*VLOOKUP('Données projet'!$B$10,Paramètres!$A$1:$I$89,3,0)*VLOOKUP('Données projet'!$B$10,Paramètres!$A$1:$I$89,5,0)</f>
        <v>105.63696000000004</v>
      </c>
      <c r="AK36" s="14">
        <f t="shared" si="35"/>
        <v>28.300609534766192</v>
      </c>
      <c r="AL36" s="22">
        <f t="shared" si="4"/>
        <v>233.27460027305116</v>
      </c>
      <c r="AM36" s="62">
        <f t="shared" si="5"/>
        <v>475.1554461075919</v>
      </c>
      <c r="AN36" s="62">
        <f ca="1">AVERAGE(OFFSET($AM$3,0,0,'Données projet'!$E$10+1,1))-AVERAGE(OFFSET($H$3,0,0,'Données projet'!$E$10+1,1))</f>
        <v>445.02659128831181</v>
      </c>
      <c r="AO36" s="62">
        <f t="shared" si="36"/>
        <v>281.06176764290592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4.3984315988650318</v>
      </c>
      <c r="AV36" s="23">
        <f>EXP(-LN(2)/25)*AV35+(1-EXP(-LN(2)/25))/(LN(2)/25)*Calculateur!AQ36*Calculateur!AS36*VLOOKUP('Données projet'!$B$10,Paramètres!$A$1:$I$89,3,0)*0.475*44/12</f>
        <v>1.0276731215918113</v>
      </c>
      <c r="AW36" s="23">
        <f>EXP(-LN(2)/2)*AW35+(1-EXP(-LN(2)/2))/(LN(2)/2)*AQ36*AT36*VLOOKUP('Données projet'!$B$10,Paramètres!$A$1:$I$89,3,0)*0.475*44/12</f>
        <v>6.6627805812973611</v>
      </c>
      <c r="AX36" s="23">
        <f t="shared" si="6"/>
        <v>12.088885301754203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10.8</v>
      </c>
      <c r="BD36" s="13">
        <f>IF('Données projet'!$A$88&gt;35,BD35+BC36-BL35,IF(A36&lt;'Données projet'!$A$88,$BA$205^A36,IF(A36='Données projet'!$A$88,'Données projet'!$B$88,BD35+BC36-BL35)))</f>
        <v>125.40000000000003</v>
      </c>
      <c r="BE36" s="14">
        <f>BD36*VLOOKUP('Données projet'!$B$11,Paramètres!$A$1:$I$89,3,0)*VLOOKUP('Données projet'!$B$11,Paramètres!$A$1:$I$89,5,0)</f>
        <v>113.46192000000002</v>
      </c>
      <c r="BF36" s="14">
        <f t="shared" si="37"/>
        <v>30.145163126535493</v>
      </c>
      <c r="BG36" s="22">
        <f t="shared" si="7"/>
        <v>250.11566977871598</v>
      </c>
      <c r="BH36" s="62">
        <f t="shared" si="8"/>
        <v>491.99651561325675</v>
      </c>
      <c r="BI36" s="62">
        <f ca="1">AVERAGE(OFFSET($BH$3,0,0,'Données projet'!$E$11+1,1))-AVERAGE(OFFSET($H$3,0,0,'Données projet'!$E$11+1,1))</f>
        <v>472.46893084347687</v>
      </c>
      <c r="BJ36" s="62">
        <f t="shared" si="38"/>
        <v>297.32483725004136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4.724241346929106</v>
      </c>
      <c r="BQ36" s="23">
        <f>EXP(-LN(2)/25)*BQ35+(1-EXP(-LN(2)/25))/(LN(2)/25)*Calculateur!BL36*Calculateur!BN36*VLOOKUP('Données projet'!$B$11,Paramètres!$A$1:$I$89,3,0)*0.475*44/12</f>
        <v>1.1037970565245379</v>
      </c>
      <c r="BR36" s="23">
        <f>EXP(-LN(2)/2)*BR35+(1-EXP(-LN(2)/2))/(LN(2)/2)*BL36*BO36*VLOOKUP('Données projet'!$B$11,Paramètres!$A$1:$I$89,3,0)*0.475*44/12</f>
        <v>7.1563198836156818</v>
      </c>
      <c r="BS36" s="24">
        <f t="shared" si="9"/>
        <v>12.984358287069327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10</v>
      </c>
      <c r="BY36" s="13">
        <f>IF('Données projet'!$A$114&gt;35,BY35+BX36-CG35,IF(A36&lt;'Données projet'!$A$114,$BV$205^A36,IF(A36='Données projet'!$A$114,'Données projet'!$B$114,BY35+BX36-CG35)))</f>
        <v>279.99999999999989</v>
      </c>
      <c r="BZ36" s="14">
        <f>BY36*VLOOKUP('Données projet'!$B$12,Paramètres!$A$1:$I$89,3,0)*VLOOKUP('Données projet'!$B$12,Paramètres!$A$1:$I$89,5,0)</f>
        <v>131.03999999999994</v>
      </c>
      <c r="CA36" s="14">
        <f t="shared" si="39"/>
        <v>34.236561238949889</v>
      </c>
      <c r="CB36" s="22">
        <f t="shared" si="10"/>
        <v>287.85667749117096</v>
      </c>
      <c r="CC36" s="62">
        <f t="shared" si="11"/>
        <v>529.73752332571166</v>
      </c>
      <c r="CD36" s="62">
        <f ca="1">AVERAGE(OFFSET($CC$3,0,0,'Données projet'!$E$12+1,1))-AVERAGE(OFFSET($H$3,0,0,'Données projet'!$E$12+1,1))</f>
        <v>426.87921482911719</v>
      </c>
      <c r="CE36" s="62">
        <f t="shared" si="40"/>
        <v>313.49594674441835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18.8</v>
      </c>
      <c r="CT36" s="13">
        <f>IF('Données projet'!$A$140&gt;35,CT35+CS36-DB35,IF(A36&lt;'Données projet'!$A$140,$CQ$205^A36,IF(A36='Données projet'!$A$140,'Données projet'!$B$140,CT35+CS36-DB35)))</f>
        <v>258.40000000000003</v>
      </c>
      <c r="CU36" s="18">
        <f>CT36*VLOOKUP('Données projet'!$B$13,Paramètres!$A$1:$I$89,3,0)*VLOOKUP('Données projet'!$B$13,Paramètres!$A$1:$I$89,5,0)</f>
        <v>154.52320000000003</v>
      </c>
      <c r="CV36" s="14">
        <f t="shared" si="41"/>
        <v>39.60471498856284</v>
      </c>
      <c r="CW36" s="22">
        <f t="shared" si="13"/>
        <v>338.10611860508033</v>
      </c>
      <c r="CX36" s="62">
        <f t="shared" si="14"/>
        <v>579.98696443962103</v>
      </c>
      <c r="CY36" s="62">
        <f ca="1">AVERAGE(OFFSET($CX$3,0,0,'Données projet'!$E$13+1,1))-AVERAGE(OFFSET($H$3,0,0,'Données projet'!$E$13+1,1))</f>
        <v>367.11994336501527</v>
      </c>
      <c r="CZ36" s="62">
        <f t="shared" si="42"/>
        <v>390.81417197867484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32.651650884639494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1.6277237678529575</v>
      </c>
      <c r="DI36" s="24">
        <f t="shared" si="15"/>
        <v>34.27937465249245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5.8</v>
      </c>
      <c r="N37" s="14">
        <f>IF('Données projet'!$A$36&gt;35,N36+M37-V36,IF(A37&lt;'Données projet'!$A$36,$K$205^A37,IF(A37='Données projet'!$A$36,'Données projet'!$B$36,N36+M37-V36)))</f>
        <v>210.20000000000013</v>
      </c>
      <c r="O37" s="14">
        <f>N37*VLOOKUP('Données projet'!$B$9,Paramètres!$A$1:$I$89,3,0)*VLOOKUP('Données projet'!$B$9,Paramètres!$A$1:$I$89,5,0)</f>
        <v>190.18896000000012</v>
      </c>
      <c r="P37" s="14">
        <f t="shared" si="33"/>
        <v>47.581726807151739</v>
      </c>
      <c r="Q37" s="22">
        <f t="shared" si="53"/>
        <v>414.1172795224561</v>
      </c>
      <c r="R37" s="62">
        <f t="shared" si="0"/>
        <v>656.89071098457168</v>
      </c>
      <c r="S37" s="62">
        <f ca="1">AVERAGE(OFFSET($R$3,0,0,'Données projet'!$E$9+1,1))-AVERAGE(OFFSET($H$3,0,0,'Données projet'!$E$9+1,1))</f>
        <v>312.43110610485337</v>
      </c>
      <c r="T37" s="62">
        <f t="shared" si="34"/>
        <v>442.54749157177571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0.49898792245938439</v>
      </c>
      <c r="AA37" s="23">
        <f>EXP(-LN(2)/25)*AA36+(1-EXP(-LN(2)/25))/(LN(2)/25)*Calculateur!V37*Calculateur!X37*VLOOKUP('Données projet'!$B$9,Paramètres!$A$1:$I$89,3,0)*0.475*44/12</f>
        <v>0.84266189055605112</v>
      </c>
      <c r="AB37" s="23">
        <f>EXP(-LN(2)/2)*AB36+(1-EXP(-LN(2)/2))/(LN(2)/2)*V37*Y37*VLOOKUP('Données projet'!$B$9,Paramètres!$A$1:$I$89,3,0)*0.475*44/12</f>
        <v>0.96041604637682487</v>
      </c>
      <c r="AC37" s="24">
        <f t="shared" si="3"/>
        <v>2.3020658593922603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10.8</v>
      </c>
      <c r="AI37" s="14">
        <f>IF('Données projet'!$A$62&gt;35,AI36+AH37-AQ36,IF(A37&lt;'Données projet'!$A$62,$AF$205^A37,IF(A37='Données projet'!$A$62,'Données projet'!$B$62,AI36+AH37-AQ36)))</f>
        <v>136.20000000000005</v>
      </c>
      <c r="AJ37" s="14">
        <f>AI37*VLOOKUP('Données projet'!$B$10,Paramètres!$A$1:$I$89,3,0)*VLOOKUP('Données projet'!$B$10,Paramètres!$A$1:$I$89,5,0)</f>
        <v>114.73488000000005</v>
      </c>
      <c r="AK37" s="14">
        <f t="shared" si="35"/>
        <v>30.443808287231871</v>
      </c>
      <c r="AL37" s="22">
        <f t="shared" si="4"/>
        <v>252.85288210026226</v>
      </c>
      <c r="AM37" s="62">
        <f t="shared" si="5"/>
        <v>495.62631356237785</v>
      </c>
      <c r="AN37" s="62">
        <f ca="1">AVERAGE(OFFSET($AM$3,0,0,'Données projet'!$E$10+1,1))-AVERAGE(OFFSET($H$3,0,0,'Données projet'!$E$10+1,1))</f>
        <v>445.02659128831181</v>
      </c>
      <c r="AO37" s="62">
        <f t="shared" si="36"/>
        <v>281.06176764290592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4.312181037989661</v>
      </c>
      <c r="AV37" s="23">
        <f>EXP(-LN(2)/25)*AV36+(1-EXP(-LN(2)/25))/(LN(2)/25)*Calculateur!AQ37*Calculateur!AS37*VLOOKUP('Données projet'!$B$10,Paramètres!$A$1:$I$89,3,0)*0.475*44/12</f>
        <v>0.99957134603890263</v>
      </c>
      <c r="AW37" s="23">
        <f>EXP(-LN(2)/2)*AW36+(1-EXP(-LN(2)/2))/(LN(2)/2)*AQ37*AT37*VLOOKUP('Données projet'!$B$10,Paramètres!$A$1:$I$89,3,0)*0.475*44/12</f>
        <v>4.7112973305934114</v>
      </c>
      <c r="AX37" s="23">
        <f t="shared" si="6"/>
        <v>10.023049714621976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10.8</v>
      </c>
      <c r="BD37" s="13">
        <f>IF('Données projet'!$A$88&gt;35,BD36+BC37-BL36,IF(A37&lt;'Données projet'!$A$88,$BA$205^A37,IF(A37='Données projet'!$A$88,'Données projet'!$B$88,BD36+BC37-BL36)))</f>
        <v>136.20000000000005</v>
      </c>
      <c r="BE37" s="14">
        <f>BD37*VLOOKUP('Données projet'!$B$11,Paramètres!$A$1:$I$89,3,0)*VLOOKUP('Données projet'!$B$11,Paramètres!$A$1:$I$89,5,0)</f>
        <v>123.23376000000005</v>
      </c>
      <c r="BF37" s="14">
        <f t="shared" si="37"/>
        <v>32.428049504876491</v>
      </c>
      <c r="BG37" s="22">
        <f t="shared" si="7"/>
        <v>271.11098488765998</v>
      </c>
      <c r="BH37" s="62">
        <f t="shared" si="8"/>
        <v>513.88441634977562</v>
      </c>
      <c r="BI37" s="62">
        <f ca="1">AVERAGE(OFFSET($BH$3,0,0,'Données projet'!$E$11+1,1))-AVERAGE(OFFSET($H$3,0,0,'Données projet'!$E$11+1,1))</f>
        <v>472.46893084347687</v>
      </c>
      <c r="BJ37" s="62">
        <f t="shared" si="38"/>
        <v>297.32483725004136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4.6316018556185234</v>
      </c>
      <c r="BQ37" s="23">
        <f>EXP(-LN(2)/25)*BQ36+(1-EXP(-LN(2)/25))/(LN(2)/25)*Calculateur!BL37*Calculateur!BN37*VLOOKUP('Données projet'!$B$11,Paramètres!$A$1:$I$89,3,0)*0.475*44/12</f>
        <v>1.07361366796771</v>
      </c>
      <c r="BR37" s="23">
        <f>EXP(-LN(2)/2)*BR36+(1-EXP(-LN(2)/2))/(LN(2)/2)*BL37*BO37*VLOOKUP('Données projet'!$B$11,Paramètres!$A$1:$I$89,3,0)*0.475*44/12</f>
        <v>5.0602823180447736</v>
      </c>
      <c r="BS37" s="24">
        <f t="shared" si="9"/>
        <v>10.765497841631007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10</v>
      </c>
      <c r="BY37" s="13">
        <f>IF('Données projet'!$A$114&gt;35,BY36+BX37-CG36,IF(A37&lt;'Données projet'!$A$114,$BV$205^A37,IF(A37='Données projet'!$A$114,'Données projet'!$B$114,BY36+BX37-CG36)))</f>
        <v>289.99999999999989</v>
      </c>
      <c r="BZ37" s="14">
        <f>BY37*VLOOKUP('Données projet'!$B$12,Paramètres!$A$1:$I$89,3,0)*VLOOKUP('Données projet'!$B$12,Paramètres!$A$1:$I$89,5,0)</f>
        <v>135.71999999999994</v>
      </c>
      <c r="CA37" s="14">
        <f t="shared" si="39"/>
        <v>35.314752882348131</v>
      </c>
      <c r="CB37" s="22">
        <f t="shared" si="10"/>
        <v>297.8855279367562</v>
      </c>
      <c r="CC37" s="62">
        <f t="shared" si="11"/>
        <v>540.65895939887173</v>
      </c>
      <c r="CD37" s="62">
        <f ca="1">AVERAGE(OFFSET($CC$3,0,0,'Données projet'!$E$12+1,1))-AVERAGE(OFFSET($H$3,0,0,'Données projet'!$E$12+1,1))</f>
        <v>426.87921482911719</v>
      </c>
      <c r="CE37" s="62">
        <f t="shared" si="40"/>
        <v>313.49594674441835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18.8</v>
      </c>
      <c r="CT37" s="13">
        <f>IF('Données projet'!$A$140&gt;35,CT36+CS37-DB36,IF(A37&lt;'Données projet'!$A$140,$CQ$205^A37,IF(A37='Données projet'!$A$140,'Données projet'!$B$140,CT36+CS37-DB36)))</f>
        <v>277.20000000000005</v>
      </c>
      <c r="CU37" s="18">
        <f>CT37*VLOOKUP('Données projet'!$B$13,Paramètres!$A$1:$I$89,3,0)*VLOOKUP('Données projet'!$B$13,Paramètres!$A$1:$I$89,5,0)</f>
        <v>165.76560000000003</v>
      </c>
      <c r="CV37" s="14">
        <f t="shared" si="41"/>
        <v>42.140271125684265</v>
      </c>
      <c r="CW37" s="22">
        <f t="shared" si="13"/>
        <v>362.10272554390014</v>
      </c>
      <c r="CX37" s="62">
        <f t="shared" si="14"/>
        <v>604.87615700601577</v>
      </c>
      <c r="CY37" s="62">
        <f ca="1">AVERAGE(OFFSET($CX$3,0,0,'Données projet'!$E$13+1,1))-AVERAGE(OFFSET($H$3,0,0,'Données projet'!$E$13+1,1))</f>
        <v>367.11994336501527</v>
      </c>
      <c r="CZ37" s="62">
        <f t="shared" si="42"/>
        <v>390.81417197867484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32.011371926332259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1.150974514147344</v>
      </c>
      <c r="DI37" s="24">
        <f t="shared" si="15"/>
        <v>33.162346440479602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216</v>
      </c>
      <c r="L38" s="13">
        <f>VLOOKUP(A38,'Données projet'!$A$35:$I$55,9,0)</f>
        <v>5.8</v>
      </c>
      <c r="M38" s="13">
        <f t="array" ref="M38">INDEX(L:L,MIN(IF(ISNUMBER(L38:L234),ROW(L38:L234),"")))</f>
        <v>5.8</v>
      </c>
      <c r="N38" s="14">
        <f>IF('Données projet'!$A$36&gt;35,N37+M38-V37,IF(A38&lt;'Données projet'!$A$36,$K$205^A38,IF(A38='Données projet'!$A$36,'Données projet'!$B$36,N37+M38-V37)))</f>
        <v>216.00000000000014</v>
      </c>
      <c r="O38" s="14">
        <f>N38*VLOOKUP('Données projet'!$B$9,Paramètres!$A$1:$I$89,3,0)*VLOOKUP('Données projet'!$B$9,Paramètres!$A$1:$I$89,5,0)</f>
        <v>195.43680000000012</v>
      </c>
      <c r="P38" s="14">
        <f t="shared" si="33"/>
        <v>48.739971354487892</v>
      </c>
      <c r="Q38" s="22">
        <f t="shared" si="53"/>
        <v>425.27454344239999</v>
      </c>
      <c r="R38" s="62">
        <f t="shared" si="0"/>
        <v>668.92507616697446</v>
      </c>
      <c r="S38" s="62">
        <f ca="1">AVERAGE(OFFSET($R$3,0,0,'Données projet'!$E$9+1,1))-AVERAGE(OFFSET($H$3,0,0,'Données projet'!$E$9+1,1))</f>
        <v>312.43110610485337</v>
      </c>
      <c r="T38" s="62">
        <f t="shared" si="34"/>
        <v>442.54749157177571</v>
      </c>
      <c r="U38" s="16">
        <f>IF(ISNA(VLOOKUP(A38,'Données projet'!$A$35:$I$55,3,0)),0,VLOOKUP(A38,'Données projet'!$A$35:$I$55,3,0))</f>
        <v>7</v>
      </c>
      <c r="V38" s="16">
        <f>IF(ISNA(VLOOKUP(A38,'Données projet'!$A$35:$I$55,4,0)),0,VLOOKUP(A38,'Données projet'!$A$35:$I$55,4,0))</f>
        <v>7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0.48920307365253624</v>
      </c>
      <c r="AA38" s="23">
        <f>EXP(-LN(2)/25)*AA37+(1-EXP(-LN(2)/25))/(LN(2)/25)*Calculateur!V38*Calculateur!X38*VLOOKUP('Données projet'!$B$9,Paramètres!$A$1:$I$89,3,0)*0.475*44/12</f>
        <v>0.81961925684513304</v>
      </c>
      <c r="AB38" s="23">
        <f>EXP(-LN(2)/2)*AB37+(1-EXP(-LN(2)/2))/(LN(2)/2)*V38*Y38*VLOOKUP('Données projet'!$B$9,Paramètres!$A$1:$I$89,3,0)*0.475*44/12</f>
        <v>0.67911669915342665</v>
      </c>
      <c r="AC38" s="24">
        <f t="shared" si="3"/>
        <v>1.9879390296510961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147</v>
      </c>
      <c r="AG38" s="13">
        <f>VLOOKUP(A38,'Données projet'!$A$61:$I$81,9,0)</f>
        <v>10.8</v>
      </c>
      <c r="AH38" s="13">
        <f t="array" ref="AH38">INDEX(AG:AG,MIN(IF(ISNUMBER(AG38:AG234),ROW(AG38:AG234),"")))</f>
        <v>10.8</v>
      </c>
      <c r="AI38" s="14">
        <f>IF('Données projet'!$A$62&gt;35,AI37+AH38-AQ37,IF(A38&lt;'Données projet'!$A$62,$AF$205^A38,IF(A38='Données projet'!$A$62,'Données projet'!$B$62,AI37+AH38-AQ37)))</f>
        <v>147.00000000000006</v>
      </c>
      <c r="AJ38" s="14">
        <f>AI38*VLOOKUP('Données projet'!$B$10,Paramètres!$A$1:$I$89,3,0)*VLOOKUP('Données projet'!$B$10,Paramètres!$A$1:$I$89,5,0)</f>
        <v>123.83280000000006</v>
      </c>
      <c r="AK38" s="14">
        <f t="shared" si="35"/>
        <v>32.567294628684579</v>
      </c>
      <c r="AL38" s="22">
        <f t="shared" si="4"/>
        <v>272.39683147829243</v>
      </c>
      <c r="AM38" s="62">
        <f t="shared" si="5"/>
        <v>516.0473642028669</v>
      </c>
      <c r="AN38" s="62">
        <f ca="1">AVERAGE(OFFSET($AM$3,0,0,'Données projet'!$E$10+1,1))-AVERAGE(OFFSET($H$3,0,0,'Données projet'!$E$10+1,1))</f>
        <v>445.02659128831181</v>
      </c>
      <c r="AO38" s="62">
        <f t="shared" si="36"/>
        <v>281.06176764290592</v>
      </c>
      <c r="AP38" s="16">
        <f>IF(ISNA(VLOOKUP(A38,'Données projet'!$A$61:$I$81,3,0)),0,VLOOKUP(A38,'Données projet'!$A$61:$I$81,3,0))</f>
        <v>4</v>
      </c>
      <c r="AQ38" s="16">
        <f>IF(ISNA(VLOOKUP(A38,'Données projet'!$A$61:$I$81,4,0)),0,VLOOKUP(A38,'Données projet'!$A$61:$I$81,4,0))</f>
        <v>28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4.2276217980054094</v>
      </c>
      <c r="AV38" s="23">
        <f>EXP(-LN(2)/25)*AV37+(1-EXP(-LN(2)/25))/(LN(2)/25)*Calculateur!AQ38*Calculateur!AS38*VLOOKUP('Données projet'!$B$10,Paramètres!$A$1:$I$89,3,0)*0.475*44/12</f>
        <v>0.97223801501629625</v>
      </c>
      <c r="AW38" s="23">
        <f>EXP(-LN(2)/2)*AW37+(1-EXP(-LN(2)/2))/(LN(2)/2)*AQ38*AT38*VLOOKUP('Données projet'!$B$10,Paramètres!$A$1:$I$89,3,0)*0.475*44/12</f>
        <v>3.331390290648681</v>
      </c>
      <c r="AX38" s="23">
        <f t="shared" si="6"/>
        <v>8.5312501036703878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147</v>
      </c>
      <c r="BB38" s="13">
        <f>VLOOKUP(A38,'Données projet'!$A$87:$I$107,9,0)</f>
        <v>10.8</v>
      </c>
      <c r="BC38" s="13">
        <f t="array" ref="BC38">INDEX(BB:BB,MIN(IF(ISNUMBER(BB38:BB234),ROW(BB38:BB234),"")))</f>
        <v>10.8</v>
      </c>
      <c r="BD38" s="13">
        <f>IF('Données projet'!$A$88&gt;35,BD37+BC38-BL37,IF(A38&lt;'Données projet'!$A$88,$BA$205^A38,IF(A38='Données projet'!$A$88,'Données projet'!$B$88,BD37+BC38-BL37)))</f>
        <v>147.00000000000006</v>
      </c>
      <c r="BE38" s="14">
        <f>BD38*VLOOKUP('Données projet'!$B$11,Paramètres!$A$1:$I$89,3,0)*VLOOKUP('Données projet'!$B$11,Paramètres!$A$1:$I$89,5,0)</f>
        <v>133.00560000000004</v>
      </c>
      <c r="BF38" s="14">
        <f t="shared" si="37"/>
        <v>34.689938673073549</v>
      </c>
      <c r="BG38" s="22">
        <f t="shared" si="7"/>
        <v>292.06972985560316</v>
      </c>
      <c r="BH38" s="62">
        <f t="shared" si="8"/>
        <v>535.72026258017763</v>
      </c>
      <c r="BI38" s="62">
        <f ca="1">AVERAGE(OFFSET($BH$3,0,0,'Données projet'!$E$11+1,1))-AVERAGE(OFFSET($H$3,0,0,'Données projet'!$E$11+1,1))</f>
        <v>472.46893084347687</v>
      </c>
      <c r="BJ38" s="62">
        <f t="shared" si="38"/>
        <v>297.32483725004136</v>
      </c>
      <c r="BK38" s="16">
        <f>IF(ISNA(VLOOKUP(A38,'Données projet'!$A$87:$I$107,3,0)),0,VLOOKUP(A38,'Données projet'!$A$87:$I$107,3,0))</f>
        <v>4</v>
      </c>
      <c r="BL38" s="16">
        <f>IF(ISNA(VLOOKUP(A38,'Données projet'!$A$87:$I$107,4,0)),0,VLOOKUP(A38,'Données projet'!$A$87:$I$107,4,0))</f>
        <v>28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4.5407789682280306</v>
      </c>
      <c r="BQ38" s="23">
        <f>EXP(-LN(2)/25)*BQ37+(1-EXP(-LN(2)/25))/(LN(2)/25)*Calculateur!BL38*Calculateur!BN38*VLOOKUP('Données projet'!$B$11,Paramètres!$A$1:$I$89,3,0)*0.475*44/12</f>
        <v>1.0442556457582439</v>
      </c>
      <c r="BR38" s="23">
        <f>EXP(-LN(2)/2)*BR37+(1-EXP(-LN(2)/2))/(LN(2)/2)*BL38*BO38*VLOOKUP('Données projet'!$B$11,Paramètres!$A$1:$I$89,3,0)*0.475*44/12</f>
        <v>3.5781599418078414</v>
      </c>
      <c r="BS38" s="24">
        <f t="shared" si="9"/>
        <v>9.1631945557941155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10</v>
      </c>
      <c r="BY38" s="13">
        <f>IF('Données projet'!$A$114&gt;35,BY37+BX38-CG37,IF(A38&lt;'Données projet'!$A$114,$BV$205^A38,IF(A38='Données projet'!$A$114,'Données projet'!$B$114,BY37+BX38-CG37)))</f>
        <v>299.99999999999989</v>
      </c>
      <c r="BZ38" s="14">
        <f>BY38*VLOOKUP('Données projet'!$B$12,Paramètres!$A$1:$I$89,3,0)*VLOOKUP('Données projet'!$B$12,Paramètres!$A$1:$I$89,5,0)</f>
        <v>140.39999999999995</v>
      </c>
      <c r="CA38" s="14">
        <f t="shared" si="39"/>
        <v>36.388624656711166</v>
      </c>
      <c r="CB38" s="22">
        <f t="shared" si="10"/>
        <v>307.90685461043853</v>
      </c>
      <c r="CC38" s="62">
        <f t="shared" si="11"/>
        <v>551.557387335013</v>
      </c>
      <c r="CD38" s="62">
        <f ca="1">AVERAGE(OFFSET($CC$3,0,0,'Données projet'!$E$12+1,1))-AVERAGE(OFFSET($H$3,0,0,'Données projet'!$E$12+1,1))</f>
        <v>426.87921482911719</v>
      </c>
      <c r="CE38" s="62">
        <f t="shared" si="40"/>
        <v>313.49594674441835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296</v>
      </c>
      <c r="CR38" s="13">
        <f>VLOOKUP(A38,'Données projet'!$A$139:$I$159,9,0)</f>
        <v>18.8</v>
      </c>
      <c r="CS38" s="13">
        <f t="array" ref="CS38">INDEX(CR:CR,MIN(IF(ISNUMBER(CR38:CR234),ROW(CR38:CR234),"")))</f>
        <v>18.8</v>
      </c>
      <c r="CT38" s="13">
        <f>IF('Données projet'!$A$140&gt;35,CT37+CS38-DB37,IF(A38&lt;'Données projet'!$A$140,$CQ$205^A38,IF(A38='Données projet'!$A$140,'Données projet'!$B$140,CT37+CS38-DB37)))</f>
        <v>296.00000000000006</v>
      </c>
      <c r="CU38" s="18">
        <f>CT38*VLOOKUP('Données projet'!$B$13,Paramètres!$A$1:$I$89,3,0)*VLOOKUP('Données projet'!$B$13,Paramètres!$A$1:$I$89,5,0)</f>
        <v>177.00800000000004</v>
      </c>
      <c r="CV38" s="14">
        <f t="shared" si="41"/>
        <v>44.65587329900309</v>
      </c>
      <c r="CW38" s="22">
        <f t="shared" si="13"/>
        <v>386.06457932909711</v>
      </c>
      <c r="CX38" s="62">
        <f t="shared" si="14"/>
        <v>629.71511205367165</v>
      </c>
      <c r="CY38" s="62">
        <f ca="1">AVERAGE(OFFSET($CX$3,0,0,'Données projet'!$E$13+1,1))-AVERAGE(OFFSET($H$3,0,0,'Données projet'!$E$13+1,1))</f>
        <v>367.11994336501527</v>
      </c>
      <c r="CZ38" s="62">
        <f t="shared" si="42"/>
        <v>390.81417197867484</v>
      </c>
      <c r="DA38" s="16">
        <f>IF(ISNA(VLOOKUP(A38,'Données projet'!$A$139:$I$159,3,0)),0,VLOOKUP(A38,'Données projet'!$A$139:$I$159,3,0))</f>
        <v>5</v>
      </c>
      <c r="DB38" s="16">
        <f>IF(ISNA(VLOOKUP(A38,'Données projet'!$A$139:$I$159,4,0)),0,VLOOKUP(A38,'Données projet'!$A$139:$I$159,4,0))</f>
        <v>52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31.383648447865824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0.81386188392647885</v>
      </c>
      <c r="DI38" s="24">
        <f t="shared" si="15"/>
        <v>32.197510331792301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4.8</v>
      </c>
      <c r="N39" s="14">
        <f>IF('Données projet'!$A$36&gt;35,N38+M39-V38,IF(A39&lt;'Données projet'!$A$36,$K$205^A39,IF(A39='Données projet'!$A$36,'Données projet'!$B$36,N38+M39-V38)))</f>
        <v>213.80000000000015</v>
      </c>
      <c r="O39" s="14">
        <f>N39*VLOOKUP('Données projet'!$B$9,Paramètres!$A$1:$I$89,3,0)*VLOOKUP('Données projet'!$B$9,Paramètres!$A$1:$I$89,5,0)</f>
        <v>193.44624000000013</v>
      </c>
      <c r="P39" s="14">
        <f t="shared" si="33"/>
        <v>48.301068656218547</v>
      </c>
      <c r="Q39" s="22">
        <f t="shared" si="53"/>
        <v>421.04322924291415</v>
      </c>
      <c r="R39" s="62">
        <f t="shared" si="0"/>
        <v>665.55564748394863</v>
      </c>
      <c r="S39" s="62">
        <f ca="1">AVERAGE(OFFSET($R$3,0,0,'Données projet'!$E$9+1,1))-AVERAGE(OFFSET($H$3,0,0,'Données projet'!$E$9+1,1))</f>
        <v>312.43110610485337</v>
      </c>
      <c r="T39" s="62">
        <f t="shared" si="34"/>
        <v>442.54749157177571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0.47961009976262192</v>
      </c>
      <c r="AA39" s="23">
        <f>EXP(-LN(2)/25)*AA38+(1-EXP(-LN(2)/25))/(LN(2)/25)*Calculateur!V39*Calculateur!X39*VLOOKUP('Données projet'!$B$9,Paramètres!$A$1:$I$89,3,0)*0.475*44/12</f>
        <v>0.7972067251647994</v>
      </c>
      <c r="AB39" s="23">
        <f>EXP(-LN(2)/2)*AB38+(1-EXP(-LN(2)/2))/(LN(2)/2)*V39*Y39*VLOOKUP('Données projet'!$B$9,Paramètres!$A$1:$I$89,3,0)*0.475*44/12</f>
        <v>0.48020802318841249</v>
      </c>
      <c r="AC39" s="24">
        <f t="shared" si="3"/>
        <v>1.7570248481158337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11.2</v>
      </c>
      <c r="AI39" s="14">
        <f>IF('Données projet'!$A$62&gt;35,AI38+AH39-AQ38,IF(A39&lt;'Données projet'!$A$62,$AF$205^A39,IF(A39='Données projet'!$A$62,'Données projet'!$B$62,AI38+AH39-AQ38)))</f>
        <v>130.20000000000005</v>
      </c>
      <c r="AJ39" s="14">
        <f>AI39*VLOOKUP('Données projet'!$B$10,Paramètres!$A$1:$I$89,3,0)*VLOOKUP('Données projet'!$B$10,Paramètres!$A$1:$I$89,5,0)</f>
        <v>109.68048000000006</v>
      </c>
      <c r="AK39" s="14">
        <f t="shared" si="35"/>
        <v>29.255690427909659</v>
      </c>
      <c r="AL39" s="22">
        <f t="shared" si="4"/>
        <v>241.9804968286094</v>
      </c>
      <c r="AM39" s="62">
        <f t="shared" si="5"/>
        <v>486.4929150696438</v>
      </c>
      <c r="AN39" s="62">
        <f ca="1">AVERAGE(OFFSET($AM$3,0,0,'Données projet'!$E$10+1,1))-AVERAGE(OFFSET($H$3,0,0,'Données projet'!$E$10+1,1))</f>
        <v>445.02659128831181</v>
      </c>
      <c r="AO39" s="62">
        <f t="shared" si="36"/>
        <v>281.06176764290592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4.1447207131412052</v>
      </c>
      <c r="AV39" s="23">
        <f>EXP(-LN(2)/25)*AV38+(1-EXP(-LN(2)/25))/(LN(2)/25)*Calculateur!AQ39*Calculateur!AS39*VLOOKUP('Données projet'!$B$10,Paramètres!$A$1:$I$89,3,0)*0.475*44/12</f>
        <v>0.9456521153679005</v>
      </c>
      <c r="AW39" s="23">
        <f>EXP(-LN(2)/2)*AW38+(1-EXP(-LN(2)/2))/(LN(2)/2)*AQ39*AT39*VLOOKUP('Données projet'!$B$10,Paramètres!$A$1:$I$89,3,0)*0.475*44/12</f>
        <v>2.3556486652967061</v>
      </c>
      <c r="AX39" s="23">
        <f t="shared" si="6"/>
        <v>7.4460214938058114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11.2</v>
      </c>
      <c r="BD39" s="13">
        <f>IF('Données projet'!$A$88&gt;35,BD38+BC39-BL38,IF(A39&lt;'Données projet'!$A$88,$BA$205^A39,IF(A39='Données projet'!$A$88,'Données projet'!$B$88,BD38+BC39-BL38)))</f>
        <v>130.20000000000005</v>
      </c>
      <c r="BE39" s="14">
        <f>BD39*VLOOKUP('Données projet'!$B$11,Paramètres!$A$1:$I$89,3,0)*VLOOKUP('Données projet'!$B$11,Paramètres!$A$1:$I$89,5,0)</f>
        <v>117.80496000000004</v>
      </c>
      <c r="BF39" s="14">
        <f t="shared" si="37"/>
        <v>31.162493487829593</v>
      </c>
      <c r="BG39" s="22">
        <f t="shared" si="7"/>
        <v>259.45164815796994</v>
      </c>
      <c r="BH39" s="62">
        <f t="shared" si="8"/>
        <v>503.96406639900437</v>
      </c>
      <c r="BI39" s="62">
        <f ca="1">AVERAGE(OFFSET($BH$3,0,0,'Données projet'!$E$11+1,1))-AVERAGE(OFFSET($H$3,0,0,'Données projet'!$E$11+1,1))</f>
        <v>472.46893084347687</v>
      </c>
      <c r="BJ39" s="62">
        <f t="shared" si="38"/>
        <v>297.32483725004136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4.4517370622627741</v>
      </c>
      <c r="BQ39" s="23">
        <f>EXP(-LN(2)/25)*BQ38+(1-EXP(-LN(2)/25))/(LN(2)/25)*Calculateur!BL39*Calculateur!BN39*VLOOKUP('Données projet'!$B$11,Paramètres!$A$1:$I$89,3,0)*0.475*44/12</f>
        <v>1.0157004202099671</v>
      </c>
      <c r="BR39" s="23">
        <f>EXP(-LN(2)/2)*BR38+(1-EXP(-LN(2)/2))/(LN(2)/2)*BL39*BO39*VLOOKUP('Données projet'!$B$11,Paramètres!$A$1:$I$89,3,0)*0.475*44/12</f>
        <v>2.5301411590223872</v>
      </c>
      <c r="BS39" s="24">
        <f t="shared" si="9"/>
        <v>7.997578641495128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10</v>
      </c>
      <c r="BY39" s="13">
        <f>IF('Données projet'!$A$114&gt;35,BY38+BX39-CG38,IF(A39&lt;'Données projet'!$A$114,$BV$205^A39,IF(A39='Données projet'!$A$114,'Données projet'!$B$114,BY38+BX39-CG38)))</f>
        <v>309.99999999999989</v>
      </c>
      <c r="BZ39" s="14">
        <f>BY39*VLOOKUP('Données projet'!$B$12,Paramètres!$A$1:$I$89,3,0)*VLOOKUP('Données projet'!$B$12,Paramètres!$A$1:$I$89,5,0)</f>
        <v>145.07999999999996</v>
      </c>
      <c r="CA39" s="14">
        <f t="shared" si="39"/>
        <v>37.458337067672986</v>
      </c>
      <c r="CB39" s="22">
        <f t="shared" si="10"/>
        <v>317.92093705953039</v>
      </c>
      <c r="CC39" s="62">
        <f t="shared" si="11"/>
        <v>562.43335530056481</v>
      </c>
      <c r="CD39" s="62">
        <f ca="1">AVERAGE(OFFSET($CC$3,0,0,'Données projet'!$E$12+1,1))-AVERAGE(OFFSET($H$3,0,0,'Données projet'!$E$12+1,1))</f>
        <v>426.87921482911719</v>
      </c>
      <c r="CE39" s="62">
        <f t="shared" si="40"/>
        <v>313.49594674441835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17.600000000000001</v>
      </c>
      <c r="CT39" s="13">
        <f>IF('Données projet'!$A$140&gt;35,CT38+CS39-DB38,IF(A39&lt;'Données projet'!$A$140,$CQ$205^A39,IF(A39='Données projet'!$A$140,'Données projet'!$B$140,CT38+CS39-DB38)))</f>
        <v>261.60000000000008</v>
      </c>
      <c r="CU39" s="18">
        <f>CT39*VLOOKUP('Données projet'!$B$13,Paramètres!$A$1:$I$89,3,0)*VLOOKUP('Données projet'!$B$13,Paramètres!$A$1:$I$89,5,0)</f>
        <v>156.43680000000006</v>
      </c>
      <c r="CV39" s="14">
        <f t="shared" si="41"/>
        <v>40.037775291207829</v>
      </c>
      <c r="CW39" s="22">
        <f t="shared" si="13"/>
        <v>342.1932186321871</v>
      </c>
      <c r="CX39" s="62">
        <f t="shared" si="14"/>
        <v>586.70563687322147</v>
      </c>
      <c r="CY39" s="62">
        <f ca="1">AVERAGE(OFFSET($CX$3,0,0,'Données projet'!$E$13+1,1))-AVERAGE(OFFSET($H$3,0,0,'Données projet'!$E$13+1,1))</f>
        <v>367.11994336501527</v>
      </c>
      <c r="CZ39" s="62">
        <f t="shared" si="42"/>
        <v>390.81417197867484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30.768234243938601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0.5754872570736721</v>
      </c>
      <c r="DI39" s="24">
        <f t="shared" si="15"/>
        <v>31.343721501012272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4.8</v>
      </c>
      <c r="N40" s="14">
        <f>IF('Données projet'!$A$36&gt;35,N39+M40-V39,IF(A40&lt;'Données projet'!$A$36,$K$205^A40,IF(A40='Données projet'!$A$36,'Données projet'!$B$36,N39+M40-V39)))</f>
        <v>218.60000000000016</v>
      </c>
      <c r="O40" s="14">
        <f>N40*VLOOKUP('Données projet'!$B$9,Paramètres!$A$1:$I$89,3,0)*VLOOKUP('Données projet'!$B$9,Paramètres!$A$1:$I$89,5,0)</f>
        <v>197.78928000000013</v>
      </c>
      <c r="P40" s="14">
        <f t="shared" si="33"/>
        <v>49.258004531609984</v>
      </c>
      <c r="Q40" s="22">
        <f t="shared" si="53"/>
        <v>430.2740205592209</v>
      </c>
      <c r="R40" s="62">
        <f t="shared" si="0"/>
        <v>675.63337252989197</v>
      </c>
      <c r="S40" s="62">
        <f ca="1">AVERAGE(OFFSET($R$3,0,0,'Données projet'!$E$9+1,1))-AVERAGE(OFFSET($H$3,0,0,'Données projet'!$E$9+1,1))</f>
        <v>312.43110610485337</v>
      </c>
      <c r="T40" s="62">
        <f t="shared" si="34"/>
        <v>442.54749157177571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0.47020523823955251</v>
      </c>
      <c r="AA40" s="23">
        <f>EXP(-LN(2)/25)*AA39+(1-EXP(-LN(2)/25))/(LN(2)/25)*Calculateur!V40*Calculateur!X40*VLOOKUP('Données projet'!$B$9,Paramètres!$A$1:$I$89,3,0)*0.475*44/12</f>
        <v>0.7754070653418883</v>
      </c>
      <c r="AB40" s="23">
        <f>EXP(-LN(2)/2)*AB39+(1-EXP(-LN(2)/2))/(LN(2)/2)*V40*Y40*VLOOKUP('Données projet'!$B$9,Paramètres!$A$1:$I$89,3,0)*0.475*44/12</f>
        <v>0.33955834957671338</v>
      </c>
      <c r="AC40" s="24">
        <f t="shared" si="3"/>
        <v>1.5851706531581542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11.2</v>
      </c>
      <c r="AI40" s="14">
        <f>IF('Données projet'!$A$62&gt;35,AI39+AH40-AQ39,IF(A40&lt;'Données projet'!$A$62,$AF$205^A40,IF(A40='Données projet'!$A$62,'Données projet'!$B$62,AI39+AH40-AQ39)))</f>
        <v>141.40000000000003</v>
      </c>
      <c r="AJ40" s="14">
        <f>AI40*VLOOKUP('Données projet'!$B$10,Paramètres!$A$1:$I$89,3,0)*VLOOKUP('Données projet'!$B$10,Paramètres!$A$1:$I$89,5,0)</f>
        <v>119.11536000000004</v>
      </c>
      <c r="AK40" s="14">
        <f t="shared" si="35"/>
        <v>31.468582772748093</v>
      </c>
      <c r="AL40" s="22">
        <f t="shared" si="4"/>
        <v>262.26703366253628</v>
      </c>
      <c r="AM40" s="62">
        <f t="shared" si="5"/>
        <v>507.62638563320741</v>
      </c>
      <c r="AN40" s="62">
        <f ca="1">AVERAGE(OFFSET($AM$3,0,0,'Données projet'!$E$10+1,1))-AVERAGE(OFFSET($H$3,0,0,'Données projet'!$E$10+1,1))</f>
        <v>445.02659128831181</v>
      </c>
      <c r="AO40" s="62">
        <f t="shared" si="36"/>
        <v>281.06176764290592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4.0634452679865189</v>
      </c>
      <c r="AV40" s="23">
        <f>EXP(-LN(2)/25)*AV39+(1-EXP(-LN(2)/25))/(LN(2)/25)*Calculateur!AQ40*Calculateur!AS40*VLOOKUP('Données projet'!$B$10,Paramètres!$A$1:$I$89,3,0)*0.475*44/12</f>
        <v>0.91979320854348179</v>
      </c>
      <c r="AW40" s="23">
        <f>EXP(-LN(2)/2)*AW39+(1-EXP(-LN(2)/2))/(LN(2)/2)*AQ40*AT40*VLOOKUP('Données projet'!$B$10,Paramètres!$A$1:$I$89,3,0)*0.475*44/12</f>
        <v>1.6656951453243409</v>
      </c>
      <c r="AX40" s="23">
        <f t="shared" si="6"/>
        <v>6.6489336218543418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11.2</v>
      </c>
      <c r="BD40" s="13">
        <f>IF('Données projet'!$A$88&gt;35,BD39+BC40-BL39,IF(A40&lt;'Données projet'!$A$88,$BA$205^A40,IF(A40='Données projet'!$A$88,'Données projet'!$B$88,BD39+BC40-BL39)))</f>
        <v>141.40000000000003</v>
      </c>
      <c r="BE40" s="14">
        <f>BD40*VLOOKUP('Données projet'!$B$11,Paramètres!$A$1:$I$89,3,0)*VLOOKUP('Données projet'!$B$11,Paramètres!$A$1:$I$89,5,0)</f>
        <v>127.93872000000003</v>
      </c>
      <c r="BF40" s="14">
        <f t="shared" si="37"/>
        <v>33.519615889545641</v>
      </c>
      <c r="BG40" s="22">
        <f t="shared" si="7"/>
        <v>281.20660167429202</v>
      </c>
      <c r="BH40" s="62">
        <f t="shared" si="8"/>
        <v>526.56595364496309</v>
      </c>
      <c r="BI40" s="62">
        <f ca="1">AVERAGE(OFFSET($BH$3,0,0,'Données projet'!$E$11+1,1))-AVERAGE(OFFSET($H$3,0,0,'Données projet'!$E$11+1,1))</f>
        <v>472.46893084347687</v>
      </c>
      <c r="BJ40" s="62">
        <f t="shared" si="38"/>
        <v>297.32483725004136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4.3644412137632962</v>
      </c>
      <c r="BQ40" s="23">
        <f>EXP(-LN(2)/25)*BQ39+(1-EXP(-LN(2)/25))/(LN(2)/25)*Calculateur!BL40*Calculateur!BN40*VLOOKUP('Données projet'!$B$11,Paramètres!$A$1:$I$89,3,0)*0.475*44/12</f>
        <v>0.98792603880596186</v>
      </c>
      <c r="BR40" s="23">
        <f>EXP(-LN(2)/2)*BR39+(1-EXP(-LN(2)/2))/(LN(2)/2)*BL40*BO40*VLOOKUP('Données projet'!$B$11,Paramètres!$A$1:$I$89,3,0)*0.475*44/12</f>
        <v>1.7890799709039211</v>
      </c>
      <c r="BS40" s="24">
        <f t="shared" si="9"/>
        <v>7.141447223473179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10</v>
      </c>
      <c r="BY40" s="13">
        <f>IF('Données projet'!$A$114&gt;35,BY39+BX40-CG39,IF(A40&lt;'Données projet'!$A$114,$BV$205^A40,IF(A40='Données projet'!$A$114,'Données projet'!$B$114,BY39+BX40-CG39)))</f>
        <v>319.99999999999989</v>
      </c>
      <c r="BZ40" s="14">
        <f>BY40*VLOOKUP('Données projet'!$B$12,Paramètres!$A$1:$I$89,3,0)*VLOOKUP('Données projet'!$B$12,Paramètres!$A$1:$I$89,5,0)</f>
        <v>149.75999999999996</v>
      </c>
      <c r="CA40" s="14">
        <f t="shared" si="39"/>
        <v>38.524039677774766</v>
      </c>
      <c r="CB40" s="22">
        <f t="shared" si="10"/>
        <v>327.9280357721243</v>
      </c>
      <c r="CC40" s="62">
        <f t="shared" si="11"/>
        <v>573.28738774279543</v>
      </c>
      <c r="CD40" s="62">
        <f ca="1">AVERAGE(OFFSET($CC$3,0,0,'Données projet'!$E$12+1,1))-AVERAGE(OFFSET($H$3,0,0,'Données projet'!$E$12+1,1))</f>
        <v>426.87921482911719</v>
      </c>
      <c r="CE40" s="62">
        <f t="shared" si="40"/>
        <v>313.49594674441835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17.600000000000001</v>
      </c>
      <c r="CT40" s="13">
        <f>IF('Données projet'!$A$140&gt;35,CT39+CS40-DB39,IF(A40&lt;'Données projet'!$A$140,$CQ$205^A40,IF(A40='Données projet'!$A$140,'Données projet'!$B$140,CT39+CS40-DB39)))</f>
        <v>279.2000000000001</v>
      </c>
      <c r="CU40" s="18">
        <f>CT40*VLOOKUP('Données projet'!$B$13,Paramètres!$A$1:$I$89,3,0)*VLOOKUP('Données projet'!$B$13,Paramètres!$A$1:$I$89,5,0)</f>
        <v>166.96160000000006</v>
      </c>
      <c r="CV40" s="14">
        <f t="shared" si="41"/>
        <v>42.408810446399933</v>
      </c>
      <c r="CW40" s="22">
        <f t="shared" si="13"/>
        <v>364.6534648608133</v>
      </c>
      <c r="CX40" s="62">
        <f t="shared" si="14"/>
        <v>610.01281683148443</v>
      </c>
      <c r="CY40" s="62">
        <f ca="1">AVERAGE(OFFSET($CX$3,0,0,'Données projet'!$E$13+1,1))-AVERAGE(OFFSET($H$3,0,0,'Données projet'!$E$13+1,1))</f>
        <v>367.11994336501527</v>
      </c>
      <c r="CZ40" s="62">
        <f t="shared" si="42"/>
        <v>390.81417197867484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30.16488793718479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0.40693094196323953</v>
      </c>
      <c r="DI40" s="24">
        <f t="shared" si="15"/>
        <v>30.571818879148029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4.8</v>
      </c>
      <c r="N41" s="14">
        <f>IF('Données projet'!$A$36&gt;35,N40+M41-V40,IF(A41&lt;'Données projet'!$A$36,$K$205^A41,IF(A41='Données projet'!$A$36,'Données projet'!$B$36,N40+M41-V40)))</f>
        <v>223.40000000000018</v>
      </c>
      <c r="O41" s="14">
        <f>N41*VLOOKUP('Données projet'!$B$9,Paramètres!$A$1:$I$89,3,0)*VLOOKUP('Données projet'!$B$9,Paramètres!$A$1:$I$89,5,0)</f>
        <v>202.13232000000013</v>
      </c>
      <c r="P41" s="14">
        <f t="shared" si="33"/>
        <v>50.21249748895967</v>
      </c>
      <c r="Q41" s="22">
        <f t="shared" si="53"/>
        <v>439.50055712660497</v>
      </c>
      <c r="R41" s="62">
        <f t="shared" si="0"/>
        <v>685.69215042016367</v>
      </c>
      <c r="S41" s="62">
        <f ca="1">AVERAGE(OFFSET($R$3,0,0,'Données projet'!$E$9+1,1))-AVERAGE(OFFSET($H$3,0,0,'Données projet'!$E$9+1,1))</f>
        <v>312.43110610485337</v>
      </c>
      <c r="T41" s="62">
        <f t="shared" si="34"/>
        <v>442.54749157177571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0.46098480031455136</v>
      </c>
      <c r="AA41" s="23">
        <f>EXP(-LN(2)/25)*AA40+(1-EXP(-LN(2)/25))/(LN(2)/25)*Calculateur!V41*Calculateur!X41*VLOOKUP('Données projet'!$B$9,Paramètres!$A$1:$I$89,3,0)*0.475*44/12</f>
        <v>0.75420351836322896</v>
      </c>
      <c r="AB41" s="23">
        <f>EXP(-LN(2)/2)*AB40+(1-EXP(-LN(2)/2))/(LN(2)/2)*V41*Y41*VLOOKUP('Données projet'!$B$9,Paramètres!$A$1:$I$89,3,0)*0.475*44/12</f>
        <v>0.2401040115942063</v>
      </c>
      <c r="AC41" s="24">
        <f t="shared" si="3"/>
        <v>1.4552923302719867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11.2</v>
      </c>
      <c r="AI41" s="14">
        <f>IF('Données projet'!$A$62&gt;35,AI40+AH41-AQ40,IF(A41&lt;'Données projet'!$A$62,$AF$205^A41,IF(A41='Données projet'!$A$62,'Données projet'!$B$62,AI40+AH41-AQ40)))</f>
        <v>152.60000000000002</v>
      </c>
      <c r="AJ41" s="14">
        <f>AI41*VLOOKUP('Données projet'!$B$10,Paramètres!$A$1:$I$89,3,0)*VLOOKUP('Données projet'!$B$10,Paramètres!$A$1:$I$89,5,0)</f>
        <v>128.55024000000003</v>
      </c>
      <c r="AK41" s="14">
        <f t="shared" si="35"/>
        <v>33.661144026076663</v>
      </c>
      <c r="AL41" s="22">
        <f t="shared" si="4"/>
        <v>282.51816051208363</v>
      </c>
      <c r="AM41" s="62">
        <f t="shared" si="5"/>
        <v>528.70975380564232</v>
      </c>
      <c r="AN41" s="62">
        <f ca="1">AVERAGE(OFFSET($AM$3,0,0,'Données projet'!$E$10+1,1))-AVERAGE(OFFSET($H$3,0,0,'Données projet'!$E$10+1,1))</f>
        <v>445.02659128831181</v>
      </c>
      <c r="AO41" s="62">
        <f t="shared" si="36"/>
        <v>281.06176764290592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3.9837635847381896</v>
      </c>
      <c r="AV41" s="23">
        <f>EXP(-LN(2)/25)*AV40+(1-EXP(-LN(2)/25))/(LN(2)/25)*Calculateur!AQ41*Calculateur!AS41*VLOOKUP('Données projet'!$B$10,Paramètres!$A$1:$I$89,3,0)*0.475*44/12</f>
        <v>0.89464141488603766</v>
      </c>
      <c r="AW41" s="23">
        <f>EXP(-LN(2)/2)*AW40+(1-EXP(-LN(2)/2))/(LN(2)/2)*AQ41*AT41*VLOOKUP('Données projet'!$B$10,Paramètres!$A$1:$I$89,3,0)*0.475*44/12</f>
        <v>1.1778243326483533</v>
      </c>
      <c r="AX41" s="23">
        <f t="shared" si="6"/>
        <v>6.0562293322725811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11.2</v>
      </c>
      <c r="BD41" s="13">
        <f>IF('Données projet'!$A$88&gt;35,BD40+BC41-BL40,IF(A41&lt;'Données projet'!$A$88,$BA$205^A41,IF(A41='Données projet'!$A$88,'Données projet'!$B$88,BD40+BC41-BL40)))</f>
        <v>152.60000000000002</v>
      </c>
      <c r="BE41" s="14">
        <f>BD41*VLOOKUP('Données projet'!$B$11,Paramètres!$A$1:$I$89,3,0)*VLOOKUP('Données projet'!$B$11,Paramètres!$A$1:$I$89,5,0)</f>
        <v>138.07248000000001</v>
      </c>
      <c r="BF41" s="14">
        <f t="shared" si="37"/>
        <v>35.85508207677799</v>
      </c>
      <c r="BG41" s="22">
        <f t="shared" si="7"/>
        <v>302.9238372837217</v>
      </c>
      <c r="BH41" s="62">
        <f t="shared" si="8"/>
        <v>549.11543057728045</v>
      </c>
      <c r="BI41" s="62">
        <f ca="1">AVERAGE(OFFSET($BH$3,0,0,'Données projet'!$E$11+1,1))-AVERAGE(OFFSET($H$3,0,0,'Données projet'!$E$11+1,1))</f>
        <v>472.46893084347687</v>
      </c>
      <c r="BJ41" s="62">
        <f t="shared" si="38"/>
        <v>297.32483725004136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4.2788571836076832</v>
      </c>
      <c r="BQ41" s="23">
        <f>EXP(-LN(2)/25)*BQ40+(1-EXP(-LN(2)/25))/(LN(2)/25)*Calculateur!BL41*Calculateur!BN41*VLOOKUP('Données projet'!$B$11,Paramètres!$A$1:$I$89,3,0)*0.475*44/12</f>
        <v>0.96091114932204036</v>
      </c>
      <c r="BR41" s="23">
        <f>EXP(-LN(2)/2)*BR40+(1-EXP(-LN(2)/2))/(LN(2)/2)*BL41*BO41*VLOOKUP('Données projet'!$B$11,Paramètres!$A$1:$I$89,3,0)*0.475*44/12</f>
        <v>1.2650705795111938</v>
      </c>
      <c r="BS41" s="24">
        <f t="shared" si="9"/>
        <v>6.5048389124409169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10</v>
      </c>
      <c r="BY41" s="13">
        <f>IF('Données projet'!$A$114&gt;35,BY40+BX41-CG40,IF(A41&lt;'Données projet'!$A$114,$BV$205^A41,IF(A41='Données projet'!$A$114,'Données projet'!$B$114,BY40+BX41-CG40)))</f>
        <v>329.99999999999989</v>
      </c>
      <c r="BZ41" s="14">
        <f>BY41*VLOOKUP('Données projet'!$B$12,Paramètres!$A$1:$I$89,3,0)*VLOOKUP('Données projet'!$B$12,Paramètres!$A$1:$I$89,5,0)</f>
        <v>154.43999999999994</v>
      </c>
      <c r="CA41" s="14">
        <f t="shared" si="39"/>
        <v>39.585872170955454</v>
      </c>
      <c r="CB41" s="22">
        <f t="shared" si="10"/>
        <v>337.92839403108059</v>
      </c>
      <c r="CC41" s="62">
        <f t="shared" si="11"/>
        <v>584.11998732463928</v>
      </c>
      <c r="CD41" s="62">
        <f ca="1">AVERAGE(OFFSET($CC$3,0,0,'Données projet'!$E$12+1,1))-AVERAGE(OFFSET($H$3,0,0,'Données projet'!$E$12+1,1))</f>
        <v>426.87921482911719</v>
      </c>
      <c r="CE41" s="62">
        <f t="shared" si="40"/>
        <v>313.49594674441835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17.600000000000001</v>
      </c>
      <c r="CT41" s="13">
        <f>IF('Données projet'!$A$140&gt;35,CT40+CS41-DB40,IF(A41&lt;'Données projet'!$A$140,$CQ$205^A41,IF(A41='Données projet'!$A$140,'Données projet'!$B$140,CT40+CS41-DB40)))</f>
        <v>296.80000000000013</v>
      </c>
      <c r="CU41" s="18">
        <f>CT41*VLOOKUP('Données projet'!$B$13,Paramètres!$A$1:$I$89,3,0)*VLOOKUP('Données projet'!$B$13,Paramètres!$A$1:$I$89,5,0)</f>
        <v>177.48640000000012</v>
      </c>
      <c r="CV41" s="14">
        <f t="shared" si="41"/>
        <v>44.762499594286361</v>
      </c>
      <c r="CW41" s="22">
        <f t="shared" si="13"/>
        <v>387.08350012671559</v>
      </c>
      <c r="CX41" s="62">
        <f t="shared" si="14"/>
        <v>633.27509342027429</v>
      </c>
      <c r="CY41" s="62">
        <f ca="1">AVERAGE(OFFSET($CX$3,0,0,'Données projet'!$E$13+1,1))-AVERAGE(OFFSET($H$3,0,0,'Données projet'!$E$13+1,1))</f>
        <v>367.11994336501527</v>
      </c>
      <c r="CZ41" s="62">
        <f t="shared" si="42"/>
        <v>390.81417197867484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29.573372883501513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0.2877436285368361</v>
      </c>
      <c r="DI41" s="24">
        <f t="shared" si="15"/>
        <v>29.86111651203835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4.8</v>
      </c>
      <c r="N42" s="14">
        <f>IF('Données projet'!$A$36&gt;35,N41+M42-V41,IF(A42&lt;'Données projet'!$A$36,$K$205^A42,IF(A42='Données projet'!$A$36,'Données projet'!$B$36,N41+M42-V41)))</f>
        <v>228.20000000000019</v>
      </c>
      <c r="O42" s="14">
        <f>N42*VLOOKUP('Données projet'!$B$9,Paramètres!$A$1:$I$89,3,0)*VLOOKUP('Données projet'!$B$9,Paramètres!$A$1:$I$89,5,0)</f>
        <v>206.47536000000017</v>
      </c>
      <c r="P42" s="14">
        <f t="shared" si="33"/>
        <v>51.164606062687312</v>
      </c>
      <c r="Q42" s="22">
        <f t="shared" si="53"/>
        <v>448.72294089251392</v>
      </c>
      <c r="R42" s="62">
        <f t="shared" si="0"/>
        <v>695.73233798262106</v>
      </c>
      <c r="S42" s="62">
        <f ca="1">AVERAGE(OFFSET($R$3,0,0,'Données projet'!$E$9+1,1))-AVERAGE(OFFSET($H$3,0,0,'Données projet'!$E$9+1,1))</f>
        <v>312.43110610485337</v>
      </c>
      <c r="T42" s="62">
        <f t="shared" si="34"/>
        <v>442.54749157177571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0.45194516955334768</v>
      </c>
      <c r="AA42" s="23">
        <f>EXP(-LN(2)/25)*AA41+(1-EXP(-LN(2)/25))/(LN(2)/25)*Calculateur!V42*Calculateur!X42*VLOOKUP('Données projet'!$B$9,Paramètres!$A$1:$I$89,3,0)*0.475*44/12</f>
        <v>0.73357978349174724</v>
      </c>
      <c r="AB42" s="23">
        <f>EXP(-LN(2)/2)*AB41+(1-EXP(-LN(2)/2))/(LN(2)/2)*V42*Y42*VLOOKUP('Données projet'!$B$9,Paramètres!$A$1:$I$89,3,0)*0.475*44/12</f>
        <v>0.16977917478835672</v>
      </c>
      <c r="AC42" s="24">
        <f t="shared" si="3"/>
        <v>1.3553041278334517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11.2</v>
      </c>
      <c r="AI42" s="14">
        <f>IF('Données projet'!$A$62&gt;35,AI41+AH42-AQ41,IF(A42&lt;'Données projet'!$A$62,$AF$205^A42,IF(A42='Données projet'!$A$62,'Données projet'!$B$62,AI41+AH42-AQ41)))</f>
        <v>163.80000000000001</v>
      </c>
      <c r="AJ42" s="14">
        <f>AI42*VLOOKUP('Données projet'!$B$10,Paramètres!$A$1:$I$89,3,0)*VLOOKUP('Données projet'!$B$10,Paramètres!$A$1:$I$89,5,0)</f>
        <v>137.98512000000002</v>
      </c>
      <c r="AK42" s="14">
        <f t="shared" si="35"/>
        <v>35.835036067646342</v>
      </c>
      <c r="AL42" s="22">
        <f t="shared" si="4"/>
        <v>302.73677181781744</v>
      </c>
      <c r="AM42" s="62">
        <f t="shared" si="5"/>
        <v>549.74616890792458</v>
      </c>
      <c r="AN42" s="62">
        <f ca="1">AVERAGE(OFFSET($AM$3,0,0,'Données projet'!$E$10+1,1))-AVERAGE(OFFSET($H$3,0,0,'Données projet'!$E$10+1,1))</f>
        <v>445.02659128831181</v>
      </c>
      <c r="AO42" s="62">
        <f t="shared" si="36"/>
        <v>281.06176764290592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3.9056444106973323</v>
      </c>
      <c r="AV42" s="23">
        <f>EXP(-LN(2)/25)*AV41+(1-EXP(-LN(2)/25))/(LN(2)/25)*Calculateur!AQ42*Calculateur!AS42*VLOOKUP('Données projet'!$B$10,Paramètres!$A$1:$I$89,3,0)*0.475*44/12</f>
        <v>0.87017739834883168</v>
      </c>
      <c r="AW42" s="23">
        <f>EXP(-LN(2)/2)*AW41+(1-EXP(-LN(2)/2))/(LN(2)/2)*AQ42*AT42*VLOOKUP('Données projet'!$B$10,Paramètres!$A$1:$I$89,3,0)*0.475*44/12</f>
        <v>0.83284757266217058</v>
      </c>
      <c r="AX42" s="23">
        <f t="shared" si="6"/>
        <v>5.6086693817083342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11.2</v>
      </c>
      <c r="BD42" s="13">
        <f>IF('Données projet'!$A$88&gt;35,BD41+BC42-BL41,IF(A42&lt;'Données projet'!$A$88,$BA$205^A42,IF(A42='Données projet'!$A$88,'Données projet'!$B$88,BD41+BC42-BL41)))</f>
        <v>163.80000000000001</v>
      </c>
      <c r="BE42" s="14">
        <f>BD42*VLOOKUP('Données projet'!$B$11,Paramètres!$A$1:$I$89,3,0)*VLOOKUP('Données projet'!$B$11,Paramètres!$A$1:$I$89,5,0)</f>
        <v>148.20624000000001</v>
      </c>
      <c r="BF42" s="14">
        <f t="shared" si="37"/>
        <v>38.170662245893794</v>
      </c>
      <c r="BG42" s="22">
        <f t="shared" si="7"/>
        <v>324.60643807826506</v>
      </c>
      <c r="BH42" s="62">
        <f t="shared" si="8"/>
        <v>571.6158351683722</v>
      </c>
      <c r="BI42" s="62">
        <f ca="1">AVERAGE(OFFSET($BH$3,0,0,'Données projet'!$E$11+1,1))-AVERAGE(OFFSET($H$3,0,0,'Données projet'!$E$11+1,1))</f>
        <v>472.46893084347687</v>
      </c>
      <c r="BJ42" s="62">
        <f t="shared" si="38"/>
        <v>297.32483725004136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4.1949514040823175</v>
      </c>
      <c r="BQ42" s="23">
        <f>EXP(-LN(2)/25)*BQ41+(1-EXP(-LN(2)/25))/(LN(2)/25)*Calculateur!BL42*Calculateur!BN42*VLOOKUP('Données projet'!$B$11,Paramètres!$A$1:$I$89,3,0)*0.475*44/12</f>
        <v>0.93463498341170803</v>
      </c>
      <c r="BR42" s="23">
        <f>EXP(-LN(2)/2)*BR41+(1-EXP(-LN(2)/2))/(LN(2)/2)*BL42*BO42*VLOOKUP('Données projet'!$B$11,Paramètres!$A$1:$I$89,3,0)*0.475*44/12</f>
        <v>0.89453998545196067</v>
      </c>
      <c r="BS42" s="24">
        <f t="shared" si="9"/>
        <v>6.0241263729459869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10</v>
      </c>
      <c r="BY42" s="13">
        <f>IF('Données projet'!$A$114&gt;35,BY41+BX42-CG41,IF(A42&lt;'Données projet'!$A$114,$BV$205^A42,IF(A42='Données projet'!$A$114,'Données projet'!$B$114,BY41+BX42-CG41)))</f>
        <v>339.99999999999989</v>
      </c>
      <c r="BZ42" s="14">
        <f>BY42*VLOOKUP('Données projet'!$B$12,Paramètres!$A$1:$I$89,3,0)*VLOOKUP('Données projet'!$B$12,Paramètres!$A$1:$I$89,5,0)</f>
        <v>159.11999999999995</v>
      </c>
      <c r="CA42" s="14">
        <f t="shared" si="39"/>
        <v>40.643965284387697</v>
      </c>
      <c r="CB42" s="22">
        <f t="shared" si="10"/>
        <v>347.92223953697516</v>
      </c>
      <c r="CC42" s="62">
        <f t="shared" si="11"/>
        <v>594.9316366270823</v>
      </c>
      <c r="CD42" s="62">
        <f ca="1">AVERAGE(OFFSET($CC$3,0,0,'Données projet'!$E$12+1,1))-AVERAGE(OFFSET($H$3,0,0,'Données projet'!$E$12+1,1))</f>
        <v>426.87921482911719</v>
      </c>
      <c r="CE42" s="62">
        <f t="shared" si="40"/>
        <v>313.49594674441835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17.600000000000001</v>
      </c>
      <c r="CT42" s="13">
        <f>IF('Données projet'!$A$140&gt;35,CT41+CS42-DB41,IF(A42&lt;'Données projet'!$A$140,$CQ$205^A42,IF(A42='Données projet'!$A$140,'Données projet'!$B$140,CT41+CS42-DB41)))</f>
        <v>314.40000000000015</v>
      </c>
      <c r="CU42" s="18">
        <f>CT42*VLOOKUP('Données projet'!$B$13,Paramètres!$A$1:$I$89,3,0)*VLOOKUP('Données projet'!$B$13,Paramètres!$A$1:$I$89,5,0)</f>
        <v>188.01120000000012</v>
      </c>
      <c r="CV42" s="14">
        <f t="shared" si="41"/>
        <v>47.099988496591031</v>
      </c>
      <c r="CW42" s="22">
        <f t="shared" si="13"/>
        <v>409.48531996489623</v>
      </c>
      <c r="CX42" s="62">
        <f t="shared" si="14"/>
        <v>656.49471705500332</v>
      </c>
      <c r="CY42" s="62">
        <f ca="1">AVERAGE(OFFSET($CX$3,0,0,'Données projet'!$E$13+1,1))-AVERAGE(OFFSET($H$3,0,0,'Données projet'!$E$13+1,1))</f>
        <v>367.11994336501527</v>
      </c>
      <c r="CZ42" s="62">
        <f t="shared" si="42"/>
        <v>390.81417197867484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28.993457079232403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0.20346547098161979</v>
      </c>
      <c r="DI42" s="24">
        <f t="shared" si="15"/>
        <v>29.196922550214023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233</v>
      </c>
      <c r="L43" s="13">
        <f>VLOOKUP(A43,'Données projet'!$A$35:$I$55,9,0)</f>
        <v>4.8</v>
      </c>
      <c r="M43" s="13">
        <f t="array" ref="M43">INDEX(L:L,MIN(IF(ISNUMBER(L43:L239),ROW(L43:L239),"")))</f>
        <v>4.8</v>
      </c>
      <c r="N43" s="14">
        <f>IF('Données projet'!$A$36&gt;35,N42+M43-V42,IF(A43&lt;'Données projet'!$A$36,$K$205^A43,IF(A43='Données projet'!$A$36,'Données projet'!$B$36,N42+M43-V42)))</f>
        <v>233.0000000000002</v>
      </c>
      <c r="O43" s="14">
        <f>N43*VLOOKUP('Données projet'!$B$9,Paramètres!$A$1:$I$89,3,0)*VLOOKUP('Données projet'!$B$9,Paramètres!$A$1:$I$89,5,0)</f>
        <v>210.81840000000017</v>
      </c>
      <c r="P43" s="14">
        <f t="shared" si="33"/>
        <v>52.114386184062248</v>
      </c>
      <c r="Q43" s="22">
        <f t="shared" si="53"/>
        <v>457.94126927057533</v>
      </c>
      <c r="R43" s="62">
        <f t="shared" si="0"/>
        <v>705.75428308969617</v>
      </c>
      <c r="S43" s="62">
        <f ca="1">AVERAGE(OFFSET($R$3,0,0,'Données projet'!$E$9+1,1))-AVERAGE(OFFSET($H$3,0,0,'Données projet'!$E$9+1,1))</f>
        <v>312.43110610485337</v>
      </c>
      <c r="T43" s="62">
        <f t="shared" si="34"/>
        <v>442.54749157177571</v>
      </c>
      <c r="U43" s="16">
        <f>IF(ISNA(VLOOKUP(A43,'Données projet'!$A$35:$I$55,3,0)),0,VLOOKUP(A43,'Données projet'!$A$35:$I$55,3,0))</f>
        <v>8</v>
      </c>
      <c r="V43" s="16">
        <f>IF(ISNA(VLOOKUP(A43,'Données projet'!$A$35:$I$55,4,0)),0,VLOOKUP(A43,'Données projet'!$A$35:$I$55,4,0))</f>
        <v>6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0.44308280043774084</v>
      </c>
      <c r="AA43" s="23">
        <f>EXP(-LN(2)/25)*AA42+(1-EXP(-LN(2)/25))/(LN(2)/25)*Calculateur!V43*Calculateur!X43*VLOOKUP('Données projet'!$B$9,Paramètres!$A$1:$I$89,3,0)*0.475*44/12</f>
        <v>0.71352000573488117</v>
      </c>
      <c r="AB43" s="23">
        <f>EXP(-LN(2)/2)*AB42+(1-EXP(-LN(2)/2))/(LN(2)/2)*V43*Y43*VLOOKUP('Données projet'!$B$9,Paramètres!$A$1:$I$89,3,0)*0.475*44/12</f>
        <v>0.12005200579710316</v>
      </c>
      <c r="AC43" s="24">
        <f t="shared" si="3"/>
        <v>1.276654811969725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175</v>
      </c>
      <c r="AG43" s="13">
        <f>VLOOKUP(A43,'Données projet'!$A$61:$I$81,9,0)</f>
        <v>11.2</v>
      </c>
      <c r="AH43" s="13">
        <f t="array" ref="AH43">INDEX(AG:AG,MIN(IF(ISNUMBER(AG43:AG239),ROW(AG43:AG239),"")))</f>
        <v>11.2</v>
      </c>
      <c r="AI43" s="14">
        <f>IF('Données projet'!$A$62&gt;35,AI42+AH43-AQ42,IF(A43&lt;'Données projet'!$A$62,$AF$205^A43,IF(A43='Données projet'!$A$62,'Données projet'!$B$62,AI42+AH43-AQ42)))</f>
        <v>175</v>
      </c>
      <c r="AJ43" s="14">
        <f>AI43*VLOOKUP('Données projet'!$B$10,Paramètres!$A$1:$I$89,3,0)*VLOOKUP('Données projet'!$B$10,Paramètres!$A$1:$I$89,5,0)</f>
        <v>147.42000000000002</v>
      </c>
      <c r="AK43" s="14">
        <f t="shared" si="35"/>
        <v>37.991680647570291</v>
      </c>
      <c r="AL43" s="22">
        <f t="shared" si="4"/>
        <v>322.92534379451826</v>
      </c>
      <c r="AM43" s="62">
        <f t="shared" si="5"/>
        <v>570.7383576136391</v>
      </c>
      <c r="AN43" s="62">
        <f ca="1">AVERAGE(OFFSET($AM$3,0,0,'Données projet'!$E$10+1,1))-AVERAGE(OFFSET($H$3,0,0,'Données projet'!$E$10+1,1))</f>
        <v>445.02659128831181</v>
      </c>
      <c r="AO43" s="62">
        <f t="shared" si="36"/>
        <v>281.06176764290592</v>
      </c>
      <c r="AP43" s="16">
        <f>IF(ISNA(VLOOKUP(A43,'Données projet'!$A$61:$I$81,3,0)),0,VLOOKUP(A43,'Données projet'!$A$61:$I$81,3,0))</f>
        <v>5</v>
      </c>
      <c r="AQ43" s="16">
        <f>IF(ISNA(VLOOKUP(A43,'Données projet'!$A$61:$I$81,4,0)),0,VLOOKUP(A43,'Données projet'!$A$61:$I$81,4,0))</f>
        <v>28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3.8290571060114247</v>
      </c>
      <c r="AV43" s="23">
        <f>EXP(-LN(2)/25)*AV42+(1-EXP(-LN(2)/25))/(LN(2)/25)*Calculateur!AQ43*Calculateur!AS43*VLOOKUP('Données projet'!$B$10,Paramètres!$A$1:$I$89,3,0)*0.475*44/12</f>
        <v>0.84638235163034237</v>
      </c>
      <c r="AW43" s="23">
        <f>EXP(-LN(2)/2)*AW42+(1-EXP(-LN(2)/2))/(LN(2)/2)*AQ43*AT43*VLOOKUP('Données projet'!$B$10,Paramètres!$A$1:$I$89,3,0)*0.475*44/12</f>
        <v>0.58891216632417676</v>
      </c>
      <c r="AX43" s="23">
        <f t="shared" si="6"/>
        <v>5.2643516239659434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175</v>
      </c>
      <c r="BB43" s="13">
        <f>VLOOKUP(A43,'Données projet'!$A$87:$I$107,9,0)</f>
        <v>11.2</v>
      </c>
      <c r="BC43" s="13">
        <f t="array" ref="BC43">INDEX(BB:BB,MIN(IF(ISNUMBER(BB43:BB239),ROW(BB43:BB239),"")))</f>
        <v>11.2</v>
      </c>
      <c r="BD43" s="13">
        <f>IF('Données projet'!$A$88&gt;35,BD42+BC43-BL42,IF(A43&lt;'Données projet'!$A$88,$BA$205^A43,IF(A43='Données projet'!$A$88,'Données projet'!$B$88,BD42+BC43-BL42)))</f>
        <v>175</v>
      </c>
      <c r="BE43" s="14">
        <f>BD43*VLOOKUP('Données projet'!$B$11,Paramètres!$A$1:$I$89,3,0)*VLOOKUP('Données projet'!$B$11,Paramètres!$A$1:$I$89,5,0)</f>
        <v>158.34</v>
      </c>
      <c r="BF43" s="14">
        <f t="shared" si="37"/>
        <v>40.467870812652819</v>
      </c>
      <c r="BG43" s="22">
        <f t="shared" si="7"/>
        <v>346.25704166537031</v>
      </c>
      <c r="BH43" s="62">
        <f t="shared" si="8"/>
        <v>594.07005548449115</v>
      </c>
      <c r="BI43" s="62">
        <f ca="1">AVERAGE(OFFSET($BH$3,0,0,'Données projet'!$E$11+1,1))-AVERAGE(OFFSET($H$3,0,0,'Données projet'!$E$11+1,1))</f>
        <v>472.46893084347687</v>
      </c>
      <c r="BJ43" s="62">
        <f t="shared" si="38"/>
        <v>297.32483725004136</v>
      </c>
      <c r="BK43" s="16">
        <f>IF(ISNA(VLOOKUP(A43,'Données projet'!$A$87:$I$107,3,0)),0,VLOOKUP(A43,'Données projet'!$A$87:$I$107,3,0))</f>
        <v>5</v>
      </c>
      <c r="BL43" s="16">
        <f>IF(ISNA(VLOOKUP(A43,'Données projet'!$A$87:$I$107,4,0)),0,VLOOKUP(A43,'Données projet'!$A$87:$I$107,4,0))</f>
        <v>28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4.1126909657159727</v>
      </c>
      <c r="BQ43" s="23">
        <f>EXP(-LN(2)/25)*BQ42+(1-EXP(-LN(2)/25))/(LN(2)/25)*Calculateur!BL43*Calculateur!BN43*VLOOKUP('Données projet'!$B$11,Paramètres!$A$1:$I$89,3,0)*0.475*44/12</f>
        <v>0.90907734063999723</v>
      </c>
      <c r="BR43" s="23">
        <f>EXP(-LN(2)/2)*BR42+(1-EXP(-LN(2)/2))/(LN(2)/2)*BL43*BO43*VLOOKUP('Données projet'!$B$11,Paramètres!$A$1:$I$89,3,0)*0.475*44/12</f>
        <v>0.63253528975559703</v>
      </c>
      <c r="BS43" s="24">
        <f t="shared" si="9"/>
        <v>5.6543035961115669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350</v>
      </c>
      <c r="BW43" s="13">
        <f>VLOOKUP(A43,'Données projet'!$A$113:$I$133,9,0)</f>
        <v>10</v>
      </c>
      <c r="BX43" s="13">
        <f t="array" ref="BX43">INDEX(BW:BW,MIN(IF(ISNUMBER(BW43:BW239),ROW(BW43:BW239),"")))</f>
        <v>10</v>
      </c>
      <c r="BY43" s="13">
        <f>IF('Données projet'!$A$114&gt;35,BY42+BX43-CG42,IF(A43&lt;'Données projet'!$A$114,$BV$205^A43,IF(A43='Données projet'!$A$114,'Données projet'!$B$114,BY42+BX43-CG42)))</f>
        <v>349.99999999999989</v>
      </c>
      <c r="BZ43" s="14">
        <f>BY43*VLOOKUP('Données projet'!$B$12,Paramètres!$A$1:$I$89,3,0)*VLOOKUP('Données projet'!$B$12,Paramètres!$A$1:$I$89,5,0)</f>
        <v>163.79999999999995</v>
      </c>
      <c r="CA43" s="14">
        <f t="shared" si="39"/>
        <v>41.698441627605291</v>
      </c>
      <c r="CB43" s="22">
        <f t="shared" si="10"/>
        <v>357.90978583474572</v>
      </c>
      <c r="CC43" s="62">
        <f t="shared" si="11"/>
        <v>605.72279965386656</v>
      </c>
      <c r="CD43" s="62">
        <f ca="1">AVERAGE(OFFSET($CC$3,0,0,'Données projet'!$E$12+1,1))-AVERAGE(OFFSET($H$3,0,0,'Données projet'!$E$12+1,1))</f>
        <v>426.87921482911719</v>
      </c>
      <c r="CE43" s="62">
        <f t="shared" si="40"/>
        <v>313.49594674441835</v>
      </c>
      <c r="CF43" s="16">
        <f>IF(ISNA(VLOOKUP(A43,'Données projet'!$A$113:$I$133,3,0)),0,VLOOKUP(A43,'Données projet'!$A$113:$I$133,3,0))</f>
        <v>3</v>
      </c>
      <c r="CG43" s="16">
        <f>IF(ISNA(VLOOKUP(A43,'Données projet'!$A$113:$I$133,4,0)),0,VLOOKUP(A43,'Données projet'!$A$113:$I$133,4,0))</f>
        <v>88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332</v>
      </c>
      <c r="CR43" s="13">
        <f>VLOOKUP(A43,'Données projet'!$A$139:$I$159,9,0)</f>
        <v>17.600000000000001</v>
      </c>
      <c r="CS43" s="13">
        <f t="array" ref="CS43">INDEX(CR:CR,MIN(IF(ISNUMBER(CR43:CR239),ROW(CR43:CR239),"")))</f>
        <v>17.600000000000001</v>
      </c>
      <c r="CT43" s="13">
        <f>IF('Données projet'!$A$140&gt;35,CT42+CS43-DB42,IF(A43&lt;'Données projet'!$A$140,$CQ$205^A43,IF(A43='Données projet'!$A$140,'Données projet'!$B$140,CT42+CS43-DB42)))</f>
        <v>332.00000000000017</v>
      </c>
      <c r="CU43" s="18">
        <f>CT43*VLOOKUP('Données projet'!$B$13,Paramètres!$A$1:$I$89,3,0)*VLOOKUP('Données projet'!$B$13,Paramètres!$A$1:$I$89,5,0)</f>
        <v>198.53600000000012</v>
      </c>
      <c r="CV43" s="14">
        <f t="shared" si="41"/>
        <v>49.42228739122875</v>
      </c>
      <c r="CW43" s="22">
        <f t="shared" si="13"/>
        <v>431.86068387305687</v>
      </c>
      <c r="CX43" s="62">
        <f t="shared" si="14"/>
        <v>679.67369769217771</v>
      </c>
      <c r="CY43" s="62">
        <f ca="1">AVERAGE(OFFSET($CX$3,0,0,'Données projet'!$E$13+1,1))-AVERAGE(OFFSET($H$3,0,0,'Données projet'!$E$13+1,1))</f>
        <v>367.11994336501527</v>
      </c>
      <c r="CZ43" s="62">
        <f t="shared" si="42"/>
        <v>390.81417197867484</v>
      </c>
      <c r="DA43" s="16">
        <f>IF(ISNA(VLOOKUP(A43,'Données projet'!$A$139:$I$159,3,0)),0,VLOOKUP(A43,'Données projet'!$A$139:$I$159,3,0))</f>
        <v>6</v>
      </c>
      <c r="DB43" s="16">
        <f>IF(ISNA(VLOOKUP(A43,'Données projet'!$A$139:$I$159,4,0)),0,VLOOKUP(A43,'Données projet'!$A$139:$I$159,4,0))</f>
        <v>48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28.424913070171296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0.14387181426841808</v>
      </c>
      <c r="DI43" s="24">
        <f t="shared" si="15"/>
        <v>28.568784884439715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5</v>
      </c>
      <c r="N44" s="14">
        <f>IF('Données projet'!$A$36&gt;35,N43+M44-V43,IF(A44&lt;'Données projet'!$A$36,$K$205^A44,IF(A44='Données projet'!$A$36,'Données projet'!$B$36,N43+M44-V43)))</f>
        <v>232.0000000000002</v>
      </c>
      <c r="O44" s="14">
        <f>N44*VLOOKUP('Données projet'!$B$9,Paramètres!$A$1:$I$89,3,0)*VLOOKUP('Données projet'!$B$9,Paramètres!$A$1:$I$89,5,0)</f>
        <v>209.9136000000002</v>
      </c>
      <c r="P44" s="14">
        <f t="shared" si="33"/>
        <v>51.916704672341361</v>
      </c>
      <c r="Q44" s="22">
        <f t="shared" si="53"/>
        <v>456.02111397099492</v>
      </c>
      <c r="R44" s="62">
        <f t="shared" si="0"/>
        <v>704.62380356549886</v>
      </c>
      <c r="S44" s="62">
        <f ca="1">AVERAGE(OFFSET($R$3,0,0,'Données projet'!$E$9+1,1))-AVERAGE(OFFSET($H$3,0,0,'Données projet'!$E$9+1,1))</f>
        <v>312.43110610485337</v>
      </c>
      <c r="T44" s="62">
        <f t="shared" si="34"/>
        <v>442.54749157177571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0.43439421697497965</v>
      </c>
      <c r="AA44" s="23">
        <f>EXP(-LN(2)/25)*AA43+(1-EXP(-LN(2)/25))/(LN(2)/25)*Calculateur!V44*Calculateur!X44*VLOOKUP('Données projet'!$B$9,Paramètres!$A$1:$I$89,3,0)*0.475*44/12</f>
        <v>0.69400876365567454</v>
      </c>
      <c r="AB44" s="23">
        <f>EXP(-LN(2)/2)*AB43+(1-EXP(-LN(2)/2))/(LN(2)/2)*V44*Y44*VLOOKUP('Données projet'!$B$9,Paramètres!$A$1:$I$89,3,0)*0.475*44/12</f>
        <v>8.4889587394178373E-2</v>
      </c>
      <c r="AC44" s="24">
        <f t="shared" si="3"/>
        <v>1.2132925680248325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11.4</v>
      </c>
      <c r="AI44" s="14">
        <f>IF('Données projet'!$A$62&gt;35,AI43+AH44-AQ43,IF(A44&lt;'Données projet'!$A$62,$AF$205^A44,IF(A44='Données projet'!$A$62,'Données projet'!$B$62,AI43+AH44-AQ43)))</f>
        <v>158.4</v>
      </c>
      <c r="AJ44" s="14">
        <f>AI44*VLOOKUP('Données projet'!$B$10,Paramètres!$A$1:$I$89,3,0)*VLOOKUP('Données projet'!$B$10,Paramètres!$A$1:$I$89,5,0)</f>
        <v>133.43616000000003</v>
      </c>
      <c r="AK44" s="14">
        <f t="shared" si="35"/>
        <v>34.789145432008958</v>
      </c>
      <c r="AL44" s="22">
        <f t="shared" si="4"/>
        <v>292.99240696074895</v>
      </c>
      <c r="AM44" s="62">
        <f t="shared" si="5"/>
        <v>541.59509655525289</v>
      </c>
      <c r="AN44" s="62">
        <f ca="1">AVERAGE(OFFSET($AM$3,0,0,'Données projet'!$E$10+1,1))-AVERAGE(OFFSET($H$3,0,0,'Données projet'!$E$10+1,1))</f>
        <v>445.02659128831181</v>
      </c>
      <c r="AO44" s="62">
        <f t="shared" si="36"/>
        <v>281.06176764290592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3.7539716316567646</v>
      </c>
      <c r="AV44" s="23">
        <f>EXP(-LN(2)/25)*AV43+(1-EXP(-LN(2)/25))/(LN(2)/25)*Calculateur!AQ44*Calculateur!AS44*VLOOKUP('Données projet'!$B$10,Paramètres!$A$1:$I$89,3,0)*0.475*44/12</f>
        <v>0.82323798171569718</v>
      </c>
      <c r="AW44" s="23">
        <f>EXP(-LN(2)/2)*AW43+(1-EXP(-LN(2)/2))/(LN(2)/2)*AQ44*AT44*VLOOKUP('Données projet'!$B$10,Paramètres!$A$1:$I$89,3,0)*0.475*44/12</f>
        <v>0.41642378633108534</v>
      </c>
      <c r="AX44" s="23">
        <f t="shared" si="6"/>
        <v>4.9936333997035476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11.4</v>
      </c>
      <c r="BD44" s="13">
        <f>IF('Données projet'!$A$88&gt;35,BD43+BC44-BL43,IF(A44&lt;'Données projet'!$A$88,$BA$205^A44,IF(A44='Données projet'!$A$88,'Données projet'!$B$88,BD43+BC44-BL43)))</f>
        <v>158.4</v>
      </c>
      <c r="BE44" s="14">
        <f>BD44*VLOOKUP('Données projet'!$B$11,Paramètres!$A$1:$I$89,3,0)*VLOOKUP('Données projet'!$B$11,Paramètres!$A$1:$I$89,5,0)</f>
        <v>143.32032000000001</v>
      </c>
      <c r="BF44" s="14">
        <f t="shared" si="37"/>
        <v>37.056603420232349</v>
      </c>
      <c r="BG44" s="22">
        <f t="shared" si="7"/>
        <v>314.15647495690467</v>
      </c>
      <c r="BH44" s="62">
        <f t="shared" si="8"/>
        <v>562.75916455140862</v>
      </c>
      <c r="BI44" s="62">
        <f ca="1">AVERAGE(OFFSET($BH$3,0,0,'Données projet'!$E$11+1,1))-AVERAGE(OFFSET($H$3,0,0,'Données projet'!$E$11+1,1))</f>
        <v>472.46893084347687</v>
      </c>
      <c r="BJ44" s="62">
        <f t="shared" si="38"/>
        <v>297.32483725004136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4.0320436043720784</v>
      </c>
      <c r="BQ44" s="23">
        <f>EXP(-LN(2)/25)*BQ43+(1-EXP(-LN(2)/25))/(LN(2)/25)*Calculateur!BL44*Calculateur!BN44*VLOOKUP('Données projet'!$B$11,Paramètres!$A$1:$I$89,3,0)*0.475*44/12</f>
        <v>0.88421857295389694</v>
      </c>
      <c r="BR44" s="23">
        <f>EXP(-LN(2)/2)*BR43+(1-EXP(-LN(2)/2))/(LN(2)/2)*BL44*BO44*VLOOKUP('Données projet'!$B$11,Paramètres!$A$1:$I$89,3,0)*0.475*44/12</f>
        <v>0.44726999272598039</v>
      </c>
      <c r="BS44" s="24">
        <f t="shared" si="9"/>
        <v>5.3635321700519558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11.5</v>
      </c>
      <c r="BY44" s="13">
        <f>IF('Données projet'!$A$114&gt;35,BY43+BX44-CG43,IF(A44&lt;'Données projet'!$A$114,$BV$205^A44,IF(A44='Données projet'!$A$114,'Données projet'!$B$114,BY43+BX44-CG43)))</f>
        <v>273.49999999999989</v>
      </c>
      <c r="BZ44" s="14">
        <f>BY44*VLOOKUP('Données projet'!$B$12,Paramètres!$A$1:$I$89,3,0)*VLOOKUP('Données projet'!$B$12,Paramètres!$A$1:$I$89,5,0)</f>
        <v>127.99799999999995</v>
      </c>
      <c r="CA44" s="14">
        <f t="shared" si="39"/>
        <v>33.533338894635314</v>
      </c>
      <c r="CB44" s="22">
        <f t="shared" si="10"/>
        <v>281.33374857482306</v>
      </c>
      <c r="CC44" s="62">
        <f t="shared" si="11"/>
        <v>529.93643816932706</v>
      </c>
      <c r="CD44" s="62">
        <f ca="1">AVERAGE(OFFSET($CC$3,0,0,'Données projet'!$E$12+1,1))-AVERAGE(OFFSET($H$3,0,0,'Données projet'!$E$12+1,1))</f>
        <v>426.87921482911719</v>
      </c>
      <c r="CE44" s="62">
        <f t="shared" si="40"/>
        <v>313.49594674441835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20</v>
      </c>
      <c r="CT44" s="13">
        <f>IF('Données projet'!$A$140&gt;35,CT43+CS44-DB43,IF(A44&lt;'Données projet'!$A$140,$CQ$205^A44,IF(A44='Données projet'!$A$140,'Données projet'!$B$140,CT43+CS44-DB43)))</f>
        <v>304.00000000000017</v>
      </c>
      <c r="CU44" s="18">
        <f>CT44*VLOOKUP('Données projet'!$B$13,Paramètres!$A$1:$I$89,3,0)*VLOOKUP('Données projet'!$B$13,Paramètres!$A$1:$I$89,5,0)</f>
        <v>181.79200000000012</v>
      </c>
      <c r="CV44" s="14">
        <f t="shared" si="41"/>
        <v>45.720642997712574</v>
      </c>
      <c r="CW44" s="22">
        <f t="shared" si="13"/>
        <v>396.25118655434966</v>
      </c>
      <c r="CX44" s="62">
        <f t="shared" si="14"/>
        <v>644.8538761488536</v>
      </c>
      <c r="CY44" s="62">
        <f ca="1">AVERAGE(OFFSET($CX$3,0,0,'Données projet'!$E$13+1,1))-AVERAGE(OFFSET($H$3,0,0,'Données projet'!$E$13+1,1))</f>
        <v>367.11994336501527</v>
      </c>
      <c r="CZ44" s="62">
        <f t="shared" si="42"/>
        <v>390.81417197867484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27.867517862350276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0.10173273549080991</v>
      </c>
      <c r="DI44" s="24">
        <f t="shared" si="15"/>
        <v>27.969250597841086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5</v>
      </c>
      <c r="N45" s="14">
        <f>IF('Données projet'!$A$36&gt;35,N44+M45-V44,IF(A45&lt;'Données projet'!$A$36,$K$205^A45,IF(A45='Données projet'!$A$36,'Données projet'!$B$36,N44+M45-V44)))</f>
        <v>237.0000000000002</v>
      </c>
      <c r="O45" s="14">
        <f>N45*VLOOKUP('Données projet'!$B$9,Paramètres!$A$1:$I$89,3,0)*VLOOKUP('Données projet'!$B$9,Paramètres!$A$1:$I$89,5,0)</f>
        <v>214.43760000000015</v>
      </c>
      <c r="P45" s="14">
        <f t="shared" si="33"/>
        <v>52.904129603372425</v>
      </c>
      <c r="Q45" s="22">
        <f t="shared" si="53"/>
        <v>465.6201790592072</v>
      </c>
      <c r="R45" s="62">
        <f t="shared" si="0"/>
        <v>714.99884531984196</v>
      </c>
      <c r="S45" s="62">
        <f ca="1">AVERAGE(OFFSET($R$3,0,0,'Données projet'!$E$9+1,1))-AVERAGE(OFFSET($H$3,0,0,'Données projet'!$E$9+1,1))</f>
        <v>312.43110610485337</v>
      </c>
      <c r="T45" s="62">
        <f t="shared" si="34"/>
        <v>442.54749157177571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0.42587601133441061</v>
      </c>
      <c r="AA45" s="23">
        <f>EXP(-LN(2)/25)*AA44+(1-EXP(-LN(2)/25))/(LN(2)/25)*Calculateur!V45*Calculateur!X45*VLOOKUP('Données projet'!$B$9,Paramètres!$A$1:$I$89,3,0)*0.475*44/12</f>
        <v>0.6750310575171754</v>
      </c>
      <c r="AB45" s="23">
        <f>EXP(-LN(2)/2)*AB44+(1-EXP(-LN(2)/2))/(LN(2)/2)*V45*Y45*VLOOKUP('Données projet'!$B$9,Paramètres!$A$1:$I$89,3,0)*0.475*44/12</f>
        <v>6.0026002898551596E-2</v>
      </c>
      <c r="AC45" s="24">
        <f t="shared" si="3"/>
        <v>1.1609330717501376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11.4</v>
      </c>
      <c r="AI45" s="14">
        <f>IF('Données projet'!$A$62&gt;35,AI44+AH45-AQ44,IF(A45&lt;'Données projet'!$A$62,$AF$205^A45,IF(A45='Données projet'!$A$62,'Données projet'!$B$62,AI44+AH45-AQ44)))</f>
        <v>169.8</v>
      </c>
      <c r="AJ45" s="14">
        <f>AI45*VLOOKUP('Données projet'!$B$10,Paramètres!$A$1:$I$89,3,0)*VLOOKUP('Données projet'!$B$10,Paramètres!$A$1:$I$89,5,0)</f>
        <v>143.03952000000001</v>
      </c>
      <c r="AK45" s="14">
        <f t="shared" si="35"/>
        <v>36.992444033168439</v>
      </c>
      <c r="AL45" s="22">
        <f t="shared" si="4"/>
        <v>313.55567069110168</v>
      </c>
      <c r="AM45" s="62">
        <f t="shared" si="5"/>
        <v>562.93433695173644</v>
      </c>
      <c r="AN45" s="62">
        <f ca="1">AVERAGE(OFFSET($AM$3,0,0,'Données projet'!$E$10+1,1))-AVERAGE(OFFSET($H$3,0,0,'Données projet'!$E$10+1,1))</f>
        <v>445.02659128831181</v>
      </c>
      <c r="AO45" s="62">
        <f t="shared" si="36"/>
        <v>281.06176764290592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3.6803585376565819</v>
      </c>
      <c r="AV45" s="23">
        <f>EXP(-LN(2)/25)*AV44+(1-EXP(-LN(2)/25))/(LN(2)/25)*Calculateur!AQ45*Calculateur!AS45*VLOOKUP('Données projet'!$B$10,Paramètres!$A$1:$I$89,3,0)*0.475*44/12</f>
        <v>0.80072649581347755</v>
      </c>
      <c r="AW45" s="23">
        <f>EXP(-LN(2)/2)*AW44+(1-EXP(-LN(2)/2))/(LN(2)/2)*AQ45*AT45*VLOOKUP('Données projet'!$B$10,Paramètres!$A$1:$I$89,3,0)*0.475*44/12</f>
        <v>0.29445608316208838</v>
      </c>
      <c r="AX45" s="23">
        <f t="shared" si="6"/>
        <v>4.775541116632148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11.4</v>
      </c>
      <c r="BD45" s="13">
        <f>IF('Données projet'!$A$88&gt;35,BD44+BC45-BL44,IF(A45&lt;'Données projet'!$A$88,$BA$205^A45,IF(A45='Données projet'!$A$88,'Données projet'!$B$88,BD44+BC45-BL44)))</f>
        <v>169.8</v>
      </c>
      <c r="BE45" s="14">
        <f>BD45*VLOOKUP('Données projet'!$B$11,Paramètres!$A$1:$I$89,3,0)*VLOOKUP('Données projet'!$B$11,Paramètres!$A$1:$I$89,5,0)</f>
        <v>153.63504</v>
      </c>
      <c r="BF45" s="14">
        <f t="shared" si="37"/>
        <v>39.403506785222667</v>
      </c>
      <c r="BG45" s="22">
        <f t="shared" si="7"/>
        <v>336.20880231759617</v>
      </c>
      <c r="BH45" s="62">
        <f t="shared" si="8"/>
        <v>585.58746857823087</v>
      </c>
      <c r="BI45" s="62">
        <f ca="1">AVERAGE(OFFSET($BH$3,0,0,'Données projet'!$E$11+1,1))-AVERAGE(OFFSET($H$3,0,0,'Données projet'!$E$11+1,1))</f>
        <v>472.46893084347687</v>
      </c>
      <c r="BJ45" s="62">
        <f t="shared" si="38"/>
        <v>297.32483725004136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3.9529776885941046</v>
      </c>
      <c r="BQ45" s="23">
        <f>EXP(-LN(2)/25)*BQ44+(1-EXP(-LN(2)/25))/(LN(2)/25)*Calculateur!BL45*Calculateur!BN45*VLOOKUP('Données projet'!$B$11,Paramètres!$A$1:$I$89,3,0)*0.475*44/12</f>
        <v>0.86003956957743877</v>
      </c>
      <c r="BR45" s="23">
        <f>EXP(-LN(2)/2)*BR44+(1-EXP(-LN(2)/2))/(LN(2)/2)*BL45*BO45*VLOOKUP('Données projet'!$B$11,Paramètres!$A$1:$I$89,3,0)*0.475*44/12</f>
        <v>0.31626764487779851</v>
      </c>
      <c r="BS45" s="24">
        <f t="shared" si="9"/>
        <v>5.1292849030493413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11.5</v>
      </c>
      <c r="BY45" s="13">
        <f>IF('Données projet'!$A$114&gt;35,BY44+BX45-CG44,IF(A45&lt;'Données projet'!$A$114,$BV$205^A45,IF(A45='Données projet'!$A$114,'Données projet'!$B$114,BY44+BX45-CG44)))</f>
        <v>284.99999999999989</v>
      </c>
      <c r="BZ45" s="14">
        <f>BY45*VLOOKUP('Données projet'!$B$12,Paramètres!$A$1:$I$89,3,0)*VLOOKUP('Données projet'!$B$12,Paramètres!$A$1:$I$89,5,0)</f>
        <v>133.37999999999994</v>
      </c>
      <c r="CA45" s="14">
        <f t="shared" si="39"/>
        <v>34.776207535548991</v>
      </c>
      <c r="CB45" s="22">
        <f t="shared" si="10"/>
        <v>292.87206145774769</v>
      </c>
      <c r="CC45" s="62">
        <f t="shared" si="11"/>
        <v>542.25072771838245</v>
      </c>
      <c r="CD45" s="62">
        <f ca="1">AVERAGE(OFFSET($CC$3,0,0,'Données projet'!$E$12+1,1))-AVERAGE(OFFSET($H$3,0,0,'Données projet'!$E$12+1,1))</f>
        <v>426.87921482911719</v>
      </c>
      <c r="CE45" s="62">
        <f t="shared" si="40"/>
        <v>313.49594674441835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20</v>
      </c>
      <c r="CT45" s="13">
        <f>IF('Données projet'!$A$140&gt;35,CT44+CS45-DB44,IF(A45&lt;'Données projet'!$A$140,$CQ$205^A45,IF(A45='Données projet'!$A$140,'Données projet'!$B$140,CT44+CS45-DB44)))</f>
        <v>324.00000000000017</v>
      </c>
      <c r="CU45" s="18">
        <f>CT45*VLOOKUP('Données projet'!$B$13,Paramètres!$A$1:$I$89,3,0)*VLOOKUP('Données projet'!$B$13,Paramètres!$A$1:$I$89,5,0)</f>
        <v>193.75200000000009</v>
      </c>
      <c r="CV45" s="14">
        <f t="shared" si="41"/>
        <v>48.368520355376113</v>
      </c>
      <c r="CW45" s="22">
        <f t="shared" si="13"/>
        <v>421.69323961894696</v>
      </c>
      <c r="CX45" s="62">
        <f t="shared" si="14"/>
        <v>671.07190587958166</v>
      </c>
      <c r="CY45" s="62">
        <f ca="1">AVERAGE(OFFSET($CX$3,0,0,'Données projet'!$E$13+1,1))-AVERAGE(OFFSET($H$3,0,0,'Données projet'!$E$13+1,1))</f>
        <v>367.11994336501527</v>
      </c>
      <c r="CZ45" s="62">
        <f t="shared" si="42"/>
        <v>390.81417197867484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27.32105283457712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7.193590713420904E-2</v>
      </c>
      <c r="DI45" s="24">
        <f t="shared" si="15"/>
        <v>27.392988741711328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5</v>
      </c>
      <c r="N46" s="14">
        <f>IF('Données projet'!$A$36&gt;35,N45+M46-V45,IF(A46&lt;'Données projet'!$A$36,$K$205^A46,IF(A46='Données projet'!$A$36,'Données projet'!$B$36,N45+M46-V45)))</f>
        <v>242.0000000000002</v>
      </c>
      <c r="O46" s="14">
        <f>N46*VLOOKUP('Données projet'!$B$9,Paramètres!$A$1:$I$89,3,0)*VLOOKUP('Données projet'!$B$9,Paramètres!$A$1:$I$89,5,0)</f>
        <v>218.96160000000017</v>
      </c>
      <c r="P46" s="14">
        <f t="shared" si="33"/>
        <v>53.889132503707479</v>
      </c>
      <c r="Q46" s="22">
        <f t="shared" si="53"/>
        <v>475.2150257772908</v>
      </c>
      <c r="R46" s="62">
        <f t="shared" si="0"/>
        <v>725.35620724372279</v>
      </c>
      <c r="S46" s="62">
        <f ca="1">AVERAGE(OFFSET($R$3,0,0,'Données projet'!$E$9+1,1))-AVERAGE(OFFSET($H$3,0,0,'Données projet'!$E$9+1,1))</f>
        <v>312.43110610485337</v>
      </c>
      <c r="T46" s="62">
        <f t="shared" si="34"/>
        <v>442.54749157177571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0.41752484251086069</v>
      </c>
      <c r="AA46" s="23">
        <f>EXP(-LN(2)/25)*AA45+(1-EXP(-LN(2)/25))/(LN(2)/25)*Calculateur!V46*Calculateur!X46*VLOOKUP('Données projet'!$B$9,Paramètres!$A$1:$I$89,3,0)*0.475*44/12</f>
        <v>0.65657229775102777</v>
      </c>
      <c r="AB46" s="23">
        <f>EXP(-LN(2)/2)*AB45+(1-EXP(-LN(2)/2))/(LN(2)/2)*V46*Y46*VLOOKUP('Données projet'!$B$9,Paramètres!$A$1:$I$89,3,0)*0.475*44/12</f>
        <v>4.2444793697089193E-2</v>
      </c>
      <c r="AC46" s="24">
        <f t="shared" si="3"/>
        <v>1.1165419339589775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11.4</v>
      </c>
      <c r="AI46" s="14">
        <f>IF('Données projet'!$A$62&gt;35,AI45+AH46-AQ45,IF(A46&lt;'Données projet'!$A$62,$AF$205^A46,IF(A46='Données projet'!$A$62,'Données projet'!$B$62,AI45+AH46-AQ45)))</f>
        <v>181.20000000000002</v>
      </c>
      <c r="AJ46" s="14">
        <f>AI46*VLOOKUP('Données projet'!$B$10,Paramètres!$A$1:$I$89,3,0)*VLOOKUP('Données projet'!$B$10,Paramètres!$A$1:$I$89,5,0)</f>
        <v>152.64288000000002</v>
      </c>
      <c r="AK46" s="14">
        <f t="shared" si="35"/>
        <v>39.178577703588573</v>
      </c>
      <c r="AL46" s="22">
        <f t="shared" si="4"/>
        <v>334.08903883375007</v>
      </c>
      <c r="AM46" s="62">
        <f t="shared" si="5"/>
        <v>584.23022030018205</v>
      </c>
      <c r="AN46" s="62">
        <f ca="1">AVERAGE(OFFSET($AM$3,0,0,'Données projet'!$E$10+1,1))-AVERAGE(OFFSET($H$3,0,0,'Données projet'!$E$10+1,1))</f>
        <v>445.02659128831181</v>
      </c>
      <c r="AO46" s="62">
        <f t="shared" si="36"/>
        <v>281.06176764290592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3.608188951530189</v>
      </c>
      <c r="AV46" s="23">
        <f>EXP(-LN(2)/25)*AV45+(1-EXP(-LN(2)/25))/(LN(2)/25)*Calculateur!AQ46*Calculateur!AS46*VLOOKUP('Données projet'!$B$10,Paramètres!$A$1:$I$89,3,0)*0.475*44/12</f>
        <v>0.77883058767708169</v>
      </c>
      <c r="AW46" s="23">
        <f>EXP(-LN(2)/2)*AW45+(1-EXP(-LN(2)/2))/(LN(2)/2)*AQ46*AT46*VLOOKUP('Données projet'!$B$10,Paramètres!$A$1:$I$89,3,0)*0.475*44/12</f>
        <v>0.20821189316554267</v>
      </c>
      <c r="AX46" s="23">
        <f t="shared" si="6"/>
        <v>4.5952314323728132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11.4</v>
      </c>
      <c r="BD46" s="13">
        <f>IF('Données projet'!$A$88&gt;35,BD45+BC46-BL45,IF(A46&lt;'Données projet'!$A$88,$BA$205^A46,IF(A46='Données projet'!$A$88,'Données projet'!$B$88,BD45+BC46-BL45)))</f>
        <v>181.20000000000002</v>
      </c>
      <c r="BE46" s="14">
        <f>BD46*VLOOKUP('Données projet'!$B$11,Paramètres!$A$1:$I$89,3,0)*VLOOKUP('Données projet'!$B$11,Paramètres!$A$1:$I$89,5,0)</f>
        <v>163.94976</v>
      </c>
      <c r="BF46" s="14">
        <f t="shared" si="37"/>
        <v>41.732126457893308</v>
      </c>
      <c r="BG46" s="22">
        <f t="shared" si="7"/>
        <v>358.22928558083089</v>
      </c>
      <c r="BH46" s="62">
        <f t="shared" si="8"/>
        <v>608.37046704726299</v>
      </c>
      <c r="BI46" s="62">
        <f ca="1">AVERAGE(OFFSET($BH$3,0,0,'Données projet'!$E$11+1,1))-AVERAGE(OFFSET($H$3,0,0,'Données projet'!$E$11+1,1))</f>
        <v>472.46893084347687</v>
      </c>
      <c r="BJ46" s="62">
        <f t="shared" si="38"/>
        <v>297.32483725004136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3.8754622071990901</v>
      </c>
      <c r="BQ46" s="23">
        <f>EXP(-LN(2)/25)*BQ45+(1-EXP(-LN(2)/25))/(LN(2)/25)*Calculateur!BL46*Calculateur!BN46*VLOOKUP('Données projet'!$B$11,Paramètres!$A$1:$I$89,3,0)*0.475*44/12</f>
        <v>0.83652174231982834</v>
      </c>
      <c r="BR46" s="23">
        <f>EXP(-LN(2)/2)*BR45+(1-EXP(-LN(2)/2))/(LN(2)/2)*BL46*BO46*VLOOKUP('Données projet'!$B$11,Paramètres!$A$1:$I$89,3,0)*0.475*44/12</f>
        <v>0.2236349963629902</v>
      </c>
      <c r="BS46" s="24">
        <f t="shared" si="9"/>
        <v>4.9356189458819086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11.5</v>
      </c>
      <c r="BY46" s="13">
        <f>IF('Données projet'!$A$114&gt;35,BY45+BX46-CG45,IF(A46&lt;'Données projet'!$A$114,$BV$205^A46,IF(A46='Données projet'!$A$114,'Données projet'!$B$114,BY45+BX46-CG45)))</f>
        <v>296.49999999999989</v>
      </c>
      <c r="BZ46" s="14">
        <f>BY46*VLOOKUP('Données projet'!$B$12,Paramètres!$A$1:$I$89,3,0)*VLOOKUP('Données projet'!$B$12,Paramètres!$A$1:$I$89,5,0)</f>
        <v>138.76199999999994</v>
      </c>
      <c r="CA46" s="14">
        <f t="shared" si="39"/>
        <v>36.01325063671441</v>
      </c>
      <c r="CB46" s="22">
        <f t="shared" si="10"/>
        <v>304.4002281922775</v>
      </c>
      <c r="CC46" s="62">
        <f t="shared" si="11"/>
        <v>554.54140965870954</v>
      </c>
      <c r="CD46" s="62">
        <f ca="1">AVERAGE(OFFSET($CC$3,0,0,'Données projet'!$E$12+1,1))-AVERAGE(OFFSET($H$3,0,0,'Données projet'!$E$12+1,1))</f>
        <v>426.87921482911719</v>
      </c>
      <c r="CE46" s="62">
        <f t="shared" si="40"/>
        <v>313.49594674441835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20</v>
      </c>
      <c r="CT46" s="13">
        <f>IF('Données projet'!$A$140&gt;35,CT45+CS46-DB45,IF(A46&lt;'Données projet'!$A$140,$CQ$205^A46,IF(A46='Données projet'!$A$140,'Données projet'!$B$140,CT45+CS46-DB45)))</f>
        <v>344.00000000000017</v>
      </c>
      <c r="CU46" s="18">
        <f>CT46*VLOOKUP('Données projet'!$B$13,Paramètres!$A$1:$I$89,3,0)*VLOOKUP('Données projet'!$B$13,Paramètres!$A$1:$I$89,5,0)</f>
        <v>205.71200000000013</v>
      </c>
      <c r="CV46" s="14">
        <f t="shared" si="41"/>
        <v>50.997427696933762</v>
      </c>
      <c r="CW46" s="22">
        <f t="shared" si="13"/>
        <v>447.10225323882656</v>
      </c>
      <c r="CX46" s="62">
        <f t="shared" si="14"/>
        <v>697.24343470525855</v>
      </c>
      <c r="CY46" s="62">
        <f ca="1">AVERAGE(OFFSET($CX$3,0,0,'Données projet'!$E$13+1,1))-AVERAGE(OFFSET($H$3,0,0,'Données projet'!$E$13+1,1))</f>
        <v>367.11994336501527</v>
      </c>
      <c r="CZ46" s="62">
        <f t="shared" si="42"/>
        <v>390.81417197867484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26.785303652687841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5.0866367745404956E-2</v>
      </c>
      <c r="DI46" s="24">
        <f t="shared" si="15"/>
        <v>26.836170020433247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5</v>
      </c>
      <c r="N47" s="14">
        <f>IF('Données projet'!$A$36&gt;35,N46+M47-V46,IF(A47&lt;'Données projet'!$A$36,$K$205^A47,IF(A47='Données projet'!$A$36,'Données projet'!$B$36,N46+M47-V46)))</f>
        <v>247.0000000000002</v>
      </c>
      <c r="O47" s="14">
        <f>N47*VLOOKUP('Données projet'!$B$9,Paramètres!$A$1:$I$89,3,0)*VLOOKUP('Données projet'!$B$9,Paramètres!$A$1:$I$89,5,0)</f>
        <v>223.48560000000018</v>
      </c>
      <c r="P47" s="14">
        <f t="shared" si="33"/>
        <v>54.87176918107798</v>
      </c>
      <c r="Q47" s="22">
        <f t="shared" si="53"/>
        <v>484.80575132371115</v>
      </c>
      <c r="R47" s="62">
        <f t="shared" si="0"/>
        <v>735.69622006184863</v>
      </c>
      <c r="S47" s="62">
        <f ca="1">AVERAGE(OFFSET($R$3,0,0,'Données projet'!$E$9+1,1))-AVERAGE(OFFSET($H$3,0,0,'Données projet'!$E$9+1,1))</f>
        <v>312.43110610485337</v>
      </c>
      <c r="T47" s="62">
        <f t="shared" si="34"/>
        <v>442.54749157177571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0.40933743501423059</v>
      </c>
      <c r="AA47" s="23">
        <f>EXP(-LN(2)/25)*AA46+(1-EXP(-LN(2)/25))/(LN(2)/25)*Calculateur!V47*Calculateur!X47*VLOOKUP('Données projet'!$B$9,Paramètres!$A$1:$I$89,3,0)*0.475*44/12</f>
        <v>0.63861829374138934</v>
      </c>
      <c r="AB47" s="23">
        <f>EXP(-LN(2)/2)*AB46+(1-EXP(-LN(2)/2))/(LN(2)/2)*V47*Y47*VLOOKUP('Données projet'!$B$9,Paramètres!$A$1:$I$89,3,0)*0.475*44/12</f>
        <v>3.0013001449275802E-2</v>
      </c>
      <c r="AC47" s="24">
        <f t="shared" si="3"/>
        <v>1.0779687302048957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11.4</v>
      </c>
      <c r="AI47" s="14">
        <f>IF('Données projet'!$A$62&gt;35,AI46+AH47-AQ46,IF(A47&lt;'Données projet'!$A$62,$AF$205^A47,IF(A47='Données projet'!$A$62,'Données projet'!$B$62,AI46+AH47-AQ46)))</f>
        <v>192.60000000000002</v>
      </c>
      <c r="AJ47" s="14">
        <f>AI47*VLOOKUP('Données projet'!$B$10,Paramètres!$A$1:$I$89,3,0)*VLOOKUP('Données projet'!$B$10,Paramètres!$A$1:$I$89,5,0)</f>
        <v>162.24624000000003</v>
      </c>
      <c r="AK47" s="14">
        <f t="shared" si="35"/>
        <v>41.348749290582795</v>
      </c>
      <c r="AL47" s="22">
        <f t="shared" si="4"/>
        <v>354.59460634776502</v>
      </c>
      <c r="AM47" s="62">
        <f t="shared" si="5"/>
        <v>605.48507508590251</v>
      </c>
      <c r="AN47" s="62">
        <f ca="1">AVERAGE(OFFSET($AM$3,0,0,'Données projet'!$E$10+1,1))-AVERAGE(OFFSET($H$3,0,0,'Données projet'!$E$10+1,1))</f>
        <v>445.02659128831181</v>
      </c>
      <c r="AO47" s="62">
        <f t="shared" si="36"/>
        <v>281.06176764290592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3.5374345669686336</v>
      </c>
      <c r="AV47" s="23">
        <f>EXP(-LN(2)/25)*AV46+(1-EXP(-LN(2)/25))/(LN(2)/25)*Calculateur!AQ47*Calculateur!AS47*VLOOKUP('Données projet'!$B$10,Paramètres!$A$1:$I$89,3,0)*0.475*44/12</f>
        <v>0.75753342430013137</v>
      </c>
      <c r="AW47" s="23">
        <f>EXP(-LN(2)/2)*AW46+(1-EXP(-LN(2)/2))/(LN(2)/2)*AQ47*AT47*VLOOKUP('Données projet'!$B$10,Paramètres!$A$1:$I$89,3,0)*0.475*44/12</f>
        <v>0.14722804158104419</v>
      </c>
      <c r="AX47" s="23">
        <f t="shared" si="6"/>
        <v>4.4421960328498091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11.4</v>
      </c>
      <c r="BD47" s="13">
        <f>IF('Données projet'!$A$88&gt;35,BD46+BC47-BL46,IF(A47&lt;'Données projet'!$A$88,$BA$205^A47,IF(A47='Données projet'!$A$88,'Données projet'!$B$88,BD46+BC47-BL46)))</f>
        <v>192.60000000000002</v>
      </c>
      <c r="BE47" s="14">
        <f>BD47*VLOOKUP('Données projet'!$B$11,Paramètres!$A$1:$I$89,3,0)*VLOOKUP('Données projet'!$B$11,Paramètres!$A$1:$I$89,5,0)</f>
        <v>174.26447999999999</v>
      </c>
      <c r="BF47" s="14">
        <f t="shared" si="37"/>
        <v>44.043743683739521</v>
      </c>
      <c r="BG47" s="22">
        <f t="shared" si="7"/>
        <v>380.22015624917964</v>
      </c>
      <c r="BH47" s="62">
        <f t="shared" si="8"/>
        <v>631.11062498731712</v>
      </c>
      <c r="BI47" s="62">
        <f ca="1">AVERAGE(OFFSET($BH$3,0,0,'Données projet'!$E$11+1,1))-AVERAGE(OFFSET($H$3,0,0,'Données projet'!$E$11+1,1))</f>
        <v>472.46893084347687</v>
      </c>
      <c r="BJ47" s="62">
        <f t="shared" si="38"/>
        <v>297.32483725004136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3.7994667571144567</v>
      </c>
      <c r="BQ47" s="23">
        <f>EXP(-LN(2)/25)*BQ46+(1-EXP(-LN(2)/25))/(LN(2)/25)*Calculateur!BL47*Calculateur!BN47*VLOOKUP('Données projet'!$B$11,Paramètres!$A$1:$I$89,3,0)*0.475*44/12</f>
        <v>0.81364701128532613</v>
      </c>
      <c r="BR47" s="23">
        <f>EXP(-LN(2)/2)*BR46+(1-EXP(-LN(2)/2))/(LN(2)/2)*BL47*BO47*VLOOKUP('Données projet'!$B$11,Paramètres!$A$1:$I$89,3,0)*0.475*44/12</f>
        <v>0.15813382243889926</v>
      </c>
      <c r="BS47" s="24">
        <f t="shared" si="9"/>
        <v>4.7712475908386827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11.5</v>
      </c>
      <c r="BY47" s="13">
        <f>IF('Données projet'!$A$114&gt;35,BY46+BX47-CG46,IF(A47&lt;'Données projet'!$A$114,$BV$205^A47,IF(A47='Données projet'!$A$114,'Données projet'!$B$114,BY46+BX47-CG46)))</f>
        <v>307.99999999999989</v>
      </c>
      <c r="BZ47" s="14">
        <f>BY47*VLOOKUP('Données projet'!$B$12,Paramètres!$A$1:$I$89,3,0)*VLOOKUP('Données projet'!$B$12,Paramètres!$A$1:$I$89,5,0)</f>
        <v>144.14399999999995</v>
      </c>
      <c r="CA47" s="14">
        <f t="shared" si="39"/>
        <v>37.244720006976216</v>
      </c>
      <c r="CB47" s="22">
        <f t="shared" si="10"/>
        <v>315.91868734548348</v>
      </c>
      <c r="CC47" s="62">
        <f t="shared" si="11"/>
        <v>566.80915608362091</v>
      </c>
      <c r="CD47" s="62">
        <f ca="1">AVERAGE(OFFSET($CC$3,0,0,'Données projet'!$E$12+1,1))-AVERAGE(OFFSET($H$3,0,0,'Données projet'!$E$12+1,1))</f>
        <v>426.87921482911719</v>
      </c>
      <c r="CE47" s="62">
        <f t="shared" si="40"/>
        <v>313.49594674441835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20</v>
      </c>
      <c r="CT47" s="13">
        <f>IF('Données projet'!$A$140&gt;35,CT46+CS47-DB46,IF(A47&lt;'Données projet'!$A$140,$CQ$205^A47,IF(A47='Données projet'!$A$140,'Données projet'!$B$140,CT46+CS47-DB46)))</f>
        <v>364.00000000000017</v>
      </c>
      <c r="CU47" s="18">
        <f>CT47*VLOOKUP('Données projet'!$B$13,Paramètres!$A$1:$I$89,3,0)*VLOOKUP('Données projet'!$B$13,Paramètres!$A$1:$I$89,5,0)</f>
        <v>217.67200000000011</v>
      </c>
      <c r="CV47" s="14">
        <f t="shared" si="41"/>
        <v>53.60859357546007</v>
      </c>
      <c r="CW47" s="22">
        <f t="shared" si="13"/>
        <v>472.48036714392646</v>
      </c>
      <c r="CX47" s="62">
        <f t="shared" si="14"/>
        <v>723.37083588206383</v>
      </c>
      <c r="CY47" s="62">
        <f ca="1">AVERAGE(OFFSET($CX$3,0,0,'Données projet'!$E$13+1,1))-AVERAGE(OFFSET($H$3,0,0,'Données projet'!$E$13+1,1))</f>
        <v>367.11994336501527</v>
      </c>
      <c r="CZ47" s="62">
        <f t="shared" si="42"/>
        <v>390.81417197867484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26.260060185480675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3.596795356710452E-2</v>
      </c>
      <c r="DI47" s="24">
        <f t="shared" si="15"/>
        <v>26.296028139047781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252</v>
      </c>
      <c r="L48" s="13">
        <f>VLOOKUP(A48,'Données projet'!$A$35:$I$55,9,0)</f>
        <v>5</v>
      </c>
      <c r="M48" s="13">
        <f t="array" ref="M48">INDEX(L:L,MIN(IF(ISNUMBER(L48:L244),ROW(L48:L244),"")))</f>
        <v>5</v>
      </c>
      <c r="N48" s="14">
        <f>IF('Données projet'!$A$36&gt;35,N47+M48-V47,IF(A48&lt;'Données projet'!$A$36,$K$205^A48,IF(A48='Données projet'!$A$36,'Données projet'!$B$36,N47+M48-V47)))</f>
        <v>252.0000000000002</v>
      </c>
      <c r="O48" s="14">
        <f>N48*VLOOKUP('Données projet'!$B$9,Paramètres!$A$1:$I$89,3,0)*VLOOKUP('Données projet'!$B$9,Paramètres!$A$1:$I$89,5,0)</f>
        <v>228.00960000000018</v>
      </c>
      <c r="P48" s="14">
        <f t="shared" si="33"/>
        <v>55.852093054619878</v>
      </c>
      <c r="Q48" s="22">
        <f t="shared" si="53"/>
        <v>494.39244873679655</v>
      </c>
      <c r="R48" s="62">
        <f t="shared" si="0"/>
        <v>746.01920628763071</v>
      </c>
      <c r="S48" s="62">
        <f ca="1">AVERAGE(OFFSET($R$3,0,0,'Données projet'!$E$9+1,1))-AVERAGE(OFFSET($H$3,0,0,'Données projet'!$E$9+1,1))</f>
        <v>312.43110610485337</v>
      </c>
      <c r="T48" s="62">
        <f t="shared" si="34"/>
        <v>442.54749157177571</v>
      </c>
      <c r="U48" s="16">
        <f>IF(ISNA(VLOOKUP(A48,'Données projet'!$A$35:$I$55,3,0)),0,VLOOKUP(A48,'Données projet'!$A$35:$I$55,3,0))</f>
        <v>9</v>
      </c>
      <c r="V48" s="16">
        <f>IF(ISNA(VLOOKUP(A48,'Données projet'!$A$35:$I$55,4,0)),0,VLOOKUP(A48,'Données projet'!$A$35:$I$55,4,0))</f>
        <v>252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0.40131057758478389</v>
      </c>
      <c r="AA48" s="23">
        <f>EXP(-LN(2)/25)*AA47+(1-EXP(-LN(2)/25))/(LN(2)/25)*Calculateur!V48*Calculateur!X48*VLOOKUP('Données projet'!$B$9,Paramètres!$A$1:$I$89,3,0)*0.475*44/12</f>
        <v>0.62115524291555457</v>
      </c>
      <c r="AB48" s="23">
        <f>EXP(-LN(2)/2)*AB47+(1-EXP(-LN(2)/2))/(LN(2)/2)*V48*Y48*VLOOKUP('Données projet'!$B$9,Paramètres!$A$1:$I$89,3,0)*0.475*44/12</f>
        <v>2.12223968485446E-2</v>
      </c>
      <c r="AC48" s="24">
        <f t="shared" si="3"/>
        <v>1.0436882173488831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204</v>
      </c>
      <c r="AG48" s="13">
        <f>VLOOKUP(A48,'Données projet'!$A$61:$I$81,9,0)</f>
        <v>11.4</v>
      </c>
      <c r="AH48" s="13">
        <f t="array" ref="AH48">INDEX(AG:AG,MIN(IF(ISNUMBER(AG48:AG244),ROW(AG48:AG244),"")))</f>
        <v>11.4</v>
      </c>
      <c r="AI48" s="14">
        <f>IF('Données projet'!$A$62&gt;35,AI47+AH48-AQ47,IF(A48&lt;'Données projet'!$A$62,$AF$205^A48,IF(A48='Données projet'!$A$62,'Données projet'!$B$62,AI47+AH48-AQ47)))</f>
        <v>204.00000000000003</v>
      </c>
      <c r="AJ48" s="14">
        <f>AI48*VLOOKUP('Données projet'!$B$10,Paramètres!$A$1:$I$89,3,0)*VLOOKUP('Données projet'!$B$10,Paramètres!$A$1:$I$89,5,0)</f>
        <v>171.84960000000004</v>
      </c>
      <c r="AK48" s="14">
        <f t="shared" si="35"/>
        <v>43.50401120412441</v>
      </c>
      <c r="AL48" s="22">
        <f t="shared" si="4"/>
        <v>375.07420618051674</v>
      </c>
      <c r="AM48" s="62">
        <f t="shared" si="5"/>
        <v>626.70096373135084</v>
      </c>
      <c r="AN48" s="62">
        <f ca="1">AVERAGE(OFFSET($AM$3,0,0,'Données projet'!$E$10+1,1))-AVERAGE(OFFSET($H$3,0,0,'Données projet'!$E$10+1,1))</f>
        <v>445.02659128831181</v>
      </c>
      <c r="AO48" s="62">
        <f t="shared" si="36"/>
        <v>281.06176764290592</v>
      </c>
      <c r="AP48" s="16">
        <f>IF(ISNA(VLOOKUP(A48,'Données projet'!$A$61:$I$81,3,0)),0,VLOOKUP(A48,'Données projet'!$A$61:$I$81,3,0))</f>
        <v>6</v>
      </c>
      <c r="AQ48" s="16">
        <f>IF(ISNA(VLOOKUP(A48,'Données projet'!$A$61:$I$81,4,0)),0,VLOOKUP(A48,'Données projet'!$A$61:$I$81,4,0))</f>
        <v>28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3.4680676327324171</v>
      </c>
      <c r="AV48" s="23">
        <f>EXP(-LN(2)/25)*AV47+(1-EXP(-LN(2)/25))/(LN(2)/25)*Calculateur!AQ48*Calculateur!AS48*VLOOKUP('Données projet'!$B$10,Paramètres!$A$1:$I$89,3,0)*0.475*44/12</f>
        <v>0.73681863297569283</v>
      </c>
      <c r="AW48" s="23">
        <f>EXP(-LN(2)/2)*AW47+(1-EXP(-LN(2)/2))/(LN(2)/2)*AQ48*AT48*VLOOKUP('Données projet'!$B$10,Paramètres!$A$1:$I$89,3,0)*0.475*44/12</f>
        <v>0.10410594658277134</v>
      </c>
      <c r="AX48" s="23">
        <f t="shared" si="6"/>
        <v>4.3089922122908808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204</v>
      </c>
      <c r="BB48" s="13">
        <f>VLOOKUP(A48,'Données projet'!$A$87:$I$107,9,0)</f>
        <v>11.4</v>
      </c>
      <c r="BC48" s="13">
        <f t="array" ref="BC48">INDEX(BB:BB,MIN(IF(ISNUMBER(BB48:BB244),ROW(BB48:BB244),"")))</f>
        <v>11.4</v>
      </c>
      <c r="BD48" s="13">
        <f>IF('Données projet'!$A$88&gt;35,BD47+BC48-BL47,IF(A48&lt;'Données projet'!$A$88,$BA$205^A48,IF(A48='Données projet'!$A$88,'Données projet'!$B$88,BD47+BC48-BL47)))</f>
        <v>204.00000000000003</v>
      </c>
      <c r="BE48" s="14">
        <f>BD48*VLOOKUP('Données projet'!$B$11,Paramètres!$A$1:$I$89,3,0)*VLOOKUP('Données projet'!$B$11,Paramètres!$A$1:$I$89,5,0)</f>
        <v>184.57920000000001</v>
      </c>
      <c r="BF48" s="14">
        <f t="shared" si="37"/>
        <v>46.339479465836661</v>
      </c>
      <c r="BG48" s="22">
        <f t="shared" si="7"/>
        <v>402.18336673633218</v>
      </c>
      <c r="BH48" s="62">
        <f t="shared" si="8"/>
        <v>653.81012428716633</v>
      </c>
      <c r="BI48" s="62">
        <f ca="1">AVERAGE(OFFSET($BH$3,0,0,'Données projet'!$E$11+1,1))-AVERAGE(OFFSET($H$3,0,0,'Données projet'!$E$11+1,1))</f>
        <v>472.46893084347687</v>
      </c>
      <c r="BJ48" s="62">
        <f t="shared" si="38"/>
        <v>297.32483725004136</v>
      </c>
      <c r="BK48" s="16">
        <f>IF(ISNA(VLOOKUP(A48,'Données projet'!$A$87:$I$107,3,0)),0,VLOOKUP(A48,'Données projet'!$A$87:$I$107,3,0))</f>
        <v>6</v>
      </c>
      <c r="BL48" s="16">
        <f>IF(ISNA(VLOOKUP(A48,'Données projet'!$A$87:$I$107,4,0)),0,VLOOKUP(A48,'Données projet'!$A$87:$I$107,4,0))</f>
        <v>28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3.7249615314533351</v>
      </c>
      <c r="BQ48" s="23">
        <f>EXP(-LN(2)/25)*BQ47+(1-EXP(-LN(2)/25))/(LN(2)/25)*Calculateur!BL48*Calculateur!BN48*VLOOKUP('Données projet'!$B$11,Paramètres!$A$1:$I$89,3,0)*0.475*44/12</f>
        <v>0.79139779097389218</v>
      </c>
      <c r="BR48" s="23">
        <f>EXP(-LN(2)/2)*BR47+(1-EXP(-LN(2)/2))/(LN(2)/2)*BL48*BO48*VLOOKUP('Données projet'!$B$11,Paramètres!$A$1:$I$89,3,0)*0.475*44/12</f>
        <v>0.1118174981814951</v>
      </c>
      <c r="BS48" s="24">
        <f t="shared" si="9"/>
        <v>4.628176820608723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11.5</v>
      </c>
      <c r="BY48" s="13">
        <f>IF('Données projet'!$A$114&gt;35,BY47+BX48-CG47,IF(A48&lt;'Données projet'!$A$114,$BV$205^A48,IF(A48='Données projet'!$A$114,'Données projet'!$B$114,BY47+BX48-CG47)))</f>
        <v>319.49999999999989</v>
      </c>
      <c r="BZ48" s="14">
        <f>BY48*VLOOKUP('Données projet'!$B$12,Paramètres!$A$1:$I$89,3,0)*VLOOKUP('Données projet'!$B$12,Paramètres!$A$1:$I$89,5,0)</f>
        <v>149.52599999999995</v>
      </c>
      <c r="CA48" s="14">
        <f t="shared" si="39"/>
        <v>38.470847585964201</v>
      </c>
      <c r="CB48" s="22">
        <f t="shared" si="10"/>
        <v>327.42784287888759</v>
      </c>
      <c r="CC48" s="62">
        <f t="shared" si="11"/>
        <v>579.05460042972175</v>
      </c>
      <c r="CD48" s="62">
        <f ca="1">AVERAGE(OFFSET($CC$3,0,0,'Données projet'!$E$12+1,1))-AVERAGE(OFFSET($H$3,0,0,'Données projet'!$E$12+1,1))</f>
        <v>426.87921482911719</v>
      </c>
      <c r="CE48" s="62">
        <f t="shared" si="40"/>
        <v>313.49594674441835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384</v>
      </c>
      <c r="CR48" s="13">
        <f>VLOOKUP(A48,'Données projet'!$A$139:$I$159,9,0)</f>
        <v>20</v>
      </c>
      <c r="CS48" s="13">
        <f t="array" ref="CS48">INDEX(CR:CR,MIN(IF(ISNUMBER(CR48:CR244),ROW(CR48:CR244),"")))</f>
        <v>20</v>
      </c>
      <c r="CT48" s="13">
        <f>IF('Données projet'!$A$140&gt;35,CT47+CS48-DB47,IF(A48&lt;'Données projet'!$A$140,$CQ$205^A48,IF(A48='Données projet'!$A$140,'Données projet'!$B$140,CT47+CS48-DB47)))</f>
        <v>384.00000000000017</v>
      </c>
      <c r="CU48" s="18">
        <f>CT48*VLOOKUP('Données projet'!$B$13,Paramètres!$A$1:$I$89,3,0)*VLOOKUP('Données projet'!$B$13,Paramètres!$A$1:$I$89,5,0)</f>
        <v>229.63200000000015</v>
      </c>
      <c r="CV48" s="14">
        <f t="shared" si="41"/>
        <v>56.20310391330672</v>
      </c>
      <c r="CW48" s="22">
        <f t="shared" si="13"/>
        <v>497.8294726490094</v>
      </c>
      <c r="CX48" s="62">
        <f t="shared" si="14"/>
        <v>749.4562301998435</v>
      </c>
      <c r="CY48" s="62">
        <f ca="1">AVERAGE(OFFSET($CX$3,0,0,'Données projet'!$E$13+1,1))-AVERAGE(OFFSET($H$3,0,0,'Données projet'!$E$13+1,1))</f>
        <v>367.11994336501527</v>
      </c>
      <c r="CZ48" s="62">
        <f t="shared" si="42"/>
        <v>390.81417197867484</v>
      </c>
      <c r="DA48" s="16">
        <f>IF(ISNA(VLOOKUP(A48,'Données projet'!$A$139:$I$159,3,0)),0,VLOOKUP(A48,'Données projet'!$A$139:$I$159,3,0))</f>
        <v>7</v>
      </c>
      <c r="DB48" s="16">
        <f>IF(ISNA(VLOOKUP(A48,'Données projet'!$A$139:$I$159,4,0)),0,VLOOKUP(A48,'Données projet'!$A$139:$I$159,4,0))</f>
        <v>57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25.745116422298558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2.5433183872702478E-2</v>
      </c>
      <c r="DI48" s="24">
        <f t="shared" si="15"/>
        <v>25.770549606171262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1.9895196601282805E-13</v>
      </c>
      <c r="O49" s="14">
        <f>N49*VLOOKUP('Données projet'!$B$9,Paramètres!$A$1:$I$89,3,0)*VLOOKUP('Données projet'!$B$9,Paramètres!$A$1:$I$89,5,0)</f>
        <v>1.8001173884840681E-13</v>
      </c>
      <c r="P49" s="14">
        <f t="shared" si="33"/>
        <v>2.5254331426407198E-12</v>
      </c>
      <c r="Q49" s="22">
        <f t="shared" si="53"/>
        <v>4.7119831685935622E-12</v>
      </c>
      <c r="R49" s="62">
        <f t="shared" si="0"/>
        <v>252.35027339873037</v>
      </c>
      <c r="S49" s="62">
        <f ca="1">AVERAGE(OFFSET($R$3,0,0,'Données projet'!$E$9+1,1))-AVERAGE(OFFSET($H$3,0,0,'Données projet'!$E$9+1,1))</f>
        <v>312.43110610485337</v>
      </c>
      <c r="T49" s="62">
        <f t="shared" si="34"/>
        <v>442.54749157177571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0.39344112193362907</v>
      </c>
      <c r="AA49" s="23">
        <f>EXP(-LN(2)/25)*AA48+(1-EXP(-LN(2)/25))/(LN(2)/25)*Calculateur!V49*Calculateur!X49*VLOOKUP('Données projet'!$B$9,Paramètres!$A$1:$I$89,3,0)*0.475*44/12</f>
        <v>0.60416972013289416</v>
      </c>
      <c r="AB49" s="23">
        <f>EXP(-LN(2)/2)*AB48+(1-EXP(-LN(2)/2))/(LN(2)/2)*V49*Y49*VLOOKUP('Données projet'!$B$9,Paramètres!$A$1:$I$89,3,0)*0.475*44/12</f>
        <v>1.5006500724637904E-2</v>
      </c>
      <c r="AC49" s="24">
        <f t="shared" si="3"/>
        <v>1.0126173427911611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11</v>
      </c>
      <c r="AI49" s="14">
        <f>IF('Données projet'!$A$62&gt;35,AI48+AH49-AQ48,IF(A49&lt;'Données projet'!$A$62,$AF$205^A49,IF(A49='Données projet'!$A$62,'Données projet'!$B$62,AI48+AH49-AQ48)))</f>
        <v>187.00000000000003</v>
      </c>
      <c r="AJ49" s="14">
        <f>AI49*VLOOKUP('Données projet'!$B$10,Paramètres!$A$1:$I$89,3,0)*VLOOKUP('Données projet'!$B$10,Paramètres!$A$1:$I$89,5,0)</f>
        <v>157.52880000000005</v>
      </c>
      <c r="AK49" s="14">
        <f t="shared" si="35"/>
        <v>40.284625411479013</v>
      </c>
      <c r="AL49" s="22">
        <f t="shared" si="4"/>
        <v>344.52504925832596</v>
      </c>
      <c r="AM49" s="62">
        <f t="shared" si="5"/>
        <v>596.87532265705158</v>
      </c>
      <c r="AN49" s="62">
        <f ca="1">AVERAGE(OFFSET($AM$3,0,0,'Données projet'!$E$10+1,1))-AVERAGE(OFFSET($H$3,0,0,'Données projet'!$E$10+1,1))</f>
        <v>445.02659128831181</v>
      </c>
      <c r="AO49" s="62">
        <f t="shared" si="36"/>
        <v>281.06176764290592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3.4000609417669208</v>
      </c>
      <c r="AV49" s="23">
        <f>EXP(-LN(2)/25)*AV48+(1-EXP(-LN(2)/25))/(LN(2)/25)*Calculateur!AQ49*Calculateur!AS49*VLOOKUP('Données projet'!$B$10,Paramètres!$A$1:$I$89,3,0)*0.475*44/12</f>
        <v>0.71667028870936467</v>
      </c>
      <c r="AW49" s="23">
        <f>EXP(-LN(2)/2)*AW48+(1-EXP(-LN(2)/2))/(LN(2)/2)*AQ49*AT49*VLOOKUP('Données projet'!$B$10,Paramètres!$A$1:$I$89,3,0)*0.475*44/12</f>
        <v>7.3614020790522094E-2</v>
      </c>
      <c r="AX49" s="23">
        <f t="shared" si="6"/>
        <v>4.190345251266808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11</v>
      </c>
      <c r="BD49" s="13">
        <f>IF('Données projet'!$A$88&gt;35,BD48+BC49-BL48,IF(A49&lt;'Données projet'!$A$88,$BA$205^A49,IF(A49='Données projet'!$A$88,'Données projet'!$B$88,BD48+BC49-BL48)))</f>
        <v>187.00000000000003</v>
      </c>
      <c r="BE49" s="14">
        <f>BD49*VLOOKUP('Données projet'!$B$11,Paramètres!$A$1:$I$89,3,0)*VLOOKUP('Données projet'!$B$11,Paramètres!$A$1:$I$89,5,0)</f>
        <v>169.19760000000002</v>
      </c>
      <c r="BF49" s="14">
        <f t="shared" si="37"/>
        <v>42.910263223432885</v>
      </c>
      <c r="BG49" s="22">
        <f t="shared" si="7"/>
        <v>369.42119511414558</v>
      </c>
      <c r="BH49" s="62">
        <f t="shared" si="8"/>
        <v>621.77146851287125</v>
      </c>
      <c r="BI49" s="62">
        <f ca="1">AVERAGE(OFFSET($BH$3,0,0,'Données projet'!$E$11+1,1))-AVERAGE(OFFSET($H$3,0,0,'Données projet'!$E$11+1,1))</f>
        <v>472.46893084347687</v>
      </c>
      <c r="BJ49" s="62">
        <f t="shared" si="38"/>
        <v>297.32483725004136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3.6519173078237279</v>
      </c>
      <c r="BQ49" s="23">
        <f>EXP(-LN(2)/25)*BQ48+(1-EXP(-LN(2)/25))/(LN(2)/25)*Calculateur!BL49*Calculateur!BN49*VLOOKUP('Données projet'!$B$11,Paramètres!$A$1:$I$89,3,0)*0.475*44/12</f>
        <v>0.76975697676191002</v>
      </c>
      <c r="BR49" s="23">
        <f>EXP(-LN(2)/2)*BR48+(1-EXP(-LN(2)/2))/(LN(2)/2)*BL49*BO49*VLOOKUP('Données projet'!$B$11,Paramètres!$A$1:$I$89,3,0)*0.475*44/12</f>
        <v>7.9066911219449629E-2</v>
      </c>
      <c r="BS49" s="24">
        <f t="shared" si="9"/>
        <v>4.5007411958050874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11.5</v>
      </c>
      <c r="BY49" s="13">
        <f>IF('Données projet'!$A$114&gt;35,BY48+BX49-CG48,IF(A49&lt;'Données projet'!$A$114,$BV$205^A49,IF(A49='Données projet'!$A$114,'Données projet'!$B$114,BY48+BX49-CG48)))</f>
        <v>330.99999999999989</v>
      </c>
      <c r="BZ49" s="14">
        <f>BY49*VLOOKUP('Données projet'!$B$12,Paramètres!$A$1:$I$89,3,0)*VLOOKUP('Données projet'!$B$12,Paramètres!$A$1:$I$89,5,0)</f>
        <v>154.90799999999996</v>
      </c>
      <c r="CA49" s="14">
        <f t="shared" si="39"/>
        <v>39.691847670151873</v>
      </c>
      <c r="CB49" s="22">
        <f t="shared" si="10"/>
        <v>338.92806802551439</v>
      </c>
      <c r="CC49" s="62">
        <f t="shared" si="11"/>
        <v>591.27834142424001</v>
      </c>
      <c r="CD49" s="62">
        <f ca="1">AVERAGE(OFFSET($CC$3,0,0,'Données projet'!$E$12+1,1))-AVERAGE(OFFSET($H$3,0,0,'Données projet'!$E$12+1,1))</f>
        <v>426.87921482911719</v>
      </c>
      <c r="CE49" s="62">
        <f t="shared" si="40"/>
        <v>313.49594674441835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17.399999999999999</v>
      </c>
      <c r="CT49" s="13">
        <f>IF('Données projet'!$A$140&gt;35,CT48+CS49-DB48,IF(A49&lt;'Données projet'!$A$140,$CQ$205^A49,IF(A49='Données projet'!$A$140,'Données projet'!$B$140,CT48+CS49-DB48)))</f>
        <v>344.40000000000015</v>
      </c>
      <c r="CU49" s="18">
        <f>CT49*VLOOKUP('Données projet'!$B$13,Paramètres!$A$1:$I$89,3,0)*VLOOKUP('Données projet'!$B$13,Paramètres!$A$1:$I$89,5,0)</f>
        <v>205.95120000000009</v>
      </c>
      <c r="CV49" s="14">
        <f t="shared" si="41"/>
        <v>51.049821044529857</v>
      </c>
      <c r="CW49" s="22">
        <f t="shared" si="13"/>
        <v>447.61011165255627</v>
      </c>
      <c r="CX49" s="62">
        <f t="shared" si="14"/>
        <v>699.96038505128195</v>
      </c>
      <c r="CY49" s="62">
        <f ca="1">AVERAGE(OFFSET($CX$3,0,0,'Données projet'!$E$13+1,1))-AVERAGE(OFFSET($H$3,0,0,'Données projet'!$E$13+1,1))</f>
        <v>367.11994336501527</v>
      </c>
      <c r="CZ49" s="62">
        <f t="shared" si="42"/>
        <v>390.81417197867484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25.24027039222776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1.798397678355226E-2</v>
      </c>
      <c r="DI49" s="24">
        <f t="shared" si="15"/>
        <v>25.258254369011311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1.9895196601282805E-13</v>
      </c>
      <c r="O50" s="14">
        <f>N50*VLOOKUP('Données projet'!$B$9,Paramètres!$A$1:$I$89,3,0)*VLOOKUP('Données projet'!$B$9,Paramètres!$A$1:$I$89,5,0)</f>
        <v>1.8001173884840681E-13</v>
      </c>
      <c r="P50" s="14">
        <f t="shared" si="33"/>
        <v>2.5254331426407198E-12</v>
      </c>
      <c r="Q50" s="22">
        <f t="shared" si="53"/>
        <v>4.7119831685935622E-12</v>
      </c>
      <c r="R50" s="62">
        <f t="shared" si="0"/>
        <v>253.06123786420011</v>
      </c>
      <c r="S50" s="62">
        <f ca="1">AVERAGE(OFFSET($R$3,0,0,'Données projet'!$E$9+1,1))-AVERAGE(OFFSET($H$3,0,0,'Données projet'!$E$9+1,1))</f>
        <v>312.43110610485337</v>
      </c>
      <c r="T50" s="62">
        <f t="shared" si="34"/>
        <v>442.54749157177571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0.38572598150789938</v>
      </c>
      <c r="AA50" s="23">
        <f>EXP(-LN(2)/25)*AA49+(1-EXP(-LN(2)/25))/(LN(2)/25)*Calculateur!V50*Calculateur!X50*VLOOKUP('Données projet'!$B$9,Paramètres!$A$1:$I$89,3,0)*0.475*44/12</f>
        <v>0.58764866736395549</v>
      </c>
      <c r="AB50" s="23">
        <f>EXP(-LN(2)/2)*AB49+(1-EXP(-LN(2)/2))/(LN(2)/2)*V50*Y50*VLOOKUP('Données projet'!$B$9,Paramètres!$A$1:$I$89,3,0)*0.475*44/12</f>
        <v>1.0611198424272302E-2</v>
      </c>
      <c r="AC50" s="24">
        <f t="shared" si="3"/>
        <v>0.98398584729612715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11</v>
      </c>
      <c r="AI50" s="14">
        <f>IF('Données projet'!$A$62&gt;35,AI49+AH50-AQ49,IF(A50&lt;'Données projet'!$A$62,$AF$205^A50,IF(A50='Données projet'!$A$62,'Données projet'!$B$62,AI49+AH50-AQ49)))</f>
        <v>198.00000000000003</v>
      </c>
      <c r="AJ50" s="14">
        <f>AI50*VLOOKUP('Données projet'!$B$10,Paramètres!$A$1:$I$89,3,0)*VLOOKUP('Données projet'!$B$10,Paramètres!$A$1:$I$89,5,0)</f>
        <v>166.79520000000002</v>
      </c>
      <c r="AK50" s="14">
        <f t="shared" si="35"/>
        <v>42.371461898472788</v>
      </c>
      <c r="AL50" s="22">
        <f t="shared" si="4"/>
        <v>364.29860280650678</v>
      </c>
      <c r="AM50" s="62">
        <f t="shared" si="5"/>
        <v>617.35984067070217</v>
      </c>
      <c r="AN50" s="62">
        <f ca="1">AVERAGE(OFFSET($AM$3,0,0,'Données projet'!$E$10+1,1))-AVERAGE(OFFSET($H$3,0,0,'Données projet'!$E$10+1,1))</f>
        <v>445.02659128831181</v>
      </c>
      <c r="AO50" s="62">
        <f t="shared" si="36"/>
        <v>281.06176764290592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3.3333878205312719</v>
      </c>
      <c r="AV50" s="23">
        <f>EXP(-LN(2)/25)*AV49+(1-EXP(-LN(2)/25))/(LN(2)/25)*Calculateur!AQ50*Calculateur!AS50*VLOOKUP('Données projet'!$B$10,Paramètres!$A$1:$I$89,3,0)*0.475*44/12</f>
        <v>0.69707290197655458</v>
      </c>
      <c r="AW50" s="23">
        <f>EXP(-LN(2)/2)*AW49+(1-EXP(-LN(2)/2))/(LN(2)/2)*AQ50*AT50*VLOOKUP('Données projet'!$B$10,Paramètres!$A$1:$I$89,3,0)*0.475*44/12</f>
        <v>5.2052973291385668E-2</v>
      </c>
      <c r="AX50" s="23">
        <f t="shared" si="6"/>
        <v>4.0825136957992125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11</v>
      </c>
      <c r="BD50" s="13">
        <f>IF('Données projet'!$A$88&gt;35,BD49+BC50-BL49,IF(A50&lt;'Données projet'!$A$88,$BA$205^A50,IF(A50='Données projet'!$A$88,'Données projet'!$B$88,BD49+BC50-BL49)))</f>
        <v>198.00000000000003</v>
      </c>
      <c r="BE50" s="14">
        <f>BD50*VLOOKUP('Données projet'!$B$11,Paramètres!$A$1:$I$89,3,0)*VLOOKUP('Données projet'!$B$11,Paramètres!$A$1:$I$89,5,0)</f>
        <v>179.15040000000002</v>
      </c>
      <c r="BF50" s="14">
        <f t="shared" si="37"/>
        <v>45.133113803437304</v>
      </c>
      <c r="BG50" s="22">
        <f t="shared" si="7"/>
        <v>390.62711987431999</v>
      </c>
      <c r="BH50" s="62">
        <f t="shared" si="8"/>
        <v>643.68835773851538</v>
      </c>
      <c r="BI50" s="62">
        <f ca="1">AVERAGE(OFFSET($BH$3,0,0,'Données projet'!$E$11+1,1))-AVERAGE(OFFSET($H$3,0,0,'Données projet'!$E$11+1,1))</f>
        <v>472.46893084347687</v>
      </c>
      <c r="BJ50" s="62">
        <f t="shared" si="38"/>
        <v>297.32483725004136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3.58030543686692</v>
      </c>
      <c r="BQ50" s="23">
        <f>EXP(-LN(2)/25)*BQ49+(1-EXP(-LN(2)/25))/(LN(2)/25)*Calculateur!BL50*Calculateur!BN50*VLOOKUP('Données projet'!$B$11,Paramètres!$A$1:$I$89,3,0)*0.475*44/12</f>
        <v>0.74870793175259553</v>
      </c>
      <c r="BR50" s="23">
        <f>EXP(-LN(2)/2)*BR49+(1-EXP(-LN(2)/2))/(LN(2)/2)*BL50*BO50*VLOOKUP('Données projet'!$B$11,Paramètres!$A$1:$I$89,3,0)*0.475*44/12</f>
        <v>5.5908749090747549E-2</v>
      </c>
      <c r="BS50" s="24">
        <f t="shared" si="9"/>
        <v>4.3849221177102624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11.5</v>
      </c>
      <c r="BY50" s="13">
        <f>IF('Données projet'!$A$114&gt;35,BY49+BX50-CG49,IF(A50&lt;'Données projet'!$A$114,$BV$205^A50,IF(A50='Données projet'!$A$114,'Données projet'!$B$114,BY49+BX50-CG49)))</f>
        <v>342.49999999999989</v>
      </c>
      <c r="BZ50" s="14">
        <f>BY50*VLOOKUP('Données projet'!$B$12,Paramètres!$A$1:$I$89,3,0)*VLOOKUP('Données projet'!$B$12,Paramètres!$A$1:$I$89,5,0)</f>
        <v>160.28999999999994</v>
      </c>
      <c r="CA50" s="14">
        <f t="shared" si="39"/>
        <v>40.907918820862015</v>
      </c>
      <c r="CB50" s="22">
        <f t="shared" si="10"/>
        <v>350.41970861300121</v>
      </c>
      <c r="CC50" s="62">
        <f t="shared" si="11"/>
        <v>603.48094647719654</v>
      </c>
      <c r="CD50" s="62">
        <f ca="1">AVERAGE(OFFSET($CC$3,0,0,'Données projet'!$E$12+1,1))-AVERAGE(OFFSET($H$3,0,0,'Données projet'!$E$12+1,1))</f>
        <v>426.87921482911719</v>
      </c>
      <c r="CE50" s="62">
        <f t="shared" si="40"/>
        <v>313.49594674441835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17.399999999999999</v>
      </c>
      <c r="CT50" s="13">
        <f>IF('Données projet'!$A$140&gt;35,CT49+CS50-DB49,IF(A50&lt;'Données projet'!$A$140,$CQ$205^A50,IF(A50='Données projet'!$A$140,'Données projet'!$B$140,CT49+CS50-DB49)))</f>
        <v>361.80000000000013</v>
      </c>
      <c r="CU50" s="18">
        <f>CT50*VLOOKUP('Données projet'!$B$13,Paramètres!$A$1:$I$89,3,0)*VLOOKUP('Données projet'!$B$13,Paramètres!$A$1:$I$89,5,0)</f>
        <v>216.35640000000006</v>
      </c>
      <c r="CV50" s="14">
        <f t="shared" si="41"/>
        <v>53.322199188237285</v>
      </c>
      <c r="CW50" s="22">
        <f t="shared" si="13"/>
        <v>469.69022691951341</v>
      </c>
      <c r="CX50" s="62">
        <f t="shared" si="14"/>
        <v>722.7514647837088</v>
      </c>
      <c r="CY50" s="62">
        <f ca="1">AVERAGE(OFFSET($CX$3,0,0,'Données projet'!$E$13+1,1))-AVERAGE(OFFSET($H$3,0,0,'Données projet'!$E$13+1,1))</f>
        <v>367.11994336501527</v>
      </c>
      <c r="CZ50" s="62">
        <f t="shared" si="42"/>
        <v>390.81417197867484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24.745324084880977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1.2716591936351239E-2</v>
      </c>
      <c r="DI50" s="24">
        <f t="shared" si="15"/>
        <v>24.758040676817327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1.9895196601282805E-13</v>
      </c>
      <c r="O51" s="14">
        <f>N51*VLOOKUP('Données projet'!$B$9,Paramètres!$A$1:$I$89,3,0)*VLOOKUP('Données projet'!$B$9,Paramètres!$A$1:$I$89,5,0)</f>
        <v>1.8001173884840681E-13</v>
      </c>
      <c r="P51" s="14">
        <f t="shared" si="33"/>
        <v>2.5254331426407198E-12</v>
      </c>
      <c r="Q51" s="22">
        <f t="shared" si="53"/>
        <v>4.7119831685935622E-12</v>
      </c>
      <c r="R51" s="62">
        <f t="shared" si="0"/>
        <v>253.75986868567242</v>
      </c>
      <c r="S51" s="62">
        <f ca="1">AVERAGE(OFFSET($R$3,0,0,'Données projet'!$E$9+1,1))-AVERAGE(OFFSET($H$3,0,0,'Données projet'!$E$9+1,1))</f>
        <v>312.43110610485337</v>
      </c>
      <c r="T51" s="62">
        <f t="shared" si="34"/>
        <v>442.54749157177571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0.37816213028014728</v>
      </c>
      <c r="AA51" s="23">
        <f>EXP(-LN(2)/25)*AA50+(1-EXP(-LN(2)/25))/(LN(2)/25)*Calculateur!V51*Calculateur!X51*VLOOKUP('Données projet'!$B$9,Paramètres!$A$1:$I$89,3,0)*0.475*44/12</f>
        <v>0.57157938365178784</v>
      </c>
      <c r="AB51" s="23">
        <f>EXP(-LN(2)/2)*AB50+(1-EXP(-LN(2)/2))/(LN(2)/2)*V51*Y51*VLOOKUP('Données projet'!$B$9,Paramètres!$A$1:$I$89,3,0)*0.475*44/12</f>
        <v>7.503250362318953E-3</v>
      </c>
      <c r="AC51" s="24">
        <f t="shared" si="3"/>
        <v>0.95724476429425409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11</v>
      </c>
      <c r="AI51" s="14">
        <f>IF('Données projet'!$A$62&gt;35,AI50+AH51-AQ50,IF(A51&lt;'Données projet'!$A$62,$AF$205^A51,IF(A51='Données projet'!$A$62,'Données projet'!$B$62,AI50+AH51-AQ50)))</f>
        <v>209.00000000000003</v>
      </c>
      <c r="AJ51" s="14">
        <f>AI51*VLOOKUP('Données projet'!$B$10,Paramètres!$A$1:$I$89,3,0)*VLOOKUP('Données projet'!$B$10,Paramètres!$A$1:$I$89,5,0)</f>
        <v>176.06160000000006</v>
      </c>
      <c r="AK51" s="14">
        <f t="shared" si="35"/>
        <v>44.444839741138928</v>
      </c>
      <c r="AL51" s="22">
        <f t="shared" si="4"/>
        <v>384.04871588248369</v>
      </c>
      <c r="AM51" s="62">
        <f t="shared" si="5"/>
        <v>637.80858456815145</v>
      </c>
      <c r="AN51" s="62">
        <f ca="1">AVERAGE(OFFSET($AM$3,0,0,'Données projet'!$E$10+1,1))-AVERAGE(OFFSET($H$3,0,0,'Données projet'!$E$10+1,1))</f>
        <v>445.02659128831181</v>
      </c>
      <c r="AO51" s="62">
        <f t="shared" si="36"/>
        <v>281.06176764290592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3.2680221185364657</v>
      </c>
      <c r="AV51" s="23">
        <f>EXP(-LN(2)/25)*AV50+(1-EXP(-LN(2)/25))/(LN(2)/25)*Calculateur!AQ51*Calculateur!AS51*VLOOKUP('Données projet'!$B$10,Paramètres!$A$1:$I$89,3,0)*0.475*44/12</f>
        <v>0.67801140681453498</v>
      </c>
      <c r="AW51" s="23">
        <f>EXP(-LN(2)/2)*AW50+(1-EXP(-LN(2)/2))/(LN(2)/2)*AQ51*AT51*VLOOKUP('Données projet'!$B$10,Paramètres!$A$1:$I$89,3,0)*0.475*44/12</f>
        <v>3.6807010395261047E-2</v>
      </c>
      <c r="AX51" s="23">
        <f t="shared" si="6"/>
        <v>3.982840535746262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11</v>
      </c>
      <c r="BD51" s="13">
        <f>IF('Données projet'!$A$88&gt;35,BD50+BC51-BL50,IF(A51&lt;'Données projet'!$A$88,$BA$205^A51,IF(A51='Données projet'!$A$88,'Données projet'!$B$88,BD50+BC51-BL50)))</f>
        <v>209.00000000000003</v>
      </c>
      <c r="BE51" s="14">
        <f>BD51*VLOOKUP('Données projet'!$B$11,Paramètres!$A$1:$I$89,3,0)*VLOOKUP('Données projet'!$B$11,Paramètres!$A$1:$I$89,5,0)</f>
        <v>189.10320000000002</v>
      </c>
      <c r="BF51" s="14">
        <f t="shared" si="37"/>
        <v>47.34162854278712</v>
      </c>
      <c r="BG51" s="22">
        <f t="shared" si="7"/>
        <v>411.80807637868764</v>
      </c>
      <c r="BH51" s="62">
        <f t="shared" si="8"/>
        <v>665.5679450643554</v>
      </c>
      <c r="BI51" s="62">
        <f ca="1">AVERAGE(OFFSET($BH$3,0,0,'Données projet'!$E$11+1,1))-AVERAGE(OFFSET($H$3,0,0,'Données projet'!$E$11+1,1))</f>
        <v>472.46893084347687</v>
      </c>
      <c r="BJ51" s="62">
        <f t="shared" si="38"/>
        <v>297.32483725004136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3.510097831020647</v>
      </c>
      <c r="BQ51" s="23">
        <f>EXP(-LN(2)/25)*BQ50+(1-EXP(-LN(2)/25))/(LN(2)/25)*Calculateur!BL51*Calculateur!BN51*VLOOKUP('Données projet'!$B$11,Paramètres!$A$1:$I$89,3,0)*0.475*44/12</f>
        <v>0.72823447398598184</v>
      </c>
      <c r="BR51" s="23">
        <f>EXP(-LN(2)/2)*BR50+(1-EXP(-LN(2)/2))/(LN(2)/2)*BL51*BO51*VLOOKUP('Données projet'!$B$11,Paramètres!$A$1:$I$89,3,0)*0.475*44/12</f>
        <v>3.9533455609724814E-2</v>
      </c>
      <c r="BS51" s="24">
        <f t="shared" si="9"/>
        <v>4.2778657606163533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11.5</v>
      </c>
      <c r="BY51" s="13">
        <f>IF('Données projet'!$A$114&gt;35,BY50+BX51-CG50,IF(A51&lt;'Données projet'!$A$114,$BV$205^A51,IF(A51='Données projet'!$A$114,'Données projet'!$B$114,BY50+BX51-CG50)))</f>
        <v>353.99999999999989</v>
      </c>
      <c r="BZ51" s="14">
        <f>BY51*VLOOKUP('Données projet'!$B$12,Paramètres!$A$1:$I$89,3,0)*VLOOKUP('Données projet'!$B$12,Paramètres!$A$1:$I$89,5,0)</f>
        <v>165.67199999999994</v>
      </c>
      <c r="CA51" s="14">
        <f t="shared" si="39"/>
        <v>42.119245508815517</v>
      </c>
      <c r="CB51" s="22">
        <f t="shared" si="10"/>
        <v>361.90308592785351</v>
      </c>
      <c r="CC51" s="62">
        <f t="shared" si="11"/>
        <v>615.66295461352115</v>
      </c>
      <c r="CD51" s="62">
        <f ca="1">AVERAGE(OFFSET($CC$3,0,0,'Données projet'!$E$12+1,1))-AVERAGE(OFFSET($H$3,0,0,'Données projet'!$E$12+1,1))</f>
        <v>426.87921482911719</v>
      </c>
      <c r="CE51" s="62">
        <f t="shared" si="40"/>
        <v>313.49594674441835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17.399999999999999</v>
      </c>
      <c r="CT51" s="13">
        <f>IF('Données projet'!$A$140&gt;35,CT50+CS51-DB50,IF(A51&lt;'Données projet'!$A$140,$CQ$205^A51,IF(A51='Données projet'!$A$140,'Données projet'!$B$140,CT50+CS51-DB50)))</f>
        <v>379.2000000000001</v>
      </c>
      <c r="CU51" s="18">
        <f>CT51*VLOOKUP('Données projet'!$B$13,Paramètres!$A$1:$I$89,3,0)*VLOOKUP('Données projet'!$B$13,Paramètres!$A$1:$I$89,5,0)</f>
        <v>226.76160000000007</v>
      </c>
      <c r="CV51" s="14">
        <f t="shared" si="41"/>
        <v>55.581886910575967</v>
      </c>
      <c r="CW51" s="22">
        <f t="shared" si="13"/>
        <v>491.74823970258649</v>
      </c>
      <c r="CX51" s="62">
        <f t="shared" si="14"/>
        <v>745.50810838825419</v>
      </c>
      <c r="CY51" s="62">
        <f ca="1">AVERAGE(OFFSET($CX$3,0,0,'Données projet'!$E$13+1,1))-AVERAGE(OFFSET($H$3,0,0,'Données projet'!$E$13+1,1))</f>
        <v>367.11994336501527</v>
      </c>
      <c r="CZ51" s="62">
        <f t="shared" si="42"/>
        <v>390.81417197867484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24.260083372733828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8.99198839177613E-3</v>
      </c>
      <c r="DI51" s="24">
        <f t="shared" si="15"/>
        <v>24.269075361125605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1.9895196601282805E-13</v>
      </c>
      <c r="O52" s="14">
        <f>N52*VLOOKUP('Données projet'!$B$9,Paramètres!$A$1:$I$89,3,0)*VLOOKUP('Données projet'!$B$9,Paramètres!$A$1:$I$89,5,0)</f>
        <v>1.8001173884840681E-13</v>
      </c>
      <c r="P52" s="14">
        <f t="shared" si="33"/>
        <v>2.5254331426407198E-12</v>
      </c>
      <c r="Q52" s="22">
        <f t="shared" si="53"/>
        <v>4.7119831685935622E-12</v>
      </c>
      <c r="R52" s="62">
        <f t="shared" si="0"/>
        <v>254.44637982429668</v>
      </c>
      <c r="S52" s="62">
        <f ca="1">AVERAGE(OFFSET($R$3,0,0,'Données projet'!$E$9+1,1))-AVERAGE(OFFSET($H$3,0,0,'Données projet'!$E$9+1,1))</f>
        <v>312.43110610485337</v>
      </c>
      <c r="T52" s="62">
        <f t="shared" si="34"/>
        <v>442.54749157177571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0.37074660156147765</v>
      </c>
      <c r="AA52" s="23">
        <f>EXP(-LN(2)/25)*AA51+(1-EXP(-LN(2)/25))/(LN(2)/25)*Calculateur!V52*Calculateur!X52*VLOOKUP('Données projet'!$B$9,Paramètres!$A$1:$I$89,3,0)*0.475*44/12</f>
        <v>0.55594951534777626</v>
      </c>
      <c r="AB52" s="23">
        <f>EXP(-LN(2)/2)*AB51+(1-EXP(-LN(2)/2))/(LN(2)/2)*V52*Y52*VLOOKUP('Données projet'!$B$9,Paramètres!$A$1:$I$89,3,0)*0.475*44/12</f>
        <v>5.3055992121361518E-3</v>
      </c>
      <c r="AC52" s="24">
        <f t="shared" si="3"/>
        <v>0.93200171612139004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11</v>
      </c>
      <c r="AI52" s="14">
        <f>IF('Données projet'!$A$62&gt;35,AI51+AH52-AQ51,IF(A52&lt;'Données projet'!$A$62,$AF$205^A52,IF(A52='Données projet'!$A$62,'Données projet'!$B$62,AI51+AH52-AQ51)))</f>
        <v>220.00000000000003</v>
      </c>
      <c r="AJ52" s="14">
        <f>AI52*VLOOKUP('Données projet'!$B$10,Paramètres!$A$1:$I$89,3,0)*VLOOKUP('Données projet'!$B$10,Paramètres!$A$1:$I$89,5,0)</f>
        <v>185.32800000000006</v>
      </c>
      <c r="AK52" s="14">
        <f t="shared" si="35"/>
        <v>46.505548070897625</v>
      </c>
      <c r="AL52" s="22">
        <f t="shared" si="4"/>
        <v>403.77676289014676</v>
      </c>
      <c r="AM52" s="62">
        <f t="shared" si="5"/>
        <v>658.22314271443872</v>
      </c>
      <c r="AN52" s="62">
        <f ca="1">AVERAGE(OFFSET($AM$3,0,0,'Données projet'!$E$10+1,1))-AVERAGE(OFFSET($H$3,0,0,'Données projet'!$E$10+1,1))</f>
        <v>445.02659128831181</v>
      </c>
      <c r="AO52" s="62">
        <f t="shared" si="36"/>
        <v>281.06176764290592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3.2039381980886361</v>
      </c>
      <c r="AV52" s="23">
        <f>EXP(-LN(2)/25)*AV51+(1-EXP(-LN(2)/25))/(LN(2)/25)*Calculateur!AQ52*Calculateur!AS52*VLOOKUP('Données projet'!$B$10,Paramètres!$A$1:$I$89,3,0)*0.475*44/12</f>
        <v>0.65947114924012129</v>
      </c>
      <c r="AW52" s="23">
        <f>EXP(-LN(2)/2)*AW51+(1-EXP(-LN(2)/2))/(LN(2)/2)*AQ52*AT52*VLOOKUP('Données projet'!$B$10,Paramètres!$A$1:$I$89,3,0)*0.475*44/12</f>
        <v>2.6026486645692834E-2</v>
      </c>
      <c r="AX52" s="23">
        <f t="shared" si="6"/>
        <v>3.8894358339744506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11</v>
      </c>
      <c r="BD52" s="13">
        <f>IF('Données projet'!$A$88&gt;35,BD51+BC52-BL51,IF(A52&lt;'Données projet'!$A$88,$BA$205^A52,IF(A52='Données projet'!$A$88,'Données projet'!$B$88,BD51+BC52-BL51)))</f>
        <v>220.00000000000003</v>
      </c>
      <c r="BE52" s="14">
        <f>BD52*VLOOKUP('Données projet'!$B$11,Paramètres!$A$1:$I$89,3,0)*VLOOKUP('Données projet'!$B$11,Paramètres!$A$1:$I$89,5,0)</f>
        <v>199.05600000000001</v>
      </c>
      <c r="BF52" s="14">
        <f t="shared" si="37"/>
        <v>49.536648006253934</v>
      </c>
      <c r="BG52" s="22">
        <f t="shared" si="7"/>
        <v>432.96552861089231</v>
      </c>
      <c r="BH52" s="62">
        <f t="shared" si="8"/>
        <v>687.41190843518427</v>
      </c>
      <c r="BI52" s="62">
        <f ca="1">AVERAGE(OFFSET($BH$3,0,0,'Données projet'!$E$11+1,1))-AVERAGE(OFFSET($H$3,0,0,'Données projet'!$E$11+1,1))</f>
        <v>472.46893084347687</v>
      </c>
      <c r="BJ52" s="62">
        <f t="shared" si="38"/>
        <v>297.32483725004136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3.4412669535026081</v>
      </c>
      <c r="BQ52" s="23">
        <f>EXP(-LN(2)/25)*BQ51+(1-EXP(-LN(2)/25))/(LN(2)/25)*Calculateur!BL52*Calculateur!BN52*VLOOKUP('Données projet'!$B$11,Paramètres!$A$1:$I$89,3,0)*0.475*44/12</f>
        <v>0.70832086399864858</v>
      </c>
      <c r="BR52" s="23">
        <f>EXP(-LN(2)/2)*BR51+(1-EXP(-LN(2)/2))/(LN(2)/2)*BL52*BO52*VLOOKUP('Données projet'!$B$11,Paramètres!$A$1:$I$89,3,0)*0.475*44/12</f>
        <v>2.7954374545373775E-2</v>
      </c>
      <c r="BS52" s="24">
        <f t="shared" si="9"/>
        <v>4.17754219204663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11.5</v>
      </c>
      <c r="BY52" s="13">
        <f>IF('Données projet'!$A$114&gt;35,BY51+BX52-CG51,IF(A52&lt;'Données projet'!$A$114,$BV$205^A52,IF(A52='Données projet'!$A$114,'Données projet'!$B$114,BY51+BX52-CG51)))</f>
        <v>365.49999999999989</v>
      </c>
      <c r="BZ52" s="14">
        <f>BY52*VLOOKUP('Données projet'!$B$12,Paramètres!$A$1:$I$89,3,0)*VLOOKUP('Données projet'!$B$12,Paramètres!$A$1:$I$89,5,0)</f>
        <v>171.05399999999995</v>
      </c>
      <c r="CA52" s="14">
        <f t="shared" si="39"/>
        <v>43.32599953897904</v>
      </c>
      <c r="CB52" s="22">
        <f t="shared" si="10"/>
        <v>373.37849919705508</v>
      </c>
      <c r="CC52" s="62">
        <f t="shared" si="11"/>
        <v>627.82487902134699</v>
      </c>
      <c r="CD52" s="62">
        <f ca="1">AVERAGE(OFFSET($CC$3,0,0,'Données projet'!$E$12+1,1))-AVERAGE(OFFSET($H$3,0,0,'Données projet'!$E$12+1,1))</f>
        <v>426.87921482911719</v>
      </c>
      <c r="CE52" s="62">
        <f t="shared" si="40"/>
        <v>313.49594674441835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17.399999999999999</v>
      </c>
      <c r="CT52" s="13">
        <f>IF('Données projet'!$A$140&gt;35,CT51+CS52-DB51,IF(A52&lt;'Données projet'!$A$140,$CQ$205^A52,IF(A52='Données projet'!$A$140,'Données projet'!$B$140,CT51+CS52-DB51)))</f>
        <v>396.60000000000008</v>
      </c>
      <c r="CU52" s="18">
        <f>CT52*VLOOKUP('Données projet'!$B$13,Paramètres!$A$1:$I$89,3,0)*VLOOKUP('Données projet'!$B$13,Paramètres!$A$1:$I$89,5,0)</f>
        <v>237.16680000000005</v>
      </c>
      <c r="CV52" s="14">
        <f t="shared" si="41"/>
        <v>57.829533038824259</v>
      </c>
      <c r="CW52" s="22">
        <f t="shared" si="13"/>
        <v>513.78528004261909</v>
      </c>
      <c r="CX52" s="62">
        <f t="shared" si="14"/>
        <v>768.23165986691106</v>
      </c>
      <c r="CY52" s="62">
        <f ca="1">AVERAGE(OFFSET($CX$3,0,0,'Données projet'!$E$13+1,1))-AVERAGE(OFFSET($H$3,0,0,'Données projet'!$E$13+1,1))</f>
        <v>367.11994336501527</v>
      </c>
      <c r="CZ52" s="62">
        <f t="shared" si="42"/>
        <v>390.81417197867484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23.784357934984275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6.3582959681756195E-3</v>
      </c>
      <c r="DI52" s="24">
        <f t="shared" si="15"/>
        <v>23.790716230952452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1.9895196601282805E-13</v>
      </c>
      <c r="O53" s="14">
        <f>N53*VLOOKUP('Données projet'!$B$9,Paramètres!$A$1:$I$89,3,0)*VLOOKUP('Données projet'!$B$9,Paramètres!$A$1:$I$89,5,0)</f>
        <v>1.8001173884840681E-13</v>
      </c>
      <c r="P53" s="14">
        <f t="shared" si="33"/>
        <v>2.5254331426407198E-12</v>
      </c>
      <c r="Q53" s="22">
        <f t="shared" si="53"/>
        <v>4.7119831685935622E-12</v>
      </c>
      <c r="R53" s="62">
        <f t="shared" si="0"/>
        <v>255.12098152947482</v>
      </c>
      <c r="S53" s="62">
        <f ca="1">AVERAGE(OFFSET($R$3,0,0,'Données projet'!$E$9+1,1))-AVERAGE(OFFSET($H$3,0,0,'Données projet'!$E$9+1,1))</f>
        <v>312.43110610485337</v>
      </c>
      <c r="T53" s="62">
        <f t="shared" si="34"/>
        <v>442.54749157177571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0.36347648683795525</v>
      </c>
      <c r="AA53" s="23">
        <f>EXP(-LN(2)/25)*AA52+(1-EXP(-LN(2)/25))/(LN(2)/25)*Calculateur!V53*Calculateur!X53*VLOOKUP('Données projet'!$B$9,Paramètres!$A$1:$I$89,3,0)*0.475*44/12</f>
        <v>0.54074704661447692</v>
      </c>
      <c r="AB53" s="23">
        <f>EXP(-LN(2)/2)*AB52+(1-EXP(-LN(2)/2))/(LN(2)/2)*V53*Y53*VLOOKUP('Données projet'!$B$9,Paramètres!$A$1:$I$89,3,0)*0.475*44/12</f>
        <v>3.7516251811594769E-3</v>
      </c>
      <c r="AC53" s="24">
        <f t="shared" si="3"/>
        <v>0.90797515863359168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231</v>
      </c>
      <c r="AG53" s="13">
        <f>VLOOKUP(A53,'Données projet'!$A$61:$I$81,9,0)</f>
        <v>11</v>
      </c>
      <c r="AH53" s="13">
        <f t="array" ref="AH53">INDEX(AG:AG,MIN(IF(ISNUMBER(AG53:AG249),ROW(AG53:AG249),"")))</f>
        <v>11</v>
      </c>
      <c r="AI53" s="14">
        <f>IF('Données projet'!$A$62&gt;35,AI52+AH53-AQ52,IF(A53&lt;'Données projet'!$A$62,$AF$205^A53,IF(A53='Données projet'!$A$62,'Données projet'!$B$62,AI52+AH53-AQ52)))</f>
        <v>231.00000000000003</v>
      </c>
      <c r="AJ53" s="14">
        <f>AI53*VLOOKUP('Données projet'!$B$10,Paramètres!$A$1:$I$89,3,0)*VLOOKUP('Données projet'!$B$10,Paramètres!$A$1:$I$89,5,0)</f>
        <v>194.59440000000004</v>
      </c>
      <c r="AK53" s="14">
        <f t="shared" si="35"/>
        <v>48.554292648263456</v>
      </c>
      <c r="AL53" s="22">
        <f t="shared" si="4"/>
        <v>423.48397302905886</v>
      </c>
      <c r="AM53" s="62">
        <f t="shared" si="5"/>
        <v>678.60495455852902</v>
      </c>
      <c r="AN53" s="62">
        <f ca="1">AVERAGE(OFFSET($AM$3,0,0,'Données projet'!$E$10+1,1))-AVERAGE(OFFSET($H$3,0,0,'Données projet'!$E$10+1,1))</f>
        <v>445.02659128831181</v>
      </c>
      <c r="AO53" s="62">
        <f t="shared" si="36"/>
        <v>281.06176764290592</v>
      </c>
      <c r="AP53" s="16">
        <f>IF(ISNA(VLOOKUP(A53,'Données projet'!$A$61:$I$81,3,0)),0,VLOOKUP(A53,'Données projet'!$A$61:$I$81,3,0))</f>
        <v>7</v>
      </c>
      <c r="AQ53" s="16">
        <f>IF(ISNA(VLOOKUP(A53,'Données projet'!$A$61:$I$81,4,0)),0,VLOOKUP(A53,'Données projet'!$A$61:$I$81,4,0))</f>
        <v>28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3.1411109242334567</v>
      </c>
      <c r="AV53" s="23">
        <f>EXP(-LN(2)/25)*AV52+(1-EXP(-LN(2)/25))/(LN(2)/25)*Calculateur!AQ53*Calculateur!AS53*VLOOKUP('Données projet'!$B$10,Paramètres!$A$1:$I$89,3,0)*0.475*44/12</f>
        <v>0.64143787598406965</v>
      </c>
      <c r="AW53" s="23">
        <f>EXP(-LN(2)/2)*AW52+(1-EXP(-LN(2)/2))/(LN(2)/2)*AQ53*AT53*VLOOKUP('Données projet'!$B$10,Paramètres!$A$1:$I$89,3,0)*0.475*44/12</f>
        <v>1.8403505197630524E-2</v>
      </c>
      <c r="AX53" s="23">
        <f t="shared" si="6"/>
        <v>3.8009523054151568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231</v>
      </c>
      <c r="BB53" s="13">
        <f>VLOOKUP(A53,'Données projet'!$A$87:$I$107,9,0)</f>
        <v>11</v>
      </c>
      <c r="BC53" s="13">
        <f t="array" ref="BC53">INDEX(BB:BB,MIN(IF(ISNUMBER(BB53:BB249),ROW(BB53:BB249),"")))</f>
        <v>11</v>
      </c>
      <c r="BD53" s="13">
        <f>IF('Données projet'!$A$88&gt;35,BD52+BC53-BL52,IF(A53&lt;'Données projet'!$A$88,$BA$205^A53,IF(A53='Données projet'!$A$88,'Données projet'!$B$88,BD52+BC53-BL52)))</f>
        <v>231.00000000000003</v>
      </c>
      <c r="BE53" s="14">
        <f>BD53*VLOOKUP('Données projet'!$B$11,Paramètres!$A$1:$I$89,3,0)*VLOOKUP('Données projet'!$B$11,Paramètres!$A$1:$I$89,5,0)</f>
        <v>209.00880000000004</v>
      </c>
      <c r="BF53" s="14">
        <f t="shared" si="37"/>
        <v>51.718923953824252</v>
      </c>
      <c r="BG53" s="22">
        <f t="shared" si="7"/>
        <v>454.10078588624395</v>
      </c>
      <c r="BH53" s="62">
        <f t="shared" si="8"/>
        <v>709.22176741571411</v>
      </c>
      <c r="BI53" s="62">
        <f ca="1">AVERAGE(OFFSET($BH$3,0,0,'Données projet'!$E$11+1,1))-AVERAGE(OFFSET($H$3,0,0,'Données projet'!$E$11+1,1))</f>
        <v>472.46893084347687</v>
      </c>
      <c r="BJ53" s="62">
        <f t="shared" si="38"/>
        <v>297.32483725004136</v>
      </c>
      <c r="BK53" s="16">
        <f>IF(ISNA(VLOOKUP(A53,'Données projet'!$A$87:$I$107,3,0)),0,VLOOKUP(A53,'Données projet'!$A$87:$I$107,3,0))</f>
        <v>7</v>
      </c>
      <c r="BL53" s="16">
        <f>IF(ISNA(VLOOKUP(A53,'Données projet'!$A$87:$I$107,4,0)),0,VLOOKUP(A53,'Données projet'!$A$87:$I$107,4,0))</f>
        <v>28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3.373785807510008</v>
      </c>
      <c r="BQ53" s="23">
        <f>EXP(-LN(2)/25)*BQ52+(1-EXP(-LN(2)/25))/(LN(2)/25)*Calculateur!BL53*Calculateur!BN53*VLOOKUP('Données projet'!$B$11,Paramètres!$A$1:$I$89,3,0)*0.475*44/12</f>
        <v>0.68895179272363016</v>
      </c>
      <c r="BR53" s="23">
        <f>EXP(-LN(2)/2)*BR52+(1-EXP(-LN(2)/2))/(LN(2)/2)*BL53*BO53*VLOOKUP('Données projet'!$B$11,Paramètres!$A$1:$I$89,3,0)*0.475*44/12</f>
        <v>1.9766727804862407E-2</v>
      </c>
      <c r="BS53" s="24">
        <f t="shared" si="9"/>
        <v>4.0825043280385005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377</v>
      </c>
      <c r="BW53" s="13">
        <f>VLOOKUP(A53,'Données projet'!$A$113:$I$133,9,0)</f>
        <v>11.5</v>
      </c>
      <c r="BX53" s="13">
        <f t="array" ref="BX53">INDEX(BW:BW,MIN(IF(ISNUMBER(BW53:BW249),ROW(BW53:BW249),"")))</f>
        <v>11.5</v>
      </c>
      <c r="BY53" s="13">
        <f>IF('Données projet'!$A$114&gt;35,BY52+BX53-CG52,IF(A53&lt;'Données projet'!$A$114,$BV$205^A53,IF(A53='Données projet'!$A$114,'Données projet'!$B$114,BY52+BX53-CG52)))</f>
        <v>376.99999999999989</v>
      </c>
      <c r="BZ53" s="14">
        <f>BY53*VLOOKUP('Données projet'!$B$12,Paramètres!$A$1:$I$89,3,0)*VLOOKUP('Données projet'!$B$12,Paramètres!$A$1:$I$89,5,0)</f>
        <v>176.43599999999992</v>
      </c>
      <c r="CA53" s="14">
        <f t="shared" si="39"/>
        <v>44.52834129105058</v>
      </c>
      <c r="CB53" s="22">
        <f t="shared" si="10"/>
        <v>384.84622774857962</v>
      </c>
      <c r="CC53" s="62">
        <f t="shared" si="11"/>
        <v>639.96720927804972</v>
      </c>
      <c r="CD53" s="62">
        <f ca="1">AVERAGE(OFFSET($CC$3,0,0,'Données projet'!$E$12+1,1))-AVERAGE(OFFSET($H$3,0,0,'Données projet'!$E$12+1,1))</f>
        <v>426.87921482911719</v>
      </c>
      <c r="CE53" s="62">
        <f t="shared" si="40"/>
        <v>313.49594674441835</v>
      </c>
      <c r="CF53" s="16">
        <f>IF(ISNA(VLOOKUP(A53,'Données projet'!$A$113:$I$133,3,0)),0,VLOOKUP(A53,'Données projet'!$A$113:$I$133,3,0))</f>
        <v>4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414</v>
      </c>
      <c r="CR53" s="13">
        <f>VLOOKUP(A53,'Données projet'!$A$139:$I$159,9,0)</f>
        <v>17.399999999999999</v>
      </c>
      <c r="CS53" s="13">
        <f t="array" ref="CS53">INDEX(CR:CR,MIN(IF(ISNUMBER(CR53:CR249),ROW(CR53:CR249),"")))</f>
        <v>17.399999999999999</v>
      </c>
      <c r="CT53" s="13">
        <f>IF('Données projet'!$A$140&gt;35,CT52+CS53-DB52,IF(A53&lt;'Données projet'!$A$140,$CQ$205^A53,IF(A53='Données projet'!$A$140,'Données projet'!$B$140,CT52+CS53-DB52)))</f>
        <v>414.00000000000006</v>
      </c>
      <c r="CU53" s="18">
        <f>CT53*VLOOKUP('Données projet'!$B$13,Paramètres!$A$1:$I$89,3,0)*VLOOKUP('Données projet'!$B$13,Paramètres!$A$1:$I$89,5,0)</f>
        <v>247.57200000000003</v>
      </c>
      <c r="CV53" s="14">
        <f t="shared" si="41"/>
        <v>60.065726249156576</v>
      </c>
      <c r="CW53" s="22">
        <f t="shared" si="13"/>
        <v>535.80237321728112</v>
      </c>
      <c r="CX53" s="62">
        <f t="shared" si="14"/>
        <v>790.92335474675122</v>
      </c>
      <c r="CY53" s="62">
        <f ca="1">AVERAGE(OFFSET($CX$3,0,0,'Données projet'!$E$13+1,1))-AVERAGE(OFFSET($H$3,0,0,'Données projet'!$E$13+1,1))</f>
        <v>367.11994336501527</v>
      </c>
      <c r="CZ53" s="62">
        <f t="shared" si="42"/>
        <v>390.81417197867484</v>
      </c>
      <c r="DA53" s="16">
        <f>IF(ISNA(VLOOKUP(A53,'Données projet'!$A$139:$I$159,3,0)),0,VLOOKUP(A53,'Données projet'!$A$139:$I$159,3,0))</f>
        <v>8</v>
      </c>
      <c r="DB53" s="16">
        <f>IF(ISNA(VLOOKUP(A53,'Données projet'!$A$139:$I$159,4,0)),0,VLOOKUP(A53,'Données projet'!$A$139:$I$159,4,0))</f>
        <v>47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23.317961182905123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4.495994195888065E-3</v>
      </c>
      <c r="DI53" s="24">
        <f t="shared" si="15"/>
        <v>23.322457177101011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1.9895196601282805E-13</v>
      </c>
      <c r="O54" s="14">
        <f>N54*VLOOKUP('Données projet'!$B$9,Paramètres!$A$1:$I$89,3,0)*VLOOKUP('Données projet'!$B$9,Paramètres!$A$1:$I$89,5,0)</f>
        <v>1.8001173884840681E-13</v>
      </c>
      <c r="P54" s="14">
        <f t="shared" si="33"/>
        <v>2.5254331426407198E-12</v>
      </c>
      <c r="Q54" s="22">
        <f t="shared" si="53"/>
        <v>4.7119831685935622E-12</v>
      </c>
      <c r="R54" s="62">
        <f t="shared" si="0"/>
        <v>255.78388040325154</v>
      </c>
      <c r="S54" s="62">
        <f ca="1">AVERAGE(OFFSET($R$3,0,0,'Données projet'!$E$9+1,1))-AVERAGE(OFFSET($H$3,0,0,'Données projet'!$E$9+1,1))</f>
        <v>312.43110610485337</v>
      </c>
      <c r="T54" s="62">
        <f t="shared" si="34"/>
        <v>442.54749157177571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0.35634893462982897</v>
      </c>
      <c r="AA54" s="23">
        <f>EXP(-LN(2)/25)*AA53+(1-EXP(-LN(2)/25))/(LN(2)/25)*Calculateur!V54*Calculateur!X54*VLOOKUP('Données projet'!$B$9,Paramètres!$A$1:$I$89,3,0)*0.475*44/12</f>
        <v>0.52596029018815271</v>
      </c>
      <c r="AB54" s="23">
        <f>EXP(-LN(2)/2)*AB53+(1-EXP(-LN(2)/2))/(LN(2)/2)*V54*Y54*VLOOKUP('Données projet'!$B$9,Paramètres!$A$1:$I$89,3,0)*0.475*44/12</f>
        <v>2.6527996060680763E-3</v>
      </c>
      <c r="AC54" s="24">
        <f t="shared" si="3"/>
        <v>0.88496202442404981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10.199999999999999</v>
      </c>
      <c r="AI54" s="14">
        <f>IF('Données projet'!$A$62&gt;35,AI53+AH54-AQ53,IF(A54&lt;'Données projet'!$A$62,$AF$205^A54,IF(A54='Données projet'!$A$62,'Données projet'!$B$62,AI53+AH54-AQ53)))</f>
        <v>213.20000000000002</v>
      </c>
      <c r="AJ54" s="14">
        <f>AI54*VLOOKUP('Données projet'!$B$10,Paramètres!$A$1:$I$89,3,0)*VLOOKUP('Données projet'!$B$10,Paramètres!$A$1:$I$89,5,0)</f>
        <v>179.59968000000003</v>
      </c>
      <c r="AK54" s="14">
        <f t="shared" si="35"/>
        <v>45.233110804333748</v>
      </c>
      <c r="AL54" s="22">
        <f t="shared" si="4"/>
        <v>391.58377731754803</v>
      </c>
      <c r="AM54" s="62">
        <f t="shared" si="5"/>
        <v>647.3676577207948</v>
      </c>
      <c r="AN54" s="62">
        <f ca="1">AVERAGE(OFFSET($AM$3,0,0,'Données projet'!$E$10+1,1))-AVERAGE(OFFSET($H$3,0,0,'Données projet'!$E$10+1,1))</f>
        <v>445.02659128831181</v>
      </c>
      <c r="AO54" s="62">
        <f t="shared" si="36"/>
        <v>281.06176764290592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3.0795156548977243</v>
      </c>
      <c r="AV54" s="23">
        <f>EXP(-LN(2)/25)*AV53+(1-EXP(-LN(2)/25))/(LN(2)/25)*Calculateur!AQ54*Calculateur!AS54*VLOOKUP('Données projet'!$B$10,Paramètres!$A$1:$I$89,3,0)*0.475*44/12</f>
        <v>0.62389772353353334</v>
      </c>
      <c r="AW54" s="23">
        <f>EXP(-LN(2)/2)*AW53+(1-EXP(-LN(2)/2))/(LN(2)/2)*AQ54*AT54*VLOOKUP('Données projet'!$B$10,Paramètres!$A$1:$I$89,3,0)*0.475*44/12</f>
        <v>1.3013243322846417E-2</v>
      </c>
      <c r="AX54" s="23">
        <f t="shared" si="6"/>
        <v>3.716426621754104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10.199999999999999</v>
      </c>
      <c r="BD54" s="13">
        <f>IF('Données projet'!$A$88&gt;35,BD53+BC54-BL53,IF(A54&lt;'Données projet'!$A$88,$BA$205^A54,IF(A54='Données projet'!$A$88,'Données projet'!$B$88,BD53+BC54-BL53)))</f>
        <v>213.20000000000002</v>
      </c>
      <c r="BE54" s="14">
        <f>BD54*VLOOKUP('Données projet'!$B$11,Paramètres!$A$1:$I$89,3,0)*VLOOKUP('Données projet'!$B$11,Paramètres!$A$1:$I$89,5,0)</f>
        <v>192.90336000000002</v>
      </c>
      <c r="BF54" s="14">
        <f t="shared" si="37"/>
        <v>48.181276881765257</v>
      </c>
      <c r="BG54" s="22">
        <f t="shared" si="7"/>
        <v>419.88907590240791</v>
      </c>
      <c r="BH54" s="62">
        <f t="shared" si="8"/>
        <v>675.67295630565468</v>
      </c>
      <c r="BI54" s="62">
        <f ca="1">AVERAGE(OFFSET($BH$3,0,0,'Données projet'!$E$11+1,1))-AVERAGE(OFFSET($H$3,0,0,'Données projet'!$E$11+1,1))</f>
        <v>472.46893084347687</v>
      </c>
      <c r="BJ54" s="62">
        <f t="shared" si="38"/>
        <v>297.32483725004136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3.307627925630888</v>
      </c>
      <c r="BQ54" s="23">
        <f>EXP(-LN(2)/25)*BQ53+(1-EXP(-LN(2)/25))/(LN(2)/25)*Calculateur!BL54*Calculateur!BN54*VLOOKUP('Données projet'!$B$11,Paramètres!$A$1:$I$89,3,0)*0.475*44/12</f>
        <v>0.67011236972120236</v>
      </c>
      <c r="BR54" s="23">
        <f>EXP(-LN(2)/2)*BR53+(1-EXP(-LN(2)/2))/(LN(2)/2)*BL54*BO54*VLOOKUP('Données projet'!$B$11,Paramètres!$A$1:$I$89,3,0)*0.475*44/12</f>
        <v>1.3977187272686887E-2</v>
      </c>
      <c r="BS54" s="24">
        <f t="shared" si="9"/>
        <v>3.991717482624777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13.5</v>
      </c>
      <c r="BY54" s="13">
        <f>IF('Données projet'!$A$114&gt;35,BY53+BX54-CG53,IF(A54&lt;'Données projet'!$A$114,$BV$205^A54,IF(A54='Données projet'!$A$114,'Données projet'!$B$114,BY53+BX54-CG53)))</f>
        <v>390.49999999999989</v>
      </c>
      <c r="BZ54" s="14">
        <f>BY54*VLOOKUP('Données projet'!$B$12,Paramètres!$A$1:$I$89,3,0)*VLOOKUP('Données projet'!$B$12,Paramètres!$A$1:$I$89,5,0)</f>
        <v>182.75399999999996</v>
      </c>
      <c r="CA54" s="14">
        <f t="shared" si="39"/>
        <v>45.934357911110212</v>
      </c>
      <c r="CB54" s="22">
        <f t="shared" si="10"/>
        <v>398.29889002851684</v>
      </c>
      <c r="CC54" s="62">
        <f t="shared" si="11"/>
        <v>654.08277043176372</v>
      </c>
      <c r="CD54" s="62">
        <f ca="1">AVERAGE(OFFSET($CC$3,0,0,'Données projet'!$E$12+1,1))-AVERAGE(OFFSET($H$3,0,0,'Données projet'!$E$12+1,1))</f>
        <v>426.87921482911719</v>
      </c>
      <c r="CE54" s="62">
        <f t="shared" si="40"/>
        <v>313.49594674441835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19.2</v>
      </c>
      <c r="CT54" s="13">
        <f>IF('Données projet'!$A$140&gt;35,CT53+CS54-DB53,IF(A54&lt;'Données projet'!$A$140,$CQ$205^A54,IF(A54='Données projet'!$A$140,'Données projet'!$B$140,CT53+CS54-DB53)))</f>
        <v>386.20000000000005</v>
      </c>
      <c r="CU54" s="18">
        <f>CT54*VLOOKUP('Données projet'!$B$13,Paramètres!$A$1:$I$89,3,0)*VLOOKUP('Données projet'!$B$13,Paramètres!$A$1:$I$89,5,0)</f>
        <v>230.94760000000002</v>
      </c>
      <c r="CV54" s="14">
        <f t="shared" si="41"/>
        <v>56.487525751065782</v>
      </c>
      <c r="CW54" s="22">
        <f t="shared" si="13"/>
        <v>500.61617734977295</v>
      </c>
      <c r="CX54" s="62">
        <f t="shared" si="14"/>
        <v>756.40005775301984</v>
      </c>
      <c r="CY54" s="62">
        <f ca="1">AVERAGE(OFFSET($CX$3,0,0,'Données projet'!$E$13+1,1))-AVERAGE(OFFSET($H$3,0,0,'Données projet'!$E$13+1,1))</f>
        <v>367.11994336501527</v>
      </c>
      <c r="CZ54" s="62">
        <f t="shared" si="42"/>
        <v>390.81417197867484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22.860710186660313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3.1791479840878097E-3</v>
      </c>
      <c r="DI54" s="24">
        <f t="shared" si="15"/>
        <v>22.863889334644401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1.9895196601282805E-13</v>
      </c>
      <c r="O55" s="14">
        <f>N55*VLOOKUP('Données projet'!$B$9,Paramètres!$A$1:$I$89,3,0)*VLOOKUP('Données projet'!$B$9,Paramètres!$A$1:$I$89,5,0)</f>
        <v>1.8001173884840681E-13</v>
      </c>
      <c r="P55" s="14">
        <f t="shared" si="33"/>
        <v>2.5254331426407198E-12</v>
      </c>
      <c r="Q55" s="22">
        <f t="shared" si="53"/>
        <v>4.7119831685935622E-12</v>
      </c>
      <c r="R55" s="62">
        <f t="shared" si="0"/>
        <v>256.43527946358807</v>
      </c>
      <c r="S55" s="62">
        <f ca="1">AVERAGE(OFFSET($R$3,0,0,'Données projet'!$E$9+1,1))-AVERAGE(OFFSET($H$3,0,0,'Données projet'!$E$9+1,1))</f>
        <v>312.43110610485337</v>
      </c>
      <c r="T55" s="62">
        <f t="shared" si="34"/>
        <v>442.54749157177571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0.34936114937312646</v>
      </c>
      <c r="AA55" s="23">
        <f>EXP(-LN(2)/25)*AA54+(1-EXP(-LN(2)/25))/(LN(2)/25)*Calculateur!V55*Calculateur!X55*VLOOKUP('Données projet'!$B$9,Paramètres!$A$1:$I$89,3,0)*0.475*44/12</f>
        <v>0.51157787839390811</v>
      </c>
      <c r="AB55" s="23">
        <f>EXP(-LN(2)/2)*AB54+(1-EXP(-LN(2)/2))/(LN(2)/2)*V55*Y55*VLOOKUP('Données projet'!$B$9,Paramètres!$A$1:$I$89,3,0)*0.475*44/12</f>
        <v>1.8758125905797389E-3</v>
      </c>
      <c r="AC55" s="24">
        <f t="shared" si="3"/>
        <v>0.86281484035761435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10.199999999999999</v>
      </c>
      <c r="AI55" s="14">
        <f>IF('Données projet'!$A$62&gt;35,AI54+AH55-AQ54,IF(A55&lt;'Données projet'!$A$62,$AF$205^A55,IF(A55='Données projet'!$A$62,'Données projet'!$B$62,AI54+AH55-AQ54)))</f>
        <v>223.4</v>
      </c>
      <c r="AJ55" s="14">
        <f>AI55*VLOOKUP('Données projet'!$B$10,Paramètres!$A$1:$I$89,3,0)*VLOOKUP('Données projet'!$B$10,Paramètres!$A$1:$I$89,5,0)</f>
        <v>188.19216000000003</v>
      </c>
      <c r="AK55" s="14">
        <f t="shared" si="35"/>
        <v>47.140042972585213</v>
      </c>
      <c r="AL55" s="22">
        <f t="shared" si="4"/>
        <v>409.870253510586</v>
      </c>
      <c r="AM55" s="62">
        <f t="shared" si="5"/>
        <v>666.30553297416941</v>
      </c>
      <c r="AN55" s="62">
        <f ca="1">AVERAGE(OFFSET($AM$3,0,0,'Données projet'!$E$10+1,1))-AVERAGE(OFFSET($H$3,0,0,'Données projet'!$E$10+1,1))</f>
        <v>445.02659128831181</v>
      </c>
      <c r="AO55" s="62">
        <f t="shared" si="36"/>
        <v>281.06176764290592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3.0191282312242609</v>
      </c>
      <c r="AV55" s="23">
        <f>EXP(-LN(2)/25)*AV54+(1-EXP(-LN(2)/25))/(LN(2)/25)*Calculateur!AQ55*Calculateur!AS55*VLOOKUP('Données projet'!$B$10,Paramètres!$A$1:$I$89,3,0)*0.475*44/12</f>
        <v>0.60683720747415348</v>
      </c>
      <c r="AW55" s="23">
        <f>EXP(-LN(2)/2)*AW54+(1-EXP(-LN(2)/2))/(LN(2)/2)*AQ55*AT55*VLOOKUP('Données projet'!$B$10,Paramètres!$A$1:$I$89,3,0)*0.475*44/12</f>
        <v>9.2017525988152618E-3</v>
      </c>
      <c r="AX55" s="23">
        <f t="shared" si="6"/>
        <v>3.6351671912972296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10.199999999999999</v>
      </c>
      <c r="BD55" s="13">
        <f>IF('Données projet'!$A$88&gt;35,BD54+BC55-BL54,IF(A55&lt;'Données projet'!$A$88,$BA$205^A55,IF(A55='Données projet'!$A$88,'Données projet'!$B$88,BD54+BC55-BL54)))</f>
        <v>223.4</v>
      </c>
      <c r="BE55" s="14">
        <f>BD55*VLOOKUP('Données projet'!$B$11,Paramètres!$A$1:$I$89,3,0)*VLOOKUP('Données projet'!$B$11,Paramètres!$A$1:$I$89,5,0)</f>
        <v>202.13232000000002</v>
      </c>
      <c r="BF55" s="14">
        <f t="shared" si="37"/>
        <v>50.212497488959627</v>
      </c>
      <c r="BG55" s="22">
        <f t="shared" si="7"/>
        <v>439.50055712660469</v>
      </c>
      <c r="BH55" s="62">
        <f t="shared" si="8"/>
        <v>695.93583659018805</v>
      </c>
      <c r="BI55" s="62">
        <f ca="1">AVERAGE(OFFSET($BH$3,0,0,'Données projet'!$E$11+1,1))-AVERAGE(OFFSET($H$3,0,0,'Données projet'!$E$11+1,1))</f>
        <v>472.46893084347687</v>
      </c>
      <c r="BJ55" s="62">
        <f t="shared" si="38"/>
        <v>297.32483725004136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3.2427673594630941</v>
      </c>
      <c r="BQ55" s="23">
        <f>EXP(-LN(2)/25)*BQ54+(1-EXP(-LN(2)/25))/(LN(2)/25)*Calculateur!BL55*Calculateur!BN55*VLOOKUP('Données projet'!$B$11,Paramètres!$A$1:$I$89,3,0)*0.475*44/12</f>
        <v>0.65178811173149809</v>
      </c>
      <c r="BR55" s="23">
        <f>EXP(-LN(2)/2)*BR54+(1-EXP(-LN(2)/2))/(LN(2)/2)*BL55*BO55*VLOOKUP('Données projet'!$B$11,Paramètres!$A$1:$I$89,3,0)*0.475*44/12</f>
        <v>9.8833639024312036E-3</v>
      </c>
      <c r="BS55" s="24">
        <f t="shared" si="9"/>
        <v>3.9044388350970234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13.5</v>
      </c>
      <c r="BY55" s="13">
        <f>IF('Données projet'!$A$114&gt;35,BY54+BX55-CG54,IF(A55&lt;'Données projet'!$A$114,$BV$205^A55,IF(A55='Données projet'!$A$114,'Données projet'!$B$114,BY54+BX55-CG54)))</f>
        <v>403.99999999999989</v>
      </c>
      <c r="BZ55" s="14">
        <f>BY55*VLOOKUP('Données projet'!$B$12,Paramètres!$A$1:$I$89,3,0)*VLOOKUP('Données projet'!$B$12,Paramètres!$A$1:$I$89,5,0)</f>
        <v>189.07199999999992</v>
      </c>
      <c r="CA55" s="14">
        <f t="shared" si="39"/>
        <v>47.33472679972779</v>
      </c>
      <c r="CB55" s="22">
        <f t="shared" si="10"/>
        <v>411.74171584285909</v>
      </c>
      <c r="CC55" s="62">
        <f t="shared" si="11"/>
        <v>668.17699530644245</v>
      </c>
      <c r="CD55" s="62">
        <f ca="1">AVERAGE(OFFSET($CC$3,0,0,'Données projet'!$E$12+1,1))-AVERAGE(OFFSET($H$3,0,0,'Données projet'!$E$12+1,1))</f>
        <v>426.87921482911719</v>
      </c>
      <c r="CE55" s="62">
        <f t="shared" si="40"/>
        <v>313.49594674441835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19.2</v>
      </c>
      <c r="CT55" s="13">
        <f>IF('Données projet'!$A$140&gt;35,CT54+CS55-DB54,IF(A55&lt;'Données projet'!$A$140,$CQ$205^A55,IF(A55='Données projet'!$A$140,'Données projet'!$B$140,CT54+CS55-DB54)))</f>
        <v>405.40000000000003</v>
      </c>
      <c r="CU55" s="18">
        <f>CT55*VLOOKUP('Données projet'!$B$13,Paramètres!$A$1:$I$89,3,0)*VLOOKUP('Données projet'!$B$13,Paramètres!$A$1:$I$89,5,0)</f>
        <v>242.42920000000007</v>
      </c>
      <c r="CV55" s="14">
        <f t="shared" si="41"/>
        <v>58.961877963646693</v>
      </c>
      <c r="CW55" s="22">
        <f t="shared" si="13"/>
        <v>524.92279412001812</v>
      </c>
      <c r="CX55" s="62">
        <f t="shared" si="14"/>
        <v>781.35807358360148</v>
      </c>
      <c r="CY55" s="62">
        <f ca="1">AVERAGE(OFFSET($CX$3,0,0,'Données projet'!$E$13+1,1))-AVERAGE(OFFSET($H$3,0,0,'Données projet'!$E$13+1,1))</f>
        <v>367.11994336501527</v>
      </c>
      <c r="CZ55" s="62">
        <f t="shared" si="42"/>
        <v>390.81417197867484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22.412425603556297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2.2479970979440325E-3</v>
      </c>
      <c r="DI55" s="24">
        <f t="shared" si="15"/>
        <v>22.41467360065424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1.9895196601282805E-13</v>
      </c>
      <c r="O56" s="14">
        <f>N56*VLOOKUP('Données projet'!$B$9,Paramètres!$A$1:$I$89,3,0)*VLOOKUP('Données projet'!$B$9,Paramètres!$A$1:$I$89,5,0)</f>
        <v>1.8001173884840681E-13</v>
      </c>
      <c r="P56" s="14">
        <f t="shared" si="33"/>
        <v>2.5254331426407198E-12</v>
      </c>
      <c r="Q56" s="22">
        <f t="shared" si="53"/>
        <v>4.7119831685935622E-12</v>
      </c>
      <c r="R56" s="62">
        <f t="shared" si="0"/>
        <v>257.07537820653795</v>
      </c>
      <c r="S56" s="62">
        <f ca="1">AVERAGE(OFFSET($R$3,0,0,'Données projet'!$E$9+1,1))-AVERAGE(OFFSET($H$3,0,0,'Données projet'!$E$9+1,1))</f>
        <v>312.43110610485337</v>
      </c>
      <c r="T56" s="62">
        <f t="shared" si="34"/>
        <v>442.54749157177571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0.34251039032317976</v>
      </c>
      <c r="AA56" s="23">
        <f>EXP(-LN(2)/25)*AA55+(1-EXP(-LN(2)/25))/(LN(2)/25)*Calculateur!V56*Calculateur!X56*VLOOKUP('Données projet'!$B$9,Paramètres!$A$1:$I$89,3,0)*0.475*44/12</f>
        <v>0.49758875440651529</v>
      </c>
      <c r="AB56" s="23">
        <f>EXP(-LN(2)/2)*AB55+(1-EXP(-LN(2)/2))/(LN(2)/2)*V56*Y56*VLOOKUP('Données projet'!$B$9,Paramètres!$A$1:$I$89,3,0)*0.475*44/12</f>
        <v>1.3263998030340384E-3</v>
      </c>
      <c r="AC56" s="24">
        <f t="shared" si="3"/>
        <v>0.84142554453272911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10.199999999999999</v>
      </c>
      <c r="AI56" s="14">
        <f>IF('Données projet'!$A$62&gt;35,AI55+AH56-AQ55,IF(A56&lt;'Données projet'!$A$62,$AF$205^A56,IF(A56='Données projet'!$A$62,'Données projet'!$B$62,AI55+AH56-AQ55)))</f>
        <v>233.6</v>
      </c>
      <c r="AJ56" s="14">
        <f>AI56*VLOOKUP('Données projet'!$B$10,Paramètres!$A$1:$I$89,3,0)*VLOOKUP('Données projet'!$B$10,Paramètres!$A$1:$I$89,5,0)</f>
        <v>196.78464000000002</v>
      </c>
      <c r="AK56" s="14">
        <f t="shared" si="35"/>
        <v>49.036863746442876</v>
      </c>
      <c r="AL56" s="22">
        <f t="shared" si="4"/>
        <v>428.1391190250547</v>
      </c>
      <c r="AM56" s="62">
        <f t="shared" si="5"/>
        <v>685.21449723158798</v>
      </c>
      <c r="AN56" s="62">
        <f ca="1">AVERAGE(OFFSET($AM$3,0,0,'Données projet'!$E$10+1,1))-AVERAGE(OFFSET($H$3,0,0,'Données projet'!$E$10+1,1))</f>
        <v>445.02659128831181</v>
      </c>
      <c r="AO56" s="62">
        <f t="shared" si="36"/>
        <v>281.06176764290592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2.9599249680963426</v>
      </c>
      <c r="AV56" s="23">
        <f>EXP(-LN(2)/25)*AV55+(1-EXP(-LN(2)/25))/(LN(2)/25)*Calculateur!AQ56*Calculateur!AS56*VLOOKUP('Données projet'!$B$10,Paramètres!$A$1:$I$89,3,0)*0.475*44/12</f>
        <v>0.59024321212359099</v>
      </c>
      <c r="AW56" s="23">
        <f>EXP(-LN(2)/2)*AW55+(1-EXP(-LN(2)/2))/(LN(2)/2)*AQ56*AT56*VLOOKUP('Données projet'!$B$10,Paramètres!$A$1:$I$89,3,0)*0.475*44/12</f>
        <v>6.5066216614232085E-3</v>
      </c>
      <c r="AX56" s="23">
        <f t="shared" si="6"/>
        <v>3.5566748018813565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10.199999999999999</v>
      </c>
      <c r="BD56" s="13">
        <f>IF('Données projet'!$A$88&gt;35,BD55+BC56-BL55,IF(A56&lt;'Données projet'!$A$88,$BA$205^A56,IF(A56='Données projet'!$A$88,'Données projet'!$B$88,BD55+BC56-BL55)))</f>
        <v>233.6</v>
      </c>
      <c r="BE56" s="14">
        <f>BD56*VLOOKUP('Données projet'!$B$11,Paramètres!$A$1:$I$89,3,0)*VLOOKUP('Données projet'!$B$11,Paramètres!$A$1:$I$89,5,0)</f>
        <v>211.36127999999999</v>
      </c>
      <c r="BF56" s="14">
        <f t="shared" si="37"/>
        <v>52.232947669705631</v>
      </c>
      <c r="BG56" s="22">
        <f t="shared" si="7"/>
        <v>459.09327985807062</v>
      </c>
      <c r="BH56" s="62">
        <f t="shared" si="8"/>
        <v>716.16865806460385</v>
      </c>
      <c r="BI56" s="62">
        <f ca="1">AVERAGE(OFFSET($BH$3,0,0,'Données projet'!$E$11+1,1))-AVERAGE(OFFSET($H$3,0,0,'Données projet'!$E$11+1,1))</f>
        <v>472.46893084347687</v>
      </c>
      <c r="BJ56" s="62">
        <f t="shared" si="38"/>
        <v>297.32483725004136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3.1791786694368116</v>
      </c>
      <c r="BQ56" s="23">
        <f>EXP(-LN(2)/25)*BQ55+(1-EXP(-LN(2)/25))/(LN(2)/25)*Calculateur!BL56*Calculateur!BN56*VLOOKUP('Données projet'!$B$11,Paramètres!$A$1:$I$89,3,0)*0.475*44/12</f>
        <v>0.63396493154015321</v>
      </c>
      <c r="BR56" s="23">
        <f>EXP(-LN(2)/2)*BR55+(1-EXP(-LN(2)/2))/(LN(2)/2)*BL56*BO56*VLOOKUP('Données projet'!$B$11,Paramètres!$A$1:$I$89,3,0)*0.475*44/12</f>
        <v>6.9885936363434436E-3</v>
      </c>
      <c r="BS56" s="24">
        <f t="shared" si="9"/>
        <v>3.8201321946133082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13.5</v>
      </c>
      <c r="BY56" s="13">
        <f>IF('Données projet'!$A$114&gt;35,BY55+BX56-CG55,IF(A56&lt;'Données projet'!$A$114,$BV$205^A56,IF(A56='Données projet'!$A$114,'Données projet'!$B$114,BY55+BX56-CG55)))</f>
        <v>417.49999999999989</v>
      </c>
      <c r="BZ56" s="14">
        <f>BY56*VLOOKUP('Données projet'!$B$12,Paramètres!$A$1:$I$89,3,0)*VLOOKUP('Données projet'!$B$12,Paramètres!$A$1:$I$89,5,0)</f>
        <v>195.38999999999996</v>
      </c>
      <c r="CA56" s="14">
        <f t="shared" si="39"/>
        <v>48.729658318340213</v>
      </c>
      <c r="CB56" s="22">
        <f t="shared" si="10"/>
        <v>425.17507157110907</v>
      </c>
      <c r="CC56" s="62">
        <f t="shared" si="11"/>
        <v>682.2504497776423</v>
      </c>
      <c r="CD56" s="62">
        <f ca="1">AVERAGE(OFFSET($CC$3,0,0,'Données projet'!$E$12+1,1))-AVERAGE(OFFSET($H$3,0,0,'Données projet'!$E$12+1,1))</f>
        <v>426.87921482911719</v>
      </c>
      <c r="CE56" s="62">
        <f t="shared" si="40"/>
        <v>313.49594674441835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19.2</v>
      </c>
      <c r="CT56" s="13">
        <f>IF('Données projet'!$A$140&gt;35,CT55+CS56-DB55,IF(A56&lt;'Données projet'!$A$140,$CQ$205^A56,IF(A56='Données projet'!$A$140,'Données projet'!$B$140,CT55+CS56-DB55)))</f>
        <v>424.6</v>
      </c>
      <c r="CU56" s="18">
        <f>CT56*VLOOKUP('Données projet'!$B$13,Paramètres!$A$1:$I$89,3,0)*VLOOKUP('Données projet'!$B$13,Paramètres!$A$1:$I$89,5,0)</f>
        <v>253.91080000000005</v>
      </c>
      <c r="CV56" s="14">
        <f t="shared" si="41"/>
        <v>61.422621781167194</v>
      </c>
      <c r="CW56" s="22">
        <f t="shared" si="13"/>
        <v>549.20570960219959</v>
      </c>
      <c r="CX56" s="62">
        <f t="shared" si="14"/>
        <v>806.28108780873276</v>
      </c>
      <c r="CY56" s="62">
        <f ca="1">AVERAGE(OFFSET($CX$3,0,0,'Données projet'!$E$13+1,1))-AVERAGE(OFFSET($H$3,0,0,'Données projet'!$E$13+1,1))</f>
        <v>367.11994336501527</v>
      </c>
      <c r="CZ56" s="62">
        <f t="shared" si="42"/>
        <v>390.81417197867484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21.972931607700353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1.5895739920439049E-3</v>
      </c>
      <c r="DI56" s="24">
        <f t="shared" si="15"/>
        <v>21.974521181692396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1.9895196601282805E-13</v>
      </c>
      <c r="O57" s="14">
        <f>N57*VLOOKUP('Données projet'!$B$9,Paramètres!$A$1:$I$89,3,0)*VLOOKUP('Données projet'!$B$9,Paramètres!$A$1:$I$89,5,0)</f>
        <v>1.8001173884840681E-13</v>
      </c>
      <c r="P57" s="14">
        <f t="shared" si="33"/>
        <v>2.5254331426407198E-12</v>
      </c>
      <c r="Q57" s="22">
        <f t="shared" si="53"/>
        <v>4.7119831685935622E-12</v>
      </c>
      <c r="R57" s="62">
        <f t="shared" si="0"/>
        <v>257.70437266734405</v>
      </c>
      <c r="S57" s="62">
        <f ca="1">AVERAGE(OFFSET($R$3,0,0,'Données projet'!$E$9+1,1))-AVERAGE(OFFSET($H$3,0,0,'Données projet'!$E$9+1,1))</f>
        <v>312.43110610485337</v>
      </c>
      <c r="T57" s="62">
        <f t="shared" si="34"/>
        <v>442.54749157177571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0.33579397047965209</v>
      </c>
      <c r="AA57" s="23">
        <f>EXP(-LN(2)/25)*AA56+(1-EXP(-LN(2)/25))/(LN(2)/25)*Calculateur!V57*Calculateur!X57*VLOOKUP('Données projet'!$B$9,Paramètres!$A$1:$I$89,3,0)*0.475*44/12</f>
        <v>0.4839821637502138</v>
      </c>
      <c r="AB57" s="23">
        <f>EXP(-LN(2)/2)*AB56+(1-EXP(-LN(2)/2))/(LN(2)/2)*V57*Y57*VLOOKUP('Données projet'!$B$9,Paramètres!$A$1:$I$89,3,0)*0.475*44/12</f>
        <v>9.3790629528986956E-4</v>
      </c>
      <c r="AC57" s="24">
        <f t="shared" si="3"/>
        <v>0.82071404052515584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10.199999999999999</v>
      </c>
      <c r="AI57" s="14">
        <f>IF('Données projet'!$A$62&gt;35,AI56+AH57-AQ56,IF(A57&lt;'Données projet'!$A$62,$AF$205^A57,IF(A57='Données projet'!$A$62,'Données projet'!$B$62,AI56+AH57-AQ56)))</f>
        <v>243.79999999999998</v>
      </c>
      <c r="AJ57" s="14">
        <f>AI57*VLOOKUP('Données projet'!$B$10,Paramètres!$A$1:$I$89,3,0)*VLOOKUP('Données projet'!$B$10,Paramètres!$A$1:$I$89,5,0)</f>
        <v>205.37711999999999</v>
      </c>
      <c r="AK57" s="14">
        <f t="shared" si="35"/>
        <v>50.924065093909938</v>
      </c>
      <c r="AL57" s="22">
        <f t="shared" si="4"/>
        <v>446.39123070522641</v>
      </c>
      <c r="AM57" s="62">
        <f t="shared" si="5"/>
        <v>704.09560337256573</v>
      </c>
      <c r="AN57" s="62">
        <f ca="1">AVERAGE(OFFSET($AM$3,0,0,'Données projet'!$E$10+1,1))-AVERAGE(OFFSET($H$3,0,0,'Données projet'!$E$10+1,1))</f>
        <v>445.02659128831181</v>
      </c>
      <c r="AO57" s="62">
        <f t="shared" si="36"/>
        <v>281.06176764290592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2.9018826448479378</v>
      </c>
      <c r="AV57" s="23">
        <f>EXP(-LN(2)/25)*AV56+(1-EXP(-LN(2)/25))/(LN(2)/25)*Calculateur!AQ57*Calculateur!AS57*VLOOKUP('Données projet'!$B$10,Paramètres!$A$1:$I$89,3,0)*0.475*44/12</f>
        <v>0.57410298044852992</v>
      </c>
      <c r="AW57" s="23">
        <f>EXP(-LN(2)/2)*AW56+(1-EXP(-LN(2)/2))/(LN(2)/2)*AQ57*AT57*VLOOKUP('Données projet'!$B$10,Paramètres!$A$1:$I$89,3,0)*0.475*44/12</f>
        <v>4.6008762994076309E-3</v>
      </c>
      <c r="AX57" s="23">
        <f t="shared" si="6"/>
        <v>3.4805865015958752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10.199999999999999</v>
      </c>
      <c r="BD57" s="13">
        <f>IF('Données projet'!$A$88&gt;35,BD56+BC57-BL56,IF(A57&lt;'Données projet'!$A$88,$BA$205^A57,IF(A57='Données projet'!$A$88,'Données projet'!$B$88,BD56+BC57-BL56)))</f>
        <v>243.79999999999998</v>
      </c>
      <c r="BE57" s="14">
        <f>BD57*VLOOKUP('Données projet'!$B$11,Paramètres!$A$1:$I$89,3,0)*VLOOKUP('Données projet'!$B$11,Paramètres!$A$1:$I$89,5,0)</f>
        <v>220.59023999999997</v>
      </c>
      <c r="BF57" s="14">
        <f t="shared" si="37"/>
        <v>54.24315145708789</v>
      </c>
      <c r="BG57" s="22">
        <f t="shared" si="7"/>
        <v>478.66815678776129</v>
      </c>
      <c r="BH57" s="62">
        <f t="shared" si="8"/>
        <v>736.37252945510068</v>
      </c>
      <c r="BI57" s="62">
        <f ca="1">AVERAGE(OFFSET($BH$3,0,0,'Données projet'!$E$11+1,1))-AVERAGE(OFFSET($H$3,0,0,'Données projet'!$E$11+1,1))</f>
        <v>472.46893084347687</v>
      </c>
      <c r="BJ57" s="62">
        <f t="shared" si="38"/>
        <v>297.32483725004136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3.1168369148366732</v>
      </c>
      <c r="BQ57" s="23">
        <f>EXP(-LN(2)/25)*BQ56+(1-EXP(-LN(2)/25))/(LN(2)/25)*Calculateur!BL57*Calculateur!BN57*VLOOKUP('Données projet'!$B$11,Paramètres!$A$1:$I$89,3,0)*0.475*44/12</f>
        <v>0.61662912714842089</v>
      </c>
      <c r="BR57" s="23">
        <f>EXP(-LN(2)/2)*BR56+(1-EXP(-LN(2)/2))/(LN(2)/2)*BL57*BO57*VLOOKUP('Données projet'!$B$11,Paramètres!$A$1:$I$89,3,0)*0.475*44/12</f>
        <v>4.9416819512156018E-3</v>
      </c>
      <c r="BS57" s="24">
        <f t="shared" si="9"/>
        <v>3.7384077239363096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13.5</v>
      </c>
      <c r="BY57" s="13">
        <f>IF('Données projet'!$A$114&gt;35,BY56+BX57-CG56,IF(A57&lt;'Données projet'!$A$114,$BV$205^A57,IF(A57='Données projet'!$A$114,'Données projet'!$B$114,BY56+BX57-CG56)))</f>
        <v>430.99999999999989</v>
      </c>
      <c r="BZ57" s="14">
        <f>BY57*VLOOKUP('Données projet'!$B$12,Paramètres!$A$1:$I$89,3,0)*VLOOKUP('Données projet'!$B$12,Paramètres!$A$1:$I$89,5,0)</f>
        <v>201.70799999999994</v>
      </c>
      <c r="CA57" s="14">
        <f t="shared" si="39"/>
        <v>50.119348451854243</v>
      </c>
      <c r="CB57" s="22">
        <f t="shared" si="10"/>
        <v>438.59929855364607</v>
      </c>
      <c r="CC57" s="62">
        <f t="shared" si="11"/>
        <v>696.30367122098539</v>
      </c>
      <c r="CD57" s="62">
        <f ca="1">AVERAGE(OFFSET($CC$3,0,0,'Données projet'!$E$12+1,1))-AVERAGE(OFFSET($H$3,0,0,'Données projet'!$E$12+1,1))</f>
        <v>426.87921482911719</v>
      </c>
      <c r="CE57" s="62">
        <f t="shared" si="40"/>
        <v>313.49594674441835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19.2</v>
      </c>
      <c r="CT57" s="13">
        <f>IF('Données projet'!$A$140&gt;35,CT56+CS57-DB56,IF(A57&lt;'Données projet'!$A$140,$CQ$205^A57,IF(A57='Données projet'!$A$140,'Données projet'!$B$140,CT56+CS57-DB56)))</f>
        <v>443.8</v>
      </c>
      <c r="CU57" s="18">
        <f>CT57*VLOOKUP('Données projet'!$B$13,Paramètres!$A$1:$I$89,3,0)*VLOOKUP('Données projet'!$B$13,Paramètres!$A$1:$I$89,5,0)</f>
        <v>265.39240000000007</v>
      </c>
      <c r="CV57" s="14">
        <f t="shared" si="41"/>
        <v>63.870442862391819</v>
      </c>
      <c r="CW57" s="22">
        <f t="shared" si="13"/>
        <v>573.46611798533252</v>
      </c>
      <c r="CX57" s="62">
        <f t="shared" si="14"/>
        <v>831.17049065267179</v>
      </c>
      <c r="CY57" s="62">
        <f ca="1">AVERAGE(OFFSET($CX$3,0,0,'Données projet'!$E$13+1,1))-AVERAGE(OFFSET($H$3,0,0,'Données projet'!$E$13+1,1))</f>
        <v>367.11994336501527</v>
      </c>
      <c r="CZ57" s="62">
        <f t="shared" si="42"/>
        <v>390.81417197867484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21.542055821038275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1.1239985489720163E-3</v>
      </c>
      <c r="DI57" s="24">
        <f t="shared" si="15"/>
        <v>21.543179819587248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1.9895196601282805E-13</v>
      </c>
      <c r="O58" s="14">
        <f>N58*VLOOKUP('Données projet'!$B$9,Paramètres!$A$1:$I$89,3,0)*VLOOKUP('Données projet'!$B$9,Paramètres!$A$1:$I$89,5,0)</f>
        <v>1.8001173884840681E-13</v>
      </c>
      <c r="P58" s="14">
        <f t="shared" si="33"/>
        <v>2.5254331426407198E-12</v>
      </c>
      <c r="Q58" s="22">
        <f t="shared" si="53"/>
        <v>4.7119831685935622E-12</v>
      </c>
      <c r="R58" s="62">
        <f t="shared" si="0"/>
        <v>258.32245548047609</v>
      </c>
      <c r="S58" s="62">
        <f ca="1">AVERAGE(OFFSET($R$3,0,0,'Données projet'!$E$9+1,1))-AVERAGE(OFFSET($H$3,0,0,'Données projet'!$E$9+1,1))</f>
        <v>312.43110610485337</v>
      </c>
      <c r="T58" s="62">
        <f t="shared" si="34"/>
        <v>442.54749157177571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0.32920925553264441</v>
      </c>
      <c r="AA58" s="23">
        <f>EXP(-LN(2)/25)*AA57+(1-EXP(-LN(2)/25))/(LN(2)/25)*Calculateur!V58*Calculateur!X58*VLOOKUP('Données projet'!$B$9,Paramètres!$A$1:$I$89,3,0)*0.475*44/12</f>
        <v>0.47074764603094837</v>
      </c>
      <c r="AB58" s="23">
        <f>EXP(-LN(2)/2)*AB57+(1-EXP(-LN(2)/2))/(LN(2)/2)*V58*Y58*VLOOKUP('Données projet'!$B$9,Paramètres!$A$1:$I$89,3,0)*0.475*44/12</f>
        <v>6.631999015170193E-4</v>
      </c>
      <c r="AC58" s="24">
        <f t="shared" si="3"/>
        <v>0.80062010146510976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254</v>
      </c>
      <c r="AG58" s="13">
        <f>VLOOKUP(A58,'Données projet'!$A$61:$I$81,9,0)</f>
        <v>10.199999999999999</v>
      </c>
      <c r="AH58" s="13">
        <f t="array" ref="AH58">INDEX(AG:AG,MIN(IF(ISNUMBER(AG58:AG254),ROW(AG58:AG254),"")))</f>
        <v>10.199999999999999</v>
      </c>
      <c r="AI58" s="14">
        <f>IF('Données projet'!$A$62&gt;35,AI57+AH58-AQ57,IF(A58&lt;'Données projet'!$A$62,$AF$205^A58,IF(A58='Données projet'!$A$62,'Données projet'!$B$62,AI57+AH58-AQ57)))</f>
        <v>253.99999999999997</v>
      </c>
      <c r="AJ58" s="14">
        <f>AI58*VLOOKUP('Données projet'!$B$10,Paramètres!$A$1:$I$89,3,0)*VLOOKUP('Données projet'!$B$10,Paramètres!$A$1:$I$89,5,0)</f>
        <v>213.96960000000001</v>
      </c>
      <c r="AK58" s="14">
        <f t="shared" si="35"/>
        <v>52.802095488627479</v>
      </c>
      <c r="AL58" s="22">
        <f t="shared" si="4"/>
        <v>464.62736964269283</v>
      </c>
      <c r="AM58" s="62">
        <f t="shared" si="5"/>
        <v>722.94982512316415</v>
      </c>
      <c r="AN58" s="62">
        <f ca="1">AVERAGE(OFFSET($AM$3,0,0,'Données projet'!$E$10+1,1))-AVERAGE(OFFSET($H$3,0,0,'Données projet'!$E$10+1,1))</f>
        <v>445.02659128831181</v>
      </c>
      <c r="AO58" s="62">
        <f t="shared" si="36"/>
        <v>281.06176764290592</v>
      </c>
      <c r="AP58" s="16">
        <f>IF(ISNA(VLOOKUP(A58,'Données projet'!$A$61:$I$81,3,0)),0,VLOOKUP(A58,'Données projet'!$A$61:$I$81,3,0))</f>
        <v>8</v>
      </c>
      <c r="AQ58" s="16">
        <f>IF(ISNA(VLOOKUP(A58,'Données projet'!$A$61:$I$81,4,0)),0,VLOOKUP(A58,'Données projet'!$A$61:$I$81,4,0))</f>
        <v>28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2.8449784961561129</v>
      </c>
      <c r="AV58" s="23">
        <f>EXP(-LN(2)/25)*AV57+(1-EXP(-LN(2)/25))/(LN(2)/25)*Calculateur!AQ58*Calculateur!AS58*VLOOKUP('Données projet'!$B$10,Paramètres!$A$1:$I$89,3,0)*0.475*44/12</f>
        <v>0.55840410425740128</v>
      </c>
      <c r="AW58" s="23">
        <f>EXP(-LN(2)/2)*AW57+(1-EXP(-LN(2)/2))/(LN(2)/2)*AQ58*AT58*VLOOKUP('Données projet'!$B$10,Paramètres!$A$1:$I$89,3,0)*0.475*44/12</f>
        <v>3.2533108307116042E-3</v>
      </c>
      <c r="AX58" s="23">
        <f t="shared" si="6"/>
        <v>3.4066359112442259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254</v>
      </c>
      <c r="BB58" s="13">
        <f>VLOOKUP(A58,'Données projet'!$A$87:$I$107,9,0)</f>
        <v>10.199999999999999</v>
      </c>
      <c r="BC58" s="13">
        <f t="array" ref="BC58">INDEX(BB:BB,MIN(IF(ISNUMBER(BB58:BB254),ROW(BB58:BB254),"")))</f>
        <v>10.199999999999999</v>
      </c>
      <c r="BD58" s="13">
        <f>IF('Données projet'!$A$88&gt;35,BD57+BC58-BL57,IF(A58&lt;'Données projet'!$A$88,$BA$205^A58,IF(A58='Données projet'!$A$88,'Données projet'!$B$88,BD57+BC58-BL57)))</f>
        <v>253.99999999999997</v>
      </c>
      <c r="BE58" s="14">
        <f>BD58*VLOOKUP('Données projet'!$B$11,Paramètres!$A$1:$I$89,3,0)*VLOOKUP('Données projet'!$B$11,Paramètres!$A$1:$I$89,5,0)</f>
        <v>229.81919999999997</v>
      </c>
      <c r="BF58" s="14">
        <f t="shared" si="37"/>
        <v>56.243586554989342</v>
      </c>
      <c r="BG58" s="22">
        <f t="shared" si="7"/>
        <v>498.22601991660639</v>
      </c>
      <c r="BH58" s="62">
        <f t="shared" si="8"/>
        <v>756.54847539707771</v>
      </c>
      <c r="BI58" s="62">
        <f ca="1">AVERAGE(OFFSET($BH$3,0,0,'Données projet'!$E$11+1,1))-AVERAGE(OFFSET($H$3,0,0,'Données projet'!$E$11+1,1))</f>
        <v>472.46893084347687</v>
      </c>
      <c r="BJ58" s="62">
        <f t="shared" si="38"/>
        <v>297.32483725004136</v>
      </c>
      <c r="BK58" s="16">
        <f>IF(ISNA(VLOOKUP(A58,'Données projet'!$A$87:$I$107,3,0)),0,VLOOKUP(A58,'Données projet'!$A$87:$I$107,3,0))</f>
        <v>8</v>
      </c>
      <c r="BL58" s="16">
        <f>IF(ISNA(VLOOKUP(A58,'Données projet'!$A$87:$I$107,4,0)),0,VLOOKUP(A58,'Données projet'!$A$87:$I$107,4,0))</f>
        <v>28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3.0557176440195279</v>
      </c>
      <c r="BQ58" s="23">
        <f>EXP(-LN(2)/25)*BQ57+(1-EXP(-LN(2)/25))/(LN(2)/25)*Calculateur!BL58*Calculateur!BN58*VLOOKUP('Données projet'!$B$11,Paramètres!$A$1:$I$89,3,0)*0.475*44/12</f>
        <v>0.5997673712394308</v>
      </c>
      <c r="BR58" s="23">
        <f>EXP(-LN(2)/2)*BR57+(1-EXP(-LN(2)/2))/(LN(2)/2)*BL58*BO58*VLOOKUP('Données projet'!$B$11,Paramètres!$A$1:$I$89,3,0)*0.475*44/12</f>
        <v>3.4942968181717218E-3</v>
      </c>
      <c r="BS58" s="24">
        <f t="shared" si="9"/>
        <v>3.6589793120771303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13.5</v>
      </c>
      <c r="BY58" s="13">
        <f>IF('Données projet'!$A$114&gt;35,BY57+BX58-CG57,IF(A58&lt;'Données projet'!$A$114,$BV$205^A58,IF(A58='Données projet'!$A$114,'Données projet'!$B$114,BY57+BX58-CG57)))</f>
        <v>444.49999999999989</v>
      </c>
      <c r="BZ58" s="14">
        <f>BY58*VLOOKUP('Données projet'!$B$12,Paramètres!$A$1:$I$89,3,0)*VLOOKUP('Données projet'!$B$12,Paramètres!$A$1:$I$89,5,0)</f>
        <v>208.02599999999995</v>
      </c>
      <c r="CA58" s="14">
        <f t="shared" si="39"/>
        <v>51.503980210368603</v>
      </c>
      <c r="CB58" s="22">
        <f t="shared" si="10"/>
        <v>452.01471553305851</v>
      </c>
      <c r="CC58" s="62">
        <f t="shared" si="11"/>
        <v>710.33717101352988</v>
      </c>
      <c r="CD58" s="62">
        <f ca="1">AVERAGE(OFFSET($CC$3,0,0,'Données projet'!$E$12+1,1))-AVERAGE(OFFSET($H$3,0,0,'Données projet'!$E$12+1,1))</f>
        <v>426.87921482911719</v>
      </c>
      <c r="CE58" s="62">
        <f t="shared" si="40"/>
        <v>313.49594674441835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463</v>
      </c>
      <c r="CR58" s="13">
        <f>VLOOKUP(A58,'Données projet'!$A$139:$I$159,9,0)</f>
        <v>19.2</v>
      </c>
      <c r="CS58" s="13">
        <f t="array" ref="CS58">INDEX(CR:CR,MIN(IF(ISNUMBER(CR58:CR254),ROW(CR58:CR254),"")))</f>
        <v>19.2</v>
      </c>
      <c r="CT58" s="13">
        <f>IF('Données projet'!$A$140&gt;35,CT57+CS58-DB57,IF(A58&lt;'Données projet'!$A$140,$CQ$205^A58,IF(A58='Données projet'!$A$140,'Données projet'!$B$140,CT57+CS58-DB57)))</f>
        <v>463</v>
      </c>
      <c r="CU58" s="18">
        <f>CT58*VLOOKUP('Données projet'!$B$13,Paramètres!$A$1:$I$89,3,0)*VLOOKUP('Données projet'!$B$13,Paramètres!$A$1:$I$89,5,0)</f>
        <v>276.87400000000002</v>
      </c>
      <c r="CV58" s="14">
        <f t="shared" si="41"/>
        <v>66.305964184031993</v>
      </c>
      <c r="CW58" s="22">
        <f t="shared" si="13"/>
        <v>597.7051042871891</v>
      </c>
      <c r="CX58" s="62">
        <f t="shared" si="14"/>
        <v>856.02755976766048</v>
      </c>
      <c r="CY58" s="62">
        <f ca="1">AVERAGE(OFFSET($CX$3,0,0,'Données projet'!$E$13+1,1))-AVERAGE(OFFSET($H$3,0,0,'Données projet'!$E$13+1,1))</f>
        <v>367.11994336501527</v>
      </c>
      <c r="CZ58" s="62">
        <f t="shared" si="42"/>
        <v>390.81417197867484</v>
      </c>
      <c r="DA58" s="16">
        <f>IF(ISNA(VLOOKUP(A58,'Données projet'!$A$139:$I$159,3,0)),0,VLOOKUP(A58,'Données projet'!$A$139:$I$159,3,0))</f>
        <v>9</v>
      </c>
      <c r="DB58" s="16">
        <f>IF(ISNA(VLOOKUP(A58,'Données projet'!$A$139:$I$159,4,0)),0,VLOOKUP(A58,'Données projet'!$A$139:$I$159,4,0))</f>
        <v>48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21.119629245744363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7.9478699602195243E-4</v>
      </c>
      <c r="DI58" s="24">
        <f t="shared" si="15"/>
        <v>21.120424032740384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1.9895196601282805E-13</v>
      </c>
      <c r="O59" s="14">
        <f>N59*VLOOKUP('Données projet'!$B$9,Paramètres!$A$1:$I$89,3,0)*VLOOKUP('Données projet'!$B$9,Paramètres!$A$1:$I$89,5,0)</f>
        <v>1.8001173884840681E-13</v>
      </c>
      <c r="P59" s="14">
        <f t="shared" si="33"/>
        <v>2.5254331426407198E-12</v>
      </c>
      <c r="Q59" s="22">
        <f t="shared" si="53"/>
        <v>4.7119831685935622E-12</v>
      </c>
      <c r="R59" s="62">
        <f t="shared" si="0"/>
        <v>258.92981593862646</v>
      </c>
      <c r="S59" s="62">
        <f ca="1">AVERAGE(OFFSET($R$3,0,0,'Données projet'!$E$9+1,1))-AVERAGE(OFFSET($H$3,0,0,'Données projet'!$E$9+1,1))</f>
        <v>312.43110610485337</v>
      </c>
      <c r="T59" s="62">
        <f t="shared" si="34"/>
        <v>442.54749157177571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0.32275366282946799</v>
      </c>
      <c r="AA59" s="23">
        <f>EXP(-LN(2)/25)*AA58+(1-EXP(-LN(2)/25))/(LN(2)/25)*Calculateur!V59*Calculateur!X59*VLOOKUP('Données projet'!$B$9,Paramètres!$A$1:$I$89,3,0)*0.475*44/12</f>
        <v>0.45787502689468929</v>
      </c>
      <c r="AB59" s="23">
        <f>EXP(-LN(2)/2)*AB58+(1-EXP(-LN(2)/2))/(LN(2)/2)*V59*Y59*VLOOKUP('Données projet'!$B$9,Paramètres!$A$1:$I$89,3,0)*0.475*44/12</f>
        <v>4.6895314764493489E-4</v>
      </c>
      <c r="AC59" s="24">
        <f t="shared" si="3"/>
        <v>0.78109764287180217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9.4</v>
      </c>
      <c r="AI59" s="14">
        <f>IF('Données projet'!$A$62&gt;35,AI58+AH59-AQ58,IF(A59&lt;'Données projet'!$A$62,$AF$205^A59,IF(A59='Données projet'!$A$62,'Données projet'!$B$62,AI58+AH59-AQ58)))</f>
        <v>235.39999999999998</v>
      </c>
      <c r="AJ59" s="14">
        <f>AI59*VLOOKUP('Données projet'!$B$10,Paramètres!$A$1:$I$89,3,0)*VLOOKUP('Données projet'!$B$10,Paramètres!$A$1:$I$89,5,0)</f>
        <v>198.30096</v>
      </c>
      <c r="AK59" s="14">
        <f t="shared" si="35"/>
        <v>49.3705849564736</v>
      </c>
      <c r="AL59" s="22">
        <f t="shared" si="4"/>
        <v>431.36127413252484</v>
      </c>
      <c r="AM59" s="62">
        <f t="shared" si="5"/>
        <v>690.29109007114653</v>
      </c>
      <c r="AN59" s="62">
        <f ca="1">AVERAGE(OFFSET($AM$3,0,0,'Données projet'!$E$10+1,1))-AVERAGE(OFFSET($H$3,0,0,'Données projet'!$E$10+1,1))</f>
        <v>445.02659128831181</v>
      </c>
      <c r="AO59" s="62">
        <f t="shared" si="36"/>
        <v>281.06176764290592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2.7891902031120308</v>
      </c>
      <c r="AV59" s="23">
        <f>EXP(-LN(2)/25)*AV58+(1-EXP(-LN(2)/25))/(LN(2)/25)*Calculateur!AQ59*Calculateur!AS59*VLOOKUP('Données projet'!$B$10,Paramètres!$A$1:$I$89,3,0)*0.475*44/12</f>
        <v>0.54313451466128704</v>
      </c>
      <c r="AW59" s="23">
        <f>EXP(-LN(2)/2)*AW58+(1-EXP(-LN(2)/2))/(LN(2)/2)*AQ59*AT59*VLOOKUP('Données projet'!$B$10,Paramètres!$A$1:$I$89,3,0)*0.475*44/12</f>
        <v>2.3004381497038155E-3</v>
      </c>
      <c r="AX59" s="23">
        <f t="shared" si="6"/>
        <v>3.3346251559230216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9.4</v>
      </c>
      <c r="BD59" s="13">
        <f>IF('Données projet'!$A$88&gt;35,BD58+BC59-BL58,IF(A59&lt;'Données projet'!$A$88,$BA$205^A59,IF(A59='Données projet'!$A$88,'Données projet'!$B$88,BD58+BC59-BL58)))</f>
        <v>235.39999999999998</v>
      </c>
      <c r="BE59" s="14">
        <f>BD59*VLOOKUP('Données projet'!$B$11,Paramètres!$A$1:$I$89,3,0)*VLOOKUP('Données projet'!$B$11,Paramètres!$A$1:$I$89,5,0)</f>
        <v>212.98991999999998</v>
      </c>
      <c r="BF59" s="14">
        <f t="shared" si="37"/>
        <v>52.588419883221171</v>
      </c>
      <c r="BG59" s="22">
        <f t="shared" si="7"/>
        <v>462.54894196327677</v>
      </c>
      <c r="BH59" s="62">
        <f t="shared" si="8"/>
        <v>721.47875790189846</v>
      </c>
      <c r="BI59" s="62">
        <f ca="1">AVERAGE(OFFSET($BH$3,0,0,'Données projet'!$E$11+1,1))-AVERAGE(OFFSET($H$3,0,0,'Données projet'!$E$11+1,1))</f>
        <v>472.46893084347687</v>
      </c>
      <c r="BJ59" s="62">
        <f t="shared" si="38"/>
        <v>297.32483725004136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2.9957968848240326</v>
      </c>
      <c r="BQ59" s="23">
        <f>EXP(-LN(2)/25)*BQ58+(1-EXP(-LN(2)/25))/(LN(2)/25)*Calculateur!BL59*Calculateur!BN59*VLOOKUP('Données projet'!$B$11,Paramètres!$A$1:$I$89,3,0)*0.475*44/12</f>
        <v>0.58336670093249332</v>
      </c>
      <c r="BR59" s="23">
        <f>EXP(-LN(2)/2)*BR58+(1-EXP(-LN(2)/2))/(LN(2)/2)*BL59*BO59*VLOOKUP('Données projet'!$B$11,Paramètres!$A$1:$I$89,3,0)*0.475*44/12</f>
        <v>2.4708409756078009E-3</v>
      </c>
      <c r="BS59" s="24">
        <f t="shared" si="9"/>
        <v>3.5816344267321338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13.5</v>
      </c>
      <c r="BY59" s="13">
        <f>IF('Données projet'!$A$114&gt;35,BY58+BX59-CG58,IF(A59&lt;'Données projet'!$A$114,$BV$205^A59,IF(A59='Données projet'!$A$114,'Données projet'!$B$114,BY58+BX59-CG58)))</f>
        <v>457.99999999999989</v>
      </c>
      <c r="BZ59" s="14">
        <f>BY59*VLOOKUP('Données projet'!$B$12,Paramètres!$A$1:$I$89,3,0)*VLOOKUP('Données projet'!$B$12,Paramètres!$A$1:$I$89,5,0)</f>
        <v>214.34399999999997</v>
      </c>
      <c r="CA59" s="14">
        <f t="shared" si="39"/>
        <v>52.883724855822585</v>
      </c>
      <c r="CB59" s="22">
        <f t="shared" si="10"/>
        <v>465.4216207905576</v>
      </c>
      <c r="CC59" s="62">
        <f t="shared" si="11"/>
        <v>724.35143672917934</v>
      </c>
      <c r="CD59" s="62">
        <f ca="1">AVERAGE(OFFSET($CC$3,0,0,'Données projet'!$E$12+1,1))-AVERAGE(OFFSET($H$3,0,0,'Données projet'!$E$12+1,1))</f>
        <v>426.87921482911719</v>
      </c>
      <c r="CE59" s="62">
        <f t="shared" si="40"/>
        <v>313.49594674441835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17</v>
      </c>
      <c r="CT59" s="13">
        <f>IF('Données projet'!$A$140&gt;35,CT58+CS59-DB58,IF(A59&lt;'Données projet'!$A$140,$CQ$205^A59,IF(A59='Données projet'!$A$140,'Données projet'!$B$140,CT58+CS59-DB58)))</f>
        <v>432</v>
      </c>
      <c r="CU59" s="18">
        <f>CT59*VLOOKUP('Données projet'!$B$13,Paramètres!$A$1:$I$89,3,0)*VLOOKUP('Données projet'!$B$13,Paramètres!$A$1:$I$89,5,0)</f>
        <v>258.33600000000001</v>
      </c>
      <c r="CV59" s="14">
        <f t="shared" si="41"/>
        <v>62.367547966451262</v>
      </c>
      <c r="CW59" s="22">
        <f t="shared" si="13"/>
        <v>558.55867937490257</v>
      </c>
      <c r="CX59" s="62">
        <f t="shared" si="14"/>
        <v>817.48849531352425</v>
      </c>
      <c r="CY59" s="62">
        <f ca="1">AVERAGE(OFFSET($CX$3,0,0,'Données projet'!$E$13+1,1))-AVERAGE(OFFSET($H$3,0,0,'Données projet'!$E$13+1,1))</f>
        <v>367.11994336501527</v>
      </c>
      <c r="CZ59" s="62">
        <f t="shared" si="42"/>
        <v>390.81417197867484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20.705486197937194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5.6199927448600813E-4</v>
      </c>
      <c r="DI59" s="24">
        <f t="shared" si="15"/>
        <v>20.706048197211679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1.9895196601282805E-13</v>
      </c>
      <c r="O60" s="14">
        <f>N60*VLOOKUP('Données projet'!$B$9,Paramètres!$A$1:$I$89,3,0)*VLOOKUP('Données projet'!$B$9,Paramètres!$A$1:$I$89,5,0)</f>
        <v>1.8001173884840681E-13</v>
      </c>
      <c r="P60" s="14">
        <f t="shared" si="33"/>
        <v>2.5254331426407198E-12</v>
      </c>
      <c r="Q60" s="22">
        <f t="shared" si="53"/>
        <v>4.7119831685935622E-12</v>
      </c>
      <c r="R60" s="62">
        <f t="shared" si="0"/>
        <v>259.52664005068243</v>
      </c>
      <c r="S60" s="62">
        <f ca="1">AVERAGE(OFFSET($R$3,0,0,'Données projet'!$E$9+1,1))-AVERAGE(OFFSET($H$3,0,0,'Données projet'!$E$9+1,1))</f>
        <v>312.43110610485337</v>
      </c>
      <c r="T60" s="62">
        <f t="shared" si="34"/>
        <v>442.54749157177571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0.3164246603616781</v>
      </c>
      <c r="AA60" s="23">
        <f>EXP(-LN(2)/25)*AA59+(1-EXP(-LN(2)/25))/(LN(2)/25)*Calculateur!V60*Calculateur!X60*VLOOKUP('Données projet'!$B$9,Paramètres!$A$1:$I$89,3,0)*0.475*44/12</f>
        <v>0.44535441020565281</v>
      </c>
      <c r="AB60" s="23">
        <f>EXP(-LN(2)/2)*AB59+(1-EXP(-LN(2)/2))/(LN(2)/2)*V60*Y60*VLOOKUP('Données projet'!$B$9,Paramètres!$A$1:$I$89,3,0)*0.475*44/12</f>
        <v>3.315999507585097E-4</v>
      </c>
      <c r="AC60" s="24">
        <f t="shared" si="3"/>
        <v>0.76211067051808934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9.4</v>
      </c>
      <c r="AI60" s="14">
        <f>IF('Données projet'!$A$62&gt;35,AI59+AH60-AQ59,IF(A60&lt;'Données projet'!$A$62,$AF$205^A60,IF(A60='Données projet'!$A$62,'Données projet'!$B$62,AI59+AH60-AQ59)))</f>
        <v>244.79999999999998</v>
      </c>
      <c r="AJ60" s="14">
        <f>AI60*VLOOKUP('Données projet'!$B$10,Paramètres!$A$1:$I$89,3,0)*VLOOKUP('Données projet'!$B$10,Paramètres!$A$1:$I$89,5,0)</f>
        <v>206.21952000000002</v>
      </c>
      <c r="AK60" s="14">
        <f t="shared" si="35"/>
        <v>51.108584284640322</v>
      </c>
      <c r="AL60" s="22">
        <f t="shared" si="4"/>
        <v>448.1797816290819</v>
      </c>
      <c r="AM60" s="62">
        <f t="shared" si="5"/>
        <v>707.70642167975961</v>
      </c>
      <c r="AN60" s="62">
        <f ca="1">AVERAGE(OFFSET($AM$3,0,0,'Données projet'!$E$10+1,1))-AVERAGE(OFFSET($H$3,0,0,'Données projet'!$E$10+1,1))</f>
        <v>445.02659128831181</v>
      </c>
      <c r="AO60" s="62">
        <f t="shared" si="36"/>
        <v>281.06176764290592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2.7344958844670444</v>
      </c>
      <c r="AV60" s="23">
        <f>EXP(-LN(2)/25)*AV59+(1-EXP(-LN(2)/25))/(LN(2)/25)*Calculateur!AQ60*Calculateur!AS60*VLOOKUP('Données projet'!$B$10,Paramètres!$A$1:$I$89,3,0)*0.475*44/12</f>
        <v>0.52828247279567142</v>
      </c>
      <c r="AW60" s="23">
        <f>EXP(-LN(2)/2)*AW59+(1-EXP(-LN(2)/2))/(LN(2)/2)*AQ60*AT60*VLOOKUP('Données projet'!$B$10,Paramètres!$A$1:$I$89,3,0)*0.475*44/12</f>
        <v>1.6266554153558021E-3</v>
      </c>
      <c r="AX60" s="23">
        <f t="shared" si="6"/>
        <v>3.2644050126780715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9.4</v>
      </c>
      <c r="BD60" s="13">
        <f>IF('Données projet'!$A$88&gt;35,BD59+BC60-BL59,IF(A60&lt;'Données projet'!$A$88,$BA$205^A60,IF(A60='Données projet'!$A$88,'Données projet'!$B$88,BD59+BC60-BL59)))</f>
        <v>244.79999999999998</v>
      </c>
      <c r="BE60" s="14">
        <f>BD60*VLOOKUP('Données projet'!$B$11,Paramètres!$A$1:$I$89,3,0)*VLOOKUP('Données projet'!$B$11,Paramètres!$A$1:$I$89,5,0)</f>
        <v>221.49503999999999</v>
      </c>
      <c r="BF60" s="14">
        <f t="shared" si="37"/>
        <v>54.439697086174412</v>
      </c>
      <c r="BG60" s="22">
        <f t="shared" si="7"/>
        <v>480.58633375842032</v>
      </c>
      <c r="BH60" s="62">
        <f t="shared" si="8"/>
        <v>740.11297380909809</v>
      </c>
      <c r="BI60" s="62">
        <f ca="1">AVERAGE(OFFSET($BH$3,0,0,'Données projet'!$E$11+1,1))-AVERAGE(OFFSET($H$3,0,0,'Données projet'!$E$11+1,1))</f>
        <v>472.46893084347687</v>
      </c>
      <c r="BJ60" s="62">
        <f t="shared" si="38"/>
        <v>297.32483725004136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2.9370511351683066</v>
      </c>
      <c r="BQ60" s="23">
        <f>EXP(-LN(2)/25)*BQ59+(1-EXP(-LN(2)/25))/(LN(2)/25)*Calculateur!BL60*Calculateur!BN60*VLOOKUP('Données projet'!$B$11,Paramètres!$A$1:$I$89,3,0)*0.475*44/12</f>
        <v>0.56741450781757274</v>
      </c>
      <c r="BR60" s="23">
        <f>EXP(-LN(2)/2)*BR59+(1-EXP(-LN(2)/2))/(LN(2)/2)*BL60*BO60*VLOOKUP('Données projet'!$B$11,Paramètres!$A$1:$I$89,3,0)*0.475*44/12</f>
        <v>1.7471484090858609E-3</v>
      </c>
      <c r="BS60" s="24">
        <f t="shared" si="9"/>
        <v>3.5062127913949652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13.5</v>
      </c>
      <c r="BY60" s="13">
        <f>IF('Données projet'!$A$114&gt;35,BY59+BX60-CG59,IF(A60&lt;'Données projet'!$A$114,$BV$205^A60,IF(A60='Données projet'!$A$114,'Données projet'!$B$114,BY59+BX60-CG59)))</f>
        <v>471.49999999999989</v>
      </c>
      <c r="BZ60" s="14">
        <f>BY60*VLOOKUP('Données projet'!$B$12,Paramètres!$A$1:$I$89,3,0)*VLOOKUP('Données projet'!$B$12,Paramètres!$A$1:$I$89,5,0)</f>
        <v>220.66199999999995</v>
      </c>
      <c r="CA60" s="14">
        <f t="shared" si="39"/>
        <v>54.258742979954953</v>
      </c>
      <c r="CB60" s="22">
        <f t="shared" si="10"/>
        <v>478.82029402342147</v>
      </c>
      <c r="CC60" s="62">
        <f t="shared" si="11"/>
        <v>738.34693407409918</v>
      </c>
      <c r="CD60" s="62">
        <f ca="1">AVERAGE(OFFSET($CC$3,0,0,'Données projet'!$E$12+1,1))-AVERAGE(OFFSET($H$3,0,0,'Données projet'!$E$12+1,1))</f>
        <v>426.87921482911719</v>
      </c>
      <c r="CE60" s="62">
        <f t="shared" si="40"/>
        <v>313.49594674441835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17</v>
      </c>
      <c r="CT60" s="13">
        <f>IF('Données projet'!$A$140&gt;35,CT59+CS60-DB59,IF(A60&lt;'Données projet'!$A$140,$CQ$205^A60,IF(A60='Données projet'!$A$140,'Données projet'!$B$140,CT59+CS60-DB59)))</f>
        <v>449</v>
      </c>
      <c r="CU60" s="18">
        <f>CT60*VLOOKUP('Données projet'!$B$13,Paramètres!$A$1:$I$89,3,0)*VLOOKUP('Données projet'!$B$13,Paramètres!$A$1:$I$89,5,0)</f>
        <v>268.50200000000001</v>
      </c>
      <c r="CV60" s="14">
        <f t="shared" si="41"/>
        <v>64.531253013339168</v>
      </c>
      <c r="CW60" s="22">
        <f t="shared" si="13"/>
        <v>580.03291566489895</v>
      </c>
      <c r="CX60" s="62">
        <f t="shared" si="14"/>
        <v>839.55955571557661</v>
      </c>
      <c r="CY60" s="62">
        <f ca="1">AVERAGE(OFFSET($CX$3,0,0,'Données projet'!$E$13+1,1))-AVERAGE(OFFSET($H$3,0,0,'Données projet'!$E$13+1,1))</f>
        <v>367.11994336501527</v>
      </c>
      <c r="CZ60" s="62">
        <f t="shared" si="42"/>
        <v>390.81417197867484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20.299464242695208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3.9739349801097622E-4</v>
      </c>
      <c r="DI60" s="24">
        <f t="shared" si="15"/>
        <v>20.299861636193221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1.9895196601282805E-13</v>
      </c>
      <c r="O61" s="14">
        <f>N61*VLOOKUP('Données projet'!$B$9,Paramètres!$A$1:$I$89,3,0)*VLOOKUP('Données projet'!$B$9,Paramètres!$A$1:$I$89,5,0)</f>
        <v>1.8001173884840681E-13</v>
      </c>
      <c r="P61" s="14">
        <f t="shared" si="33"/>
        <v>2.5254331426407198E-12</v>
      </c>
      <c r="Q61" s="22">
        <f t="shared" si="53"/>
        <v>4.7119831685935622E-12</v>
      </c>
      <c r="R61" s="62">
        <f t="shared" si="0"/>
        <v>260.11311059869314</v>
      </c>
      <c r="S61" s="62">
        <f ca="1">AVERAGE(OFFSET($R$3,0,0,'Données projet'!$E$9+1,1))-AVERAGE(OFFSET($H$3,0,0,'Données projet'!$E$9+1,1))</f>
        <v>312.43110610485337</v>
      </c>
      <c r="T61" s="62">
        <f t="shared" si="34"/>
        <v>442.54749157177571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0.31021976577197125</v>
      </c>
      <c r="AA61" s="23">
        <f>EXP(-LN(2)/25)*AA60+(1-EXP(-LN(2)/25))/(LN(2)/25)*Calculateur!V61*Calculateur!X61*VLOOKUP('Données projet'!$B$9,Paramètres!$A$1:$I$89,3,0)*0.475*44/12</f>
        <v>0.43317617043840867</v>
      </c>
      <c r="AB61" s="23">
        <f>EXP(-LN(2)/2)*AB60+(1-EXP(-LN(2)/2))/(LN(2)/2)*V61*Y61*VLOOKUP('Données projet'!$B$9,Paramètres!$A$1:$I$89,3,0)*0.475*44/12</f>
        <v>2.3447657382246747E-4</v>
      </c>
      <c r="AC61" s="24">
        <f t="shared" si="3"/>
        <v>0.74363041278420239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9.4</v>
      </c>
      <c r="AI61" s="14">
        <f>IF('Données projet'!$A$62&gt;35,AI60+AH61-AQ60,IF(A61&lt;'Données projet'!$A$62,$AF$205^A61,IF(A61='Données projet'!$A$62,'Données projet'!$B$62,AI60+AH61-AQ60)))</f>
        <v>254.2</v>
      </c>
      <c r="AJ61" s="14">
        <f>AI61*VLOOKUP('Données projet'!$B$10,Paramètres!$A$1:$I$89,3,0)*VLOOKUP('Données projet'!$B$10,Paramètres!$A$1:$I$89,5,0)</f>
        <v>214.13808</v>
      </c>
      <c r="AK61" s="14">
        <f t="shared" si="35"/>
        <v>52.838830759579693</v>
      </c>
      <c r="AL61" s="22">
        <f t="shared" si="4"/>
        <v>464.98478623960131</v>
      </c>
      <c r="AM61" s="62">
        <f t="shared" si="5"/>
        <v>725.09789683828967</v>
      </c>
      <c r="AN61" s="62">
        <f ca="1">AVERAGE(OFFSET($AM$3,0,0,'Données projet'!$E$10+1,1))-AVERAGE(OFFSET($H$3,0,0,'Données projet'!$E$10+1,1))</f>
        <v>445.02659128831181</v>
      </c>
      <c r="AO61" s="62">
        <f t="shared" si="36"/>
        <v>281.06176764290592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2.6808740880504458</v>
      </c>
      <c r="AV61" s="23">
        <f>EXP(-LN(2)/25)*AV60+(1-EXP(-LN(2)/25))/(LN(2)/25)*Calculateur!AQ61*Calculateur!AS61*VLOOKUP('Données projet'!$B$10,Paramètres!$A$1:$I$89,3,0)*0.475*44/12</f>
        <v>0.51383656079590589</v>
      </c>
      <c r="AW61" s="23">
        <f>EXP(-LN(2)/2)*AW60+(1-EXP(-LN(2)/2))/(LN(2)/2)*AQ61*AT61*VLOOKUP('Données projet'!$B$10,Paramètres!$A$1:$I$89,3,0)*0.475*44/12</f>
        <v>1.1502190748519077E-3</v>
      </c>
      <c r="AX61" s="23">
        <f t="shared" si="6"/>
        <v>3.1958608679212035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9.4</v>
      </c>
      <c r="BD61" s="13">
        <f>IF('Données projet'!$A$88&gt;35,BD60+BC61-BL60,IF(A61&lt;'Données projet'!$A$88,$BA$205^A61,IF(A61='Données projet'!$A$88,'Données projet'!$B$88,BD60+BC61-BL60)))</f>
        <v>254.2</v>
      </c>
      <c r="BE61" s="14">
        <f>BD61*VLOOKUP('Données projet'!$B$11,Paramètres!$A$1:$I$89,3,0)*VLOOKUP('Données projet'!$B$11,Paramètres!$A$1:$I$89,5,0)</f>
        <v>230.00015999999997</v>
      </c>
      <c r="BF61" s="14">
        <f t="shared" si="37"/>
        <v>56.282716126880423</v>
      </c>
      <c r="BG61" s="22">
        <f t="shared" si="7"/>
        <v>498.60934258765002</v>
      </c>
      <c r="BH61" s="62">
        <f t="shared" si="8"/>
        <v>758.7224531863385</v>
      </c>
      <c r="BI61" s="62">
        <f ca="1">AVERAGE(OFFSET($BH$3,0,0,'Données projet'!$E$11+1,1))-AVERAGE(OFFSET($H$3,0,0,'Données projet'!$E$11+1,1))</f>
        <v>472.46893084347687</v>
      </c>
      <c r="BJ61" s="62">
        <f t="shared" si="38"/>
        <v>297.32483725004136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2.8794573538319601</v>
      </c>
      <c r="BQ61" s="23">
        <f>EXP(-LN(2)/25)*BQ60+(1-EXP(-LN(2)/25))/(LN(2)/25)*Calculateur!BL61*Calculateur!BN61*VLOOKUP('Données projet'!$B$11,Paramètres!$A$1:$I$89,3,0)*0.475*44/12</f>
        <v>0.55189852826226915</v>
      </c>
      <c r="BR61" s="23">
        <f>EXP(-LN(2)/2)*BR60+(1-EXP(-LN(2)/2))/(LN(2)/2)*BL61*BO61*VLOOKUP('Données projet'!$B$11,Paramètres!$A$1:$I$89,3,0)*0.475*44/12</f>
        <v>1.2354204878039004E-3</v>
      </c>
      <c r="BS61" s="24">
        <f t="shared" si="9"/>
        <v>3.4325913025820332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13.5</v>
      </c>
      <c r="BY61" s="13">
        <f>IF('Données projet'!$A$114&gt;35,BY60+BX61-CG60,IF(A61&lt;'Données projet'!$A$114,$BV$205^A61,IF(A61='Données projet'!$A$114,'Données projet'!$B$114,BY60+BX61-CG60)))</f>
        <v>484.99999999999989</v>
      </c>
      <c r="BZ61" s="14">
        <f>BY61*VLOOKUP('Données projet'!$B$12,Paramètres!$A$1:$I$89,3,0)*VLOOKUP('Données projet'!$B$12,Paramètres!$A$1:$I$89,5,0)</f>
        <v>226.97999999999996</v>
      </c>
      <c r="CA61" s="14">
        <f t="shared" si="39"/>
        <v>55.629185455335929</v>
      </c>
      <c r="CB61" s="22">
        <f t="shared" si="10"/>
        <v>492.21099800137659</v>
      </c>
      <c r="CC61" s="62">
        <f t="shared" si="11"/>
        <v>752.32410860006507</v>
      </c>
      <c r="CD61" s="62">
        <f ca="1">AVERAGE(OFFSET($CC$3,0,0,'Données projet'!$E$12+1,1))-AVERAGE(OFFSET($H$3,0,0,'Données projet'!$E$12+1,1))</f>
        <v>426.87921482911719</v>
      </c>
      <c r="CE61" s="62">
        <f t="shared" si="40"/>
        <v>313.49594674441835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17</v>
      </c>
      <c r="CT61" s="13">
        <f>IF('Données projet'!$A$140&gt;35,CT60+CS61-DB60,IF(A61&lt;'Données projet'!$A$140,$CQ$205^A61,IF(A61='Données projet'!$A$140,'Données projet'!$B$140,CT60+CS61-DB60)))</f>
        <v>466</v>
      </c>
      <c r="CU61" s="18">
        <f>CT61*VLOOKUP('Données projet'!$B$13,Paramètres!$A$1:$I$89,3,0)*VLOOKUP('Données projet'!$B$13,Paramètres!$A$1:$I$89,5,0)</f>
        <v>278.66800000000001</v>
      </c>
      <c r="CV61" s="14">
        <f t="shared" si="41"/>
        <v>66.685440917424543</v>
      </c>
      <c r="CW61" s="22">
        <f t="shared" si="13"/>
        <v>601.49057626451452</v>
      </c>
      <c r="CX61" s="62">
        <f t="shared" si="14"/>
        <v>861.60368686320294</v>
      </c>
      <c r="CY61" s="62">
        <f ca="1">AVERAGE(OFFSET($CX$3,0,0,'Données projet'!$E$13+1,1))-AVERAGE(OFFSET($H$3,0,0,'Données projet'!$E$13+1,1))</f>
        <v>367.11994336501527</v>
      </c>
      <c r="CZ61" s="62">
        <f t="shared" si="42"/>
        <v>390.81417197867484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19.901404130346577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2.8099963724300406E-4</v>
      </c>
      <c r="DI61" s="24">
        <f t="shared" si="15"/>
        <v>19.901685129983822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1.9895196601282805E-13</v>
      </c>
      <c r="O62" s="14">
        <f>N62*VLOOKUP('Données projet'!$B$9,Paramètres!$A$1:$I$89,3,0)*VLOOKUP('Données projet'!$B$9,Paramètres!$A$1:$I$89,5,0)</f>
        <v>1.8001173884840681E-13</v>
      </c>
      <c r="P62" s="14">
        <f t="shared" si="33"/>
        <v>2.5254331426407198E-12</v>
      </c>
      <c r="Q62" s="22">
        <f t="shared" si="53"/>
        <v>4.7119831685935622E-12</v>
      </c>
      <c r="R62" s="62">
        <f t="shared" si="0"/>
        <v>260.6894071938475</v>
      </c>
      <c r="S62" s="62">
        <f ca="1">AVERAGE(OFFSET($R$3,0,0,'Données projet'!$E$9+1,1))-AVERAGE(OFFSET($H$3,0,0,'Données projet'!$E$9+1,1))</f>
        <v>312.43110610485337</v>
      </c>
      <c r="T62" s="62">
        <f t="shared" si="34"/>
        <v>442.54749157177571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0.30413654538055657</v>
      </c>
      <c r="AA62" s="23">
        <f>EXP(-LN(2)/25)*AA61+(1-EXP(-LN(2)/25))/(LN(2)/25)*Calculateur!V62*Calculateur!X62*VLOOKUP('Données projet'!$B$9,Paramètres!$A$1:$I$89,3,0)*0.475*44/12</f>
        <v>0.42133094527802561</v>
      </c>
      <c r="AB62" s="23">
        <f>EXP(-LN(2)/2)*AB61+(1-EXP(-LN(2)/2))/(LN(2)/2)*V62*Y62*VLOOKUP('Données projet'!$B$9,Paramètres!$A$1:$I$89,3,0)*0.475*44/12</f>
        <v>1.6579997537925488E-4</v>
      </c>
      <c r="AC62" s="24">
        <f t="shared" si="3"/>
        <v>0.72563329063396143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9.4</v>
      </c>
      <c r="AI62" s="14">
        <f>IF('Données projet'!$A$62&gt;35,AI61+AH62-AQ61,IF(A62&lt;'Données projet'!$A$62,$AF$205^A62,IF(A62='Données projet'!$A$62,'Données projet'!$B$62,AI61+AH62-AQ61)))</f>
        <v>263.59999999999997</v>
      </c>
      <c r="AJ62" s="14">
        <f>AI62*VLOOKUP('Données projet'!$B$10,Paramètres!$A$1:$I$89,3,0)*VLOOKUP('Données projet'!$B$10,Paramètres!$A$1:$I$89,5,0)</f>
        <v>222.05663999999999</v>
      </c>
      <c r="AK62" s="14">
        <f t="shared" si="35"/>
        <v>54.561643903321311</v>
      </c>
      <c r="AL62" s="22">
        <f t="shared" si="4"/>
        <v>481.77684446495124</v>
      </c>
      <c r="AM62" s="62">
        <f t="shared" si="5"/>
        <v>742.46625165879402</v>
      </c>
      <c r="AN62" s="62">
        <f ca="1">AVERAGE(OFFSET($AM$3,0,0,'Données projet'!$E$10+1,1))-AVERAGE(OFFSET($H$3,0,0,'Données projet'!$E$10+1,1))</f>
        <v>445.02659128831181</v>
      </c>
      <c r="AO62" s="62">
        <f t="shared" si="36"/>
        <v>281.06176764290592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2.6283037823555104</v>
      </c>
      <c r="AV62" s="23">
        <f>EXP(-LN(2)/25)*AV61+(1-EXP(-LN(2)/25))/(LN(2)/25)*Calculateur!AQ62*Calculateur!AS62*VLOOKUP('Données projet'!$B$10,Paramètres!$A$1:$I$89,3,0)*0.475*44/12</f>
        <v>0.49978567301945148</v>
      </c>
      <c r="AW62" s="23">
        <f>EXP(-LN(2)/2)*AW61+(1-EXP(-LN(2)/2))/(LN(2)/2)*AQ62*AT62*VLOOKUP('Données projet'!$B$10,Paramètres!$A$1:$I$89,3,0)*0.475*44/12</f>
        <v>8.1332770767790106E-4</v>
      </c>
      <c r="AX62" s="23">
        <f t="shared" si="6"/>
        <v>3.1289027830826397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9.4</v>
      </c>
      <c r="BD62" s="13">
        <f>IF('Données projet'!$A$88&gt;35,BD61+BC62-BL61,IF(A62&lt;'Données projet'!$A$88,$BA$205^A62,IF(A62='Données projet'!$A$88,'Données projet'!$B$88,BD61+BC62-BL61)))</f>
        <v>263.59999999999997</v>
      </c>
      <c r="BE62" s="14">
        <f>BD62*VLOOKUP('Données projet'!$B$11,Paramètres!$A$1:$I$89,3,0)*VLOOKUP('Données projet'!$B$11,Paramètres!$A$1:$I$89,5,0)</f>
        <v>238.50527999999997</v>
      </c>
      <c r="BF62" s="14">
        <f t="shared" si="37"/>
        <v>58.117817352909881</v>
      </c>
      <c r="BG62" s="22">
        <f t="shared" si="7"/>
        <v>516.61856122298457</v>
      </c>
      <c r="BH62" s="62">
        <f t="shared" si="8"/>
        <v>777.30796841682741</v>
      </c>
      <c r="BI62" s="62">
        <f ca="1">AVERAGE(OFFSET($BH$3,0,0,'Données projet'!$E$11+1,1))-AVERAGE(OFFSET($H$3,0,0,'Données projet'!$E$11+1,1))</f>
        <v>472.46893084347687</v>
      </c>
      <c r="BJ62" s="62">
        <f t="shared" si="38"/>
        <v>297.32483725004136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2.8229929514188816</v>
      </c>
      <c r="BQ62" s="23">
        <f>EXP(-LN(2)/25)*BQ61+(1-EXP(-LN(2)/25))/(LN(2)/25)*Calculateur!BL62*Calculateur!BN62*VLOOKUP('Données projet'!$B$11,Paramètres!$A$1:$I$89,3,0)*0.475*44/12</f>
        <v>0.5368068339838552</v>
      </c>
      <c r="BR62" s="23">
        <f>EXP(-LN(2)/2)*BR61+(1-EXP(-LN(2)/2))/(LN(2)/2)*BL62*BO62*VLOOKUP('Données projet'!$B$11,Paramètres!$A$1:$I$89,3,0)*0.475*44/12</f>
        <v>8.7357420454293045E-4</v>
      </c>
      <c r="BS62" s="24">
        <f t="shared" si="9"/>
        <v>3.3606733596072798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13.5</v>
      </c>
      <c r="BY62" s="13">
        <f>IF('Données projet'!$A$114&gt;35,BY61+BX62-CG61,IF(A62&lt;'Données projet'!$A$114,$BV$205^A62,IF(A62='Données projet'!$A$114,'Données projet'!$B$114,BY61+BX62-CG61)))</f>
        <v>498.49999999999989</v>
      </c>
      <c r="BZ62" s="14">
        <f>BY62*VLOOKUP('Données projet'!$B$12,Paramètres!$A$1:$I$89,3,0)*VLOOKUP('Données projet'!$B$12,Paramètres!$A$1:$I$89,5,0)</f>
        <v>233.29799999999994</v>
      </c>
      <c r="CA62" s="14">
        <f t="shared" si="39"/>
        <v>56.995194277534011</v>
      </c>
      <c r="CB62" s="22">
        <f t="shared" si="10"/>
        <v>505.59398003337168</v>
      </c>
      <c r="CC62" s="62">
        <f t="shared" si="11"/>
        <v>766.28338722721446</v>
      </c>
      <c r="CD62" s="62">
        <f ca="1">AVERAGE(OFFSET($CC$3,0,0,'Données projet'!$E$12+1,1))-AVERAGE(OFFSET($H$3,0,0,'Données projet'!$E$12+1,1))</f>
        <v>426.87921482911719</v>
      </c>
      <c r="CE62" s="62">
        <f t="shared" si="40"/>
        <v>313.49594674441835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17</v>
      </c>
      <c r="CT62" s="13">
        <f>IF('Données projet'!$A$140&gt;35,CT61+CS62-DB61,IF(A62&lt;'Données projet'!$A$140,$CQ$205^A62,IF(A62='Données projet'!$A$140,'Données projet'!$B$140,CT61+CS62-DB61)))</f>
        <v>483</v>
      </c>
      <c r="CU62" s="18">
        <f>CT62*VLOOKUP('Données projet'!$B$13,Paramètres!$A$1:$I$89,3,0)*VLOOKUP('Données projet'!$B$13,Paramètres!$A$1:$I$89,5,0)</f>
        <v>288.834</v>
      </c>
      <c r="CV62" s="14">
        <f t="shared" si="41"/>
        <v>68.830498636563377</v>
      </c>
      <c r="CW62" s="22">
        <f t="shared" si="13"/>
        <v>622.93233512534789</v>
      </c>
      <c r="CX62" s="62">
        <f t="shared" si="14"/>
        <v>883.62174231919062</v>
      </c>
      <c r="CY62" s="62">
        <f ca="1">AVERAGE(OFFSET($CX$3,0,0,'Données projet'!$E$13+1,1))-AVERAGE(OFFSET($H$3,0,0,'Données projet'!$E$13+1,1))</f>
        <v>367.11994336501527</v>
      </c>
      <c r="CZ62" s="62">
        <f t="shared" si="42"/>
        <v>390.81417197867484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19.511149734008409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1.9869674900548811E-4</v>
      </c>
      <c r="DI62" s="24">
        <f t="shared" si="15"/>
        <v>19.511348430757415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1.9895196601282805E-13</v>
      </c>
      <c r="O63" s="14">
        <f>N63*VLOOKUP('Données projet'!$B$9,Paramètres!$A$1:$I$89,3,0)*VLOOKUP('Données projet'!$B$9,Paramètres!$A$1:$I$89,5,0)</f>
        <v>1.8001173884840681E-13</v>
      </c>
      <c r="P63" s="14">
        <f t="shared" si="33"/>
        <v>2.5254331426407198E-12</v>
      </c>
      <c r="Q63" s="22">
        <f t="shared" si="53"/>
        <v>4.7119831685935622E-12</v>
      </c>
      <c r="R63" s="62">
        <f t="shared" si="0"/>
        <v>261.2557063314822</v>
      </c>
      <c r="S63" s="62">
        <f ca="1">AVERAGE(OFFSET($R$3,0,0,'Données projet'!$E$9+1,1))-AVERAGE(OFFSET($H$3,0,0,'Données projet'!$E$9+1,1))</f>
        <v>312.43110610485337</v>
      </c>
      <c r="T63" s="62">
        <f t="shared" si="34"/>
        <v>442.54749157177571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0.29817261323061944</v>
      </c>
      <c r="AA63" s="23">
        <f>EXP(-LN(2)/25)*AA62+(1-EXP(-LN(2)/25))/(LN(2)/25)*Calculateur!V63*Calculateur!X63*VLOOKUP('Données projet'!$B$9,Paramètres!$A$1:$I$89,3,0)*0.475*44/12</f>
        <v>0.40980962842256657</v>
      </c>
      <c r="AB63" s="23">
        <f>EXP(-LN(2)/2)*AB62+(1-EXP(-LN(2)/2))/(LN(2)/2)*V63*Y63*VLOOKUP('Données projet'!$B$9,Paramètres!$A$1:$I$89,3,0)*0.475*44/12</f>
        <v>1.1723828691123375E-4</v>
      </c>
      <c r="AC63" s="24">
        <f t="shared" si="3"/>
        <v>0.70809947994009725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273</v>
      </c>
      <c r="AG63" s="13">
        <f>VLOOKUP(A63,'Données projet'!$A$61:$I$81,9,0)</f>
        <v>9.4</v>
      </c>
      <c r="AH63" s="13">
        <f t="array" ref="AH63">INDEX(AG:AG,MIN(IF(ISNUMBER(AG63:AG259),ROW(AG63:AG259),"")))</f>
        <v>9.4</v>
      </c>
      <c r="AI63" s="14">
        <f>IF('Données projet'!$A$62&gt;35,AI62+AH63-AQ62,IF(A63&lt;'Données projet'!$A$62,$AF$205^A63,IF(A63='Données projet'!$A$62,'Données projet'!$B$62,AI62+AH63-AQ62)))</f>
        <v>272.99999999999994</v>
      </c>
      <c r="AJ63" s="14">
        <f>AI63*VLOOKUP('Données projet'!$B$10,Paramètres!$A$1:$I$89,3,0)*VLOOKUP('Données projet'!$B$10,Paramètres!$A$1:$I$89,5,0)</f>
        <v>229.9752</v>
      </c>
      <c r="AK63" s="14">
        <f t="shared" si="35"/>
        <v>56.277319157664316</v>
      </c>
      <c r="AL63" s="22">
        <f t="shared" si="4"/>
        <v>498.55647086626527</v>
      </c>
      <c r="AM63" s="62">
        <f t="shared" si="5"/>
        <v>759.81217719774281</v>
      </c>
      <c r="AN63" s="62">
        <f ca="1">AVERAGE(OFFSET($AM$3,0,0,'Données projet'!$E$10+1,1))-AVERAGE(OFFSET($H$3,0,0,'Données projet'!$E$10+1,1))</f>
        <v>445.02659128831181</v>
      </c>
      <c r="AO63" s="62">
        <f t="shared" si="36"/>
        <v>281.06176764290592</v>
      </c>
      <c r="AP63" s="16">
        <f>IF(ISNA(VLOOKUP(A63,'Données projet'!$A$61:$I$81,3,0)),0,VLOOKUP(A63,'Données projet'!$A$61:$I$81,3,0))</f>
        <v>9</v>
      </c>
      <c r="AQ63" s="16">
        <f>IF(ISNA(VLOOKUP(A63,'Données projet'!$A$61:$I$81,4,0)),0,VLOOKUP(A63,'Données projet'!$A$61:$I$81,4,0))</f>
        <v>28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2.5767643482905322</v>
      </c>
      <c r="AV63" s="23">
        <f>EXP(-LN(2)/25)*AV62+(1-EXP(-LN(2)/25))/(LN(2)/25)*Calculateur!AQ63*Calculateur!AS63*VLOOKUP('Données projet'!$B$10,Paramètres!$A$1:$I$89,3,0)*0.475*44/12</f>
        <v>0.48611900750814829</v>
      </c>
      <c r="AW63" s="23">
        <f>EXP(-LN(2)/2)*AW62+(1-EXP(-LN(2)/2))/(LN(2)/2)*AQ63*AT63*VLOOKUP('Données projet'!$B$10,Paramètres!$A$1:$I$89,3,0)*0.475*44/12</f>
        <v>5.7510953742595386E-4</v>
      </c>
      <c r="AX63" s="23">
        <f t="shared" si="6"/>
        <v>3.0634584653361063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273</v>
      </c>
      <c r="BB63" s="13">
        <f>VLOOKUP(A63,'Données projet'!$A$87:$I$107,9,0)</f>
        <v>9.4</v>
      </c>
      <c r="BC63" s="13">
        <f t="array" ref="BC63">INDEX(BB:BB,MIN(IF(ISNUMBER(BB63:BB259),ROW(BB63:BB259),"")))</f>
        <v>9.4</v>
      </c>
      <c r="BD63" s="13">
        <f>IF('Données projet'!$A$88&gt;35,BD62+BC63-BL62,IF(A63&lt;'Données projet'!$A$88,$BA$205^A63,IF(A63='Données projet'!$A$88,'Données projet'!$B$88,BD62+BC63-BL62)))</f>
        <v>272.99999999999994</v>
      </c>
      <c r="BE63" s="14">
        <f>BD63*VLOOKUP('Données projet'!$B$11,Paramètres!$A$1:$I$89,3,0)*VLOOKUP('Données projet'!$B$11,Paramètres!$A$1:$I$89,5,0)</f>
        <v>247.01039999999992</v>
      </c>
      <c r="BF63" s="14">
        <f t="shared" si="37"/>
        <v>59.945315462121812</v>
      </c>
      <c r="BG63" s="22">
        <f t="shared" si="7"/>
        <v>534.61453776319524</v>
      </c>
      <c r="BH63" s="62">
        <f t="shared" si="8"/>
        <v>795.87024409467267</v>
      </c>
      <c r="BI63" s="62">
        <f ca="1">AVERAGE(OFFSET($BH$3,0,0,'Données projet'!$E$11+1,1))-AVERAGE(OFFSET($H$3,0,0,'Données projet'!$E$11+1,1))</f>
        <v>472.46893084347687</v>
      </c>
      <c r="BJ63" s="62">
        <f t="shared" si="38"/>
        <v>297.32483725004136</v>
      </c>
      <c r="BK63" s="16">
        <f>IF(ISNA(VLOOKUP(A63,'Données projet'!$A$87:$I$107,3,0)),0,VLOOKUP(A63,'Données projet'!$A$87:$I$107,3,0))</f>
        <v>9</v>
      </c>
      <c r="BL63" s="16">
        <f>IF(ISNA(VLOOKUP(A63,'Données projet'!$A$87:$I$107,4,0)),0,VLOOKUP(A63,'Données projet'!$A$87:$I$107,4,0))</f>
        <v>28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2.7676357814972388</v>
      </c>
      <c r="BQ63" s="23">
        <f>EXP(-LN(2)/25)*BQ62+(1-EXP(-LN(2)/25))/(LN(2)/25)*Calculateur!BL63*Calculateur!BN63*VLOOKUP('Données projet'!$B$11,Paramètres!$A$1:$I$89,3,0)*0.475*44/12</f>
        <v>0.52212782287912218</v>
      </c>
      <c r="BR63" s="23">
        <f>EXP(-LN(2)/2)*BR62+(1-EXP(-LN(2)/2))/(LN(2)/2)*BL63*BO63*VLOOKUP('Données projet'!$B$11,Paramètres!$A$1:$I$89,3,0)*0.475*44/12</f>
        <v>6.1771024390195022E-4</v>
      </c>
      <c r="BS63" s="24">
        <f t="shared" si="9"/>
        <v>3.2903813146202632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512</v>
      </c>
      <c r="BW63" s="13">
        <f>VLOOKUP(A63,'Données projet'!$A$113:$I$133,9,0)</f>
        <v>13.5</v>
      </c>
      <c r="BX63" s="13">
        <f t="array" ref="BX63">INDEX(BW:BW,MIN(IF(ISNUMBER(BW63:BW259),ROW(BW63:BW259),"")))</f>
        <v>13.5</v>
      </c>
      <c r="BY63" s="13">
        <f>IF('Données projet'!$A$114&gt;35,BY62+BX63-CG62,IF(A63&lt;'Données projet'!$A$114,$BV$205^A63,IF(A63='Données projet'!$A$114,'Données projet'!$B$114,BY62+BX63-CG62)))</f>
        <v>511.99999999999989</v>
      </c>
      <c r="BZ63" s="14">
        <f>BY63*VLOOKUP('Données projet'!$B$12,Paramètres!$A$1:$I$89,3,0)*VLOOKUP('Données projet'!$B$12,Paramètres!$A$1:$I$89,5,0)</f>
        <v>239.61599999999996</v>
      </c>
      <c r="CA63" s="14">
        <f t="shared" si="39"/>
        <v>58.356903313490157</v>
      </c>
      <c r="CB63" s="22">
        <f t="shared" si="10"/>
        <v>518.96947327099531</v>
      </c>
      <c r="CC63" s="62">
        <f t="shared" si="11"/>
        <v>780.22517960247274</v>
      </c>
      <c r="CD63" s="62">
        <f ca="1">AVERAGE(OFFSET($CC$3,0,0,'Données projet'!$E$12+1,1))-AVERAGE(OFFSET($H$3,0,0,'Données projet'!$E$12+1,1))</f>
        <v>426.87921482911719</v>
      </c>
      <c r="CE63" s="62">
        <f t="shared" si="40"/>
        <v>313.49594674441835</v>
      </c>
      <c r="CF63" s="16">
        <f>IF(ISNA(VLOOKUP(A63,'Données projet'!$A$113:$I$133,3,0)),0,VLOOKUP(A63,'Données projet'!$A$113:$I$133,3,0))</f>
        <v>5</v>
      </c>
      <c r="CG63" s="16">
        <f>IF(ISNA(VLOOKUP(A63,'Données projet'!$A$113:$I$133,4,0)),0,VLOOKUP(A63,'Données projet'!$A$113:$I$133,4,0))</f>
        <v>102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500</v>
      </c>
      <c r="CR63" s="13">
        <f>VLOOKUP(A63,'Données projet'!$A$139:$I$159,9,0)</f>
        <v>17</v>
      </c>
      <c r="CS63" s="13">
        <f t="array" ref="CS63">INDEX(CR:CR,MIN(IF(ISNUMBER(CR63:CR259),ROW(CR63:CR259),"")))</f>
        <v>17</v>
      </c>
      <c r="CT63" s="13">
        <f>IF('Données projet'!$A$140&gt;35,CT62+CS63-DB62,IF(A63&lt;'Données projet'!$A$140,$CQ$205^A63,IF(A63='Données projet'!$A$140,'Données projet'!$B$140,CT62+CS63-DB62)))</f>
        <v>500</v>
      </c>
      <c r="CU63" s="18">
        <f>CT63*VLOOKUP('Données projet'!$B$13,Paramètres!$A$1:$I$89,3,0)*VLOOKUP('Données projet'!$B$13,Paramètres!$A$1:$I$89,5,0)</f>
        <v>299</v>
      </c>
      <c r="CV63" s="14">
        <f t="shared" si="41"/>
        <v>70.966784344875109</v>
      </c>
      <c r="CW63" s="22">
        <f t="shared" si="13"/>
        <v>644.35881606732414</v>
      </c>
      <c r="CX63" s="62">
        <f t="shared" si="14"/>
        <v>905.61452239880168</v>
      </c>
      <c r="CY63" s="62">
        <f ca="1">AVERAGE(OFFSET($CX$3,0,0,'Données projet'!$E$13+1,1))-AVERAGE(OFFSET($H$3,0,0,'Données projet'!$E$13+1,1))</f>
        <v>367.11994336501527</v>
      </c>
      <c r="CZ63" s="62">
        <f t="shared" si="42"/>
        <v>390.81417197867484</v>
      </c>
      <c r="DA63" s="16">
        <f>IF(ISNA(VLOOKUP(A63,'Données projet'!$A$139:$I$159,3,0)),0,VLOOKUP(A63,'Données projet'!$A$139:$I$159,3,0))</f>
        <v>10</v>
      </c>
      <c r="DB63" s="16">
        <f>IF(ISNA(VLOOKUP(A63,'Données projet'!$A$139:$I$159,4,0)),0,VLOOKUP(A63,'Données projet'!$A$139:$I$159,4,0))</f>
        <v>32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19.128547988350753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1.4049981862150203E-4</v>
      </c>
      <c r="DI63" s="24">
        <f t="shared" si="15"/>
        <v>19.128688488169374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1.9895196601282805E-13</v>
      </c>
      <c r="O64" s="14">
        <f>N64*VLOOKUP('Données projet'!$B$9,Paramètres!$A$1:$I$89,3,0)*VLOOKUP('Données projet'!$B$9,Paramètres!$A$1:$I$89,5,0)</f>
        <v>1.8001173884840681E-13</v>
      </c>
      <c r="P64" s="14">
        <f t="shared" si="33"/>
        <v>2.5254331426407198E-12</v>
      </c>
      <c r="Q64" s="22">
        <f t="shared" si="53"/>
        <v>4.7119831685935622E-12</v>
      </c>
      <c r="R64" s="62">
        <f t="shared" si="0"/>
        <v>261.81218144513406</v>
      </c>
      <c r="S64" s="62">
        <f ca="1">AVERAGE(OFFSET($R$3,0,0,'Données projet'!$E$9+1,1))-AVERAGE(OFFSET($H$3,0,0,'Données projet'!$E$9+1,1))</f>
        <v>312.43110610485337</v>
      </c>
      <c r="T64" s="62">
        <f t="shared" si="34"/>
        <v>442.54749157177571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0.29232563015250318</v>
      </c>
      <c r="AA64" s="23">
        <f>EXP(-LN(2)/25)*AA63+(1-EXP(-LN(2)/25))/(LN(2)/25)*Calculateur!V64*Calculateur!X64*VLOOKUP('Données projet'!$B$9,Paramètres!$A$1:$I$89,3,0)*0.475*44/12</f>
        <v>0.39860336258239976</v>
      </c>
      <c r="AB64" s="23">
        <f>EXP(-LN(2)/2)*AB63+(1-EXP(-LN(2)/2))/(LN(2)/2)*V64*Y64*VLOOKUP('Données projet'!$B$9,Paramètres!$A$1:$I$89,3,0)*0.475*44/12</f>
        <v>8.2899987689627453E-5</v>
      </c>
      <c r="AC64" s="24">
        <f t="shared" si="3"/>
        <v>0.69101189272259256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8.8000000000000007</v>
      </c>
      <c r="AI64" s="14">
        <f>IF('Données projet'!$A$62&gt;35,AI63+AH64-AQ63,IF(A64&lt;'Données projet'!$A$62,$AF$205^A64,IF(A64='Données projet'!$A$62,'Données projet'!$B$62,AI63+AH64-AQ63)))</f>
        <v>253.79999999999995</v>
      </c>
      <c r="AJ64" s="14">
        <f>AI64*VLOOKUP('Données projet'!$B$10,Paramètres!$A$1:$I$89,3,0)*VLOOKUP('Données projet'!$B$10,Paramètres!$A$1:$I$89,5,0)</f>
        <v>213.80112</v>
      </c>
      <c r="AK64" s="14">
        <f t="shared" si="35"/>
        <v>52.765356850602878</v>
      </c>
      <c r="AL64" s="22">
        <f t="shared" si="4"/>
        <v>464.2699471814667</v>
      </c>
      <c r="AM64" s="62">
        <f t="shared" si="5"/>
        <v>726.08212862659605</v>
      </c>
      <c r="AN64" s="62">
        <f ca="1">AVERAGE(OFFSET($AM$3,0,0,'Données projet'!$E$10+1,1))-AVERAGE(OFFSET($H$3,0,0,'Données projet'!$E$10+1,1))</f>
        <v>445.02659128831181</v>
      </c>
      <c r="AO64" s="62">
        <f t="shared" si="36"/>
        <v>281.06176764290592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2.5262355710916178</v>
      </c>
      <c r="AV64" s="23">
        <f>EXP(-LN(2)/25)*AV63+(1-EXP(-LN(2)/25))/(LN(2)/25)*Calculateur!AQ64*Calculateur!AS64*VLOOKUP('Données projet'!$B$10,Paramètres!$A$1:$I$89,3,0)*0.475*44/12</f>
        <v>0.47282605768395042</v>
      </c>
      <c r="AW64" s="23">
        <f>EXP(-LN(2)/2)*AW63+(1-EXP(-LN(2)/2))/(LN(2)/2)*AQ64*AT64*VLOOKUP('Données projet'!$B$10,Paramètres!$A$1:$I$89,3,0)*0.475*44/12</f>
        <v>4.0666385383895053E-4</v>
      </c>
      <c r="AX64" s="23">
        <f t="shared" si="6"/>
        <v>2.9994682926294072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8.8000000000000007</v>
      </c>
      <c r="BD64" s="13">
        <f>IF('Données projet'!$A$88&gt;35,BD63+BC64-BL63,IF(A64&lt;'Données projet'!$A$88,$BA$205^A64,IF(A64='Données projet'!$A$88,'Données projet'!$B$88,BD63+BC64-BL63)))</f>
        <v>253.79999999999995</v>
      </c>
      <c r="BE64" s="14">
        <f>BD64*VLOOKUP('Données projet'!$B$11,Paramètres!$A$1:$I$89,3,0)*VLOOKUP('Données projet'!$B$11,Paramètres!$A$1:$I$89,5,0)</f>
        <v>229.63823999999994</v>
      </c>
      <c r="BF64" s="14">
        <f t="shared" si="37"/>
        <v>56.204453396569633</v>
      </c>
      <c r="BG64" s="22">
        <f t="shared" si="7"/>
        <v>497.84269099902531</v>
      </c>
      <c r="BH64" s="62">
        <f t="shared" si="8"/>
        <v>759.65487244415465</v>
      </c>
      <c r="BI64" s="62">
        <f ca="1">AVERAGE(OFFSET($BH$3,0,0,'Données projet'!$E$11+1,1))-AVERAGE(OFFSET($H$3,0,0,'Données projet'!$E$11+1,1))</f>
        <v>472.46893084347687</v>
      </c>
      <c r="BJ64" s="62">
        <f t="shared" si="38"/>
        <v>297.32483725004136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2.7133641319132193</v>
      </c>
      <c r="BQ64" s="23">
        <f>EXP(-LN(2)/25)*BQ63+(1-EXP(-LN(2)/25))/(LN(2)/25)*Calculateur!BL64*Calculateur!BN64*VLOOKUP('Données projet'!$B$11,Paramètres!$A$1:$I$89,3,0)*0.475*44/12</f>
        <v>0.50785021010498377</v>
      </c>
      <c r="BR64" s="23">
        <f>EXP(-LN(2)/2)*BR63+(1-EXP(-LN(2)/2))/(LN(2)/2)*BL64*BO64*VLOOKUP('Données projet'!$B$11,Paramètres!$A$1:$I$89,3,0)*0.475*44/12</f>
        <v>4.3678710227146523E-4</v>
      </c>
      <c r="BS64" s="24">
        <f t="shared" si="9"/>
        <v>3.2216511291204744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15.5</v>
      </c>
      <c r="BY64" s="13">
        <f>IF('Données projet'!$A$114&gt;35,BY63+BX64-CG63,IF(A64&lt;'Données projet'!$A$114,$BV$205^A64,IF(A64='Données projet'!$A$114,'Données projet'!$B$114,BY63+BX64-CG63)))</f>
        <v>425.49999999999989</v>
      </c>
      <c r="BZ64" s="14">
        <f>BY64*VLOOKUP('Données projet'!$B$12,Paramètres!$A$1:$I$89,3,0)*VLOOKUP('Données projet'!$B$12,Paramètres!$A$1:$I$89,5,0)</f>
        <v>199.13399999999993</v>
      </c>
      <c r="CA64" s="14">
        <f t="shared" si="39"/>
        <v>49.553799097205186</v>
      </c>
      <c r="CB64" s="22">
        <f t="shared" si="10"/>
        <v>433.13125009429888</v>
      </c>
      <c r="CC64" s="62">
        <f t="shared" si="11"/>
        <v>694.94343153942827</v>
      </c>
      <c r="CD64" s="62">
        <f ca="1">AVERAGE(OFFSET($CC$3,0,0,'Données projet'!$E$12+1,1))-AVERAGE(OFFSET($H$3,0,0,'Données projet'!$E$12+1,1))</f>
        <v>426.87921482911719</v>
      </c>
      <c r="CE64" s="62">
        <f t="shared" si="40"/>
        <v>313.49594674441835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17.399999999999999</v>
      </c>
      <c r="CT64" s="13">
        <f>IF('Données projet'!$A$140&gt;35,CT63+CS64-DB63,IF(A64&lt;'Données projet'!$A$140,$CQ$205^A64,IF(A64='Données projet'!$A$140,'Données projet'!$B$140,CT63+CS64-DB63)))</f>
        <v>485.4</v>
      </c>
      <c r="CU64" s="18">
        <f>CT64*VLOOKUP('Données projet'!$B$13,Paramètres!$A$1:$I$89,3,0)*VLOOKUP('Données projet'!$B$13,Paramètres!$A$1:$I$89,5,0)</f>
        <v>290.26920000000001</v>
      </c>
      <c r="CV64" s="14">
        <f t="shared" si="41"/>
        <v>69.13261576818384</v>
      </c>
      <c r="CW64" s="22">
        <f t="shared" si="13"/>
        <v>625.95816246292009</v>
      </c>
      <c r="CX64" s="62">
        <f t="shared" si="14"/>
        <v>887.77034390804943</v>
      </c>
      <c r="CY64" s="62">
        <f ca="1">AVERAGE(OFFSET($CX$3,0,0,'Données projet'!$E$13+1,1))-AVERAGE(OFFSET($H$3,0,0,'Données projet'!$E$13+1,1))</f>
        <v>367.11994336501527</v>
      </c>
      <c r="CZ64" s="62">
        <f t="shared" si="42"/>
        <v>390.81417197867484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18.753448829561421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9.9348374502744054E-5</v>
      </c>
      <c r="DI64" s="24">
        <f t="shared" si="15"/>
        <v>18.753548177935922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1.9895196601282805E-13</v>
      </c>
      <c r="O65" s="14">
        <f>N65*VLOOKUP('Données projet'!$B$9,Paramètres!$A$1:$I$89,3,0)*VLOOKUP('Données projet'!$B$9,Paramètres!$A$1:$I$89,5,0)</f>
        <v>1.8001173884840681E-13</v>
      </c>
      <c r="P65" s="14">
        <f t="shared" si="33"/>
        <v>2.5254331426407198E-12</v>
      </c>
      <c r="Q65" s="22">
        <f t="shared" si="53"/>
        <v>4.7119831685935622E-12</v>
      </c>
      <c r="R65" s="62">
        <f t="shared" si="0"/>
        <v>262.35900295965604</v>
      </c>
      <c r="S65" s="62">
        <f ca="1">AVERAGE(OFFSET($R$3,0,0,'Données projet'!$E$9+1,1))-AVERAGE(OFFSET($H$3,0,0,'Données projet'!$E$9+1,1))</f>
        <v>312.43110610485337</v>
      </c>
      <c r="T65" s="62">
        <f t="shared" si="34"/>
        <v>442.54749157177571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0.28659330284624124</v>
      </c>
      <c r="AA65" s="23">
        <f>EXP(-LN(2)/25)*AA64+(1-EXP(-LN(2)/25))/(LN(2)/25)*Calculateur!V65*Calculateur!X65*VLOOKUP('Données projet'!$B$9,Paramètres!$A$1:$I$89,3,0)*0.475*44/12</f>
        <v>0.38770353267094421</v>
      </c>
      <c r="AB65" s="23">
        <f>EXP(-LN(2)/2)*AB64+(1-EXP(-LN(2)/2))/(LN(2)/2)*V65*Y65*VLOOKUP('Données projet'!$B$9,Paramètres!$A$1:$I$89,3,0)*0.475*44/12</f>
        <v>5.8619143455616888E-5</v>
      </c>
      <c r="AC65" s="24">
        <f t="shared" si="3"/>
        <v>0.67435545466064106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8.8000000000000007</v>
      </c>
      <c r="AI65" s="14">
        <f>IF('Données projet'!$A$62&gt;35,AI64+AH65-AQ64,IF(A65&lt;'Données projet'!$A$62,$AF$205^A65,IF(A65='Données projet'!$A$62,'Données projet'!$B$62,AI64+AH65-AQ64)))</f>
        <v>262.59999999999997</v>
      </c>
      <c r="AJ65" s="14">
        <f>AI65*VLOOKUP('Données projet'!$B$10,Paramètres!$A$1:$I$89,3,0)*VLOOKUP('Données projet'!$B$10,Paramètres!$A$1:$I$89,5,0)</f>
        <v>221.21424000000002</v>
      </c>
      <c r="AK65" s="14">
        <f t="shared" si="35"/>
        <v>54.378710185570377</v>
      </c>
      <c r="AL65" s="22">
        <f t="shared" si="4"/>
        <v>479.99105490653511</v>
      </c>
      <c r="AM65" s="62">
        <f t="shared" si="5"/>
        <v>742.35005786618649</v>
      </c>
      <c r="AN65" s="62">
        <f ca="1">AVERAGE(OFFSET($AM$3,0,0,'Données projet'!$E$10+1,1))-AVERAGE(OFFSET($H$3,0,0,'Données projet'!$E$10+1,1))</f>
        <v>445.02659128831181</v>
      </c>
      <c r="AO65" s="62">
        <f t="shared" si="36"/>
        <v>281.06176764290592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2.476697632394063</v>
      </c>
      <c r="AV65" s="23">
        <f>EXP(-LN(2)/25)*AV64+(1-EXP(-LN(2)/25))/(LN(2)/25)*Calculateur!AQ65*Calculateur!AS65*VLOOKUP('Données projet'!$B$10,Paramètres!$A$1:$I$89,3,0)*0.475*44/12</f>
        <v>0.45989660427174106</v>
      </c>
      <c r="AW65" s="23">
        <f>EXP(-LN(2)/2)*AW64+(1-EXP(-LN(2)/2))/(LN(2)/2)*AQ65*AT65*VLOOKUP('Données projet'!$B$10,Paramètres!$A$1:$I$89,3,0)*0.475*44/12</f>
        <v>2.8755476871297693E-4</v>
      </c>
      <c r="AX65" s="23">
        <f t="shared" si="6"/>
        <v>2.9368817914345171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8.8000000000000007</v>
      </c>
      <c r="BD65" s="13">
        <f>IF('Données projet'!$A$88&gt;35,BD64+BC65-BL64,IF(A65&lt;'Données projet'!$A$88,$BA$205^A65,IF(A65='Données projet'!$A$88,'Données projet'!$B$88,BD64+BC65-BL64)))</f>
        <v>262.59999999999997</v>
      </c>
      <c r="BE65" s="14">
        <f>BD65*VLOOKUP('Données projet'!$B$11,Paramètres!$A$1:$I$89,3,0)*VLOOKUP('Données projet'!$B$11,Paramètres!$A$1:$I$89,5,0)</f>
        <v>237.60047999999995</v>
      </c>
      <c r="BF65" s="14">
        <f t="shared" si="37"/>
        <v>57.922960533442058</v>
      </c>
      <c r="BG65" s="22">
        <f t="shared" si="7"/>
        <v>514.70332559574479</v>
      </c>
      <c r="BH65" s="62">
        <f t="shared" si="8"/>
        <v>777.06232855539611</v>
      </c>
      <c r="BI65" s="62">
        <f ca="1">AVERAGE(OFFSET($BH$3,0,0,'Données projet'!$E$11+1,1))-AVERAGE(OFFSET($H$3,0,0,'Données projet'!$E$11+1,1))</f>
        <v>472.46893084347687</v>
      </c>
      <c r="BJ65" s="62">
        <f t="shared" si="38"/>
        <v>297.32483725004136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2.6601567162751052</v>
      </c>
      <c r="BQ65" s="23">
        <f>EXP(-LN(2)/25)*BQ64+(1-EXP(-LN(2)/25))/(LN(2)/25)*Calculateur!BL65*Calculateur!BN65*VLOOKUP('Données projet'!$B$11,Paramètres!$A$1:$I$89,3,0)*0.475*44/12</f>
        <v>0.49396301940298115</v>
      </c>
      <c r="BR65" s="23">
        <f>EXP(-LN(2)/2)*BR64+(1-EXP(-LN(2)/2))/(LN(2)/2)*BL65*BO65*VLOOKUP('Données projet'!$B$11,Paramètres!$A$1:$I$89,3,0)*0.475*44/12</f>
        <v>3.0885512195097511E-4</v>
      </c>
      <c r="BS65" s="24">
        <f t="shared" si="9"/>
        <v>3.1544285908000371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15.5</v>
      </c>
      <c r="BY65" s="13">
        <f>IF('Données projet'!$A$114&gt;35,BY64+BX65-CG64,IF(A65&lt;'Données projet'!$A$114,$BV$205^A65,IF(A65='Données projet'!$A$114,'Données projet'!$B$114,BY64+BX65-CG64)))</f>
        <v>440.99999999999989</v>
      </c>
      <c r="BZ65" s="14">
        <f>BY65*VLOOKUP('Données projet'!$B$12,Paramètres!$A$1:$I$89,3,0)*VLOOKUP('Données projet'!$B$12,Paramètres!$A$1:$I$89,5,0)</f>
        <v>206.38799999999995</v>
      </c>
      <c r="CA65" s="14">
        <f t="shared" si="39"/>
        <v>51.145477584014834</v>
      </c>
      <c r="CB65" s="22">
        <f t="shared" si="10"/>
        <v>448.53747345882579</v>
      </c>
      <c r="CC65" s="62">
        <f t="shared" si="11"/>
        <v>710.89647641847705</v>
      </c>
      <c r="CD65" s="62">
        <f ca="1">AVERAGE(OFFSET($CC$3,0,0,'Données projet'!$E$12+1,1))-AVERAGE(OFFSET($H$3,0,0,'Données projet'!$E$12+1,1))</f>
        <v>426.87921482911719</v>
      </c>
      <c r="CE65" s="62">
        <f t="shared" si="40"/>
        <v>313.49594674441835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17.399999999999999</v>
      </c>
      <c r="CT65" s="13">
        <f>IF('Données projet'!$A$140&gt;35,CT64+CS65-DB64,IF(A65&lt;'Données projet'!$A$140,$CQ$205^A65,IF(A65='Données projet'!$A$140,'Données projet'!$B$140,CT64+CS65-DB64)))</f>
        <v>502.79999999999995</v>
      </c>
      <c r="CU65" s="18">
        <f>CT65*VLOOKUP('Données projet'!$B$13,Paramètres!$A$1:$I$89,3,0)*VLOOKUP('Données projet'!$B$13,Paramètres!$A$1:$I$89,5,0)</f>
        <v>300.67439999999999</v>
      </c>
      <c r="CV65" s="14">
        <f t="shared" si="41"/>
        <v>71.317825137860439</v>
      </c>
      <c r="CW65" s="22">
        <f t="shared" si="13"/>
        <v>647.88645878177363</v>
      </c>
      <c r="CX65" s="62">
        <f t="shared" si="14"/>
        <v>910.24546174142495</v>
      </c>
      <c r="CY65" s="62">
        <f ca="1">AVERAGE(OFFSET($CX$3,0,0,'Données projet'!$E$13+1,1))-AVERAGE(OFFSET($H$3,0,0,'Données projet'!$E$13+1,1))</f>
        <v>367.11994336501527</v>
      </c>
      <c r="CZ65" s="62">
        <f t="shared" si="42"/>
        <v>390.81417197867484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18.385705136488053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7.0249909310751016E-5</v>
      </c>
      <c r="DI65" s="24">
        <f t="shared" si="15"/>
        <v>18.385775386397363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1.9895196601282805E-13</v>
      </c>
      <c r="O66" s="14">
        <f>N66*VLOOKUP('Données projet'!$B$9,Paramètres!$A$1:$I$89,3,0)*VLOOKUP('Données projet'!$B$9,Paramètres!$A$1:$I$89,5,0)</f>
        <v>1.8001173884840681E-13</v>
      </c>
      <c r="P66" s="14">
        <f t="shared" si="33"/>
        <v>2.5254331426407198E-12</v>
      </c>
      <c r="Q66" s="22">
        <f t="shared" si="53"/>
        <v>4.7119831685935622E-12</v>
      </c>
      <c r="R66" s="62">
        <f t="shared" si="0"/>
        <v>262.89633834341083</v>
      </c>
      <c r="S66" s="62">
        <f ca="1">AVERAGE(OFFSET($R$3,0,0,'Données projet'!$E$9+1,1))-AVERAGE(OFFSET($H$3,0,0,'Données projet'!$E$9+1,1))</f>
        <v>312.43110610485337</v>
      </c>
      <c r="T66" s="62">
        <f t="shared" si="34"/>
        <v>442.54749157177571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0.28097338298208063</v>
      </c>
      <c r="AA66" s="23">
        <f>EXP(-LN(2)/25)*AA65+(1-EXP(-LN(2)/25))/(LN(2)/25)*Calculateur!V66*Calculateur!X66*VLOOKUP('Données projet'!$B$9,Paramètres!$A$1:$I$89,3,0)*0.475*44/12</f>
        <v>0.37710175918161454</v>
      </c>
      <c r="AB66" s="23">
        <f>EXP(-LN(2)/2)*AB65+(1-EXP(-LN(2)/2))/(LN(2)/2)*V66*Y66*VLOOKUP('Données projet'!$B$9,Paramètres!$A$1:$I$89,3,0)*0.475*44/12</f>
        <v>4.1449993844813733E-5</v>
      </c>
      <c r="AC66" s="24">
        <f t="shared" si="3"/>
        <v>0.65811659215754004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8.8000000000000007</v>
      </c>
      <c r="AI66" s="14">
        <f>IF('Données projet'!$A$62&gt;35,AI65+AH66-AQ65,IF(A66&lt;'Données projet'!$A$62,$AF$205^A66,IF(A66='Données projet'!$A$62,'Données projet'!$B$62,AI65+AH66-AQ65)))</f>
        <v>271.39999999999998</v>
      </c>
      <c r="AJ66" s="14">
        <f>AI66*VLOOKUP('Données projet'!$B$10,Paramètres!$A$1:$I$89,3,0)*VLOOKUP('Données projet'!$B$10,Paramètres!$A$1:$I$89,5,0)</f>
        <v>228.62735999999998</v>
      </c>
      <c r="AK66" s="14">
        <f t="shared" si="35"/>
        <v>55.985781352428695</v>
      </c>
      <c r="AL66" s="22">
        <f t="shared" si="4"/>
        <v>495.70122118881324</v>
      </c>
      <c r="AM66" s="62">
        <f t="shared" si="5"/>
        <v>758.59755953221929</v>
      </c>
      <c r="AN66" s="62">
        <f ca="1">AVERAGE(OFFSET($AM$3,0,0,'Données projet'!$E$10+1,1))-AVERAGE(OFFSET($H$3,0,0,'Données projet'!$E$10+1,1))</f>
        <v>445.02659128831181</v>
      </c>
      <c r="AO66" s="62">
        <f t="shared" si="36"/>
        <v>281.06176764290592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2.4281311024592083</v>
      </c>
      <c r="AV66" s="23">
        <f>EXP(-LN(2)/25)*AV65+(1-EXP(-LN(2)/25))/(LN(2)/25)*Calculateur!AQ66*Calculateur!AS66*VLOOKUP('Données projet'!$B$10,Paramètres!$A$1:$I$89,3,0)*0.475*44/12</f>
        <v>0.44732070744301899</v>
      </c>
      <c r="AW66" s="23">
        <f>EXP(-LN(2)/2)*AW65+(1-EXP(-LN(2)/2))/(LN(2)/2)*AQ66*AT66*VLOOKUP('Données projet'!$B$10,Paramètres!$A$1:$I$89,3,0)*0.475*44/12</f>
        <v>2.0333192691947527E-4</v>
      </c>
      <c r="AX66" s="23">
        <f t="shared" si="6"/>
        <v>2.8756551418291467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8.8000000000000007</v>
      </c>
      <c r="BD66" s="13">
        <f>IF('Données projet'!$A$88&gt;35,BD65+BC66-BL65,IF(A66&lt;'Données projet'!$A$88,$BA$205^A66,IF(A66='Données projet'!$A$88,'Données projet'!$B$88,BD65+BC66-BL65)))</f>
        <v>271.39999999999998</v>
      </c>
      <c r="BE66" s="14">
        <f>BD66*VLOOKUP('Données projet'!$B$11,Paramètres!$A$1:$I$89,3,0)*VLOOKUP('Données projet'!$B$11,Paramètres!$A$1:$I$89,5,0)</f>
        <v>245.56271999999998</v>
      </c>
      <c r="BF66" s="14">
        <f t="shared" si="37"/>
        <v>59.634776048276898</v>
      </c>
      <c r="BG66" s="22">
        <f t="shared" si="7"/>
        <v>531.55230561741564</v>
      </c>
      <c r="BH66" s="62">
        <f t="shared" si="8"/>
        <v>794.44864396082176</v>
      </c>
      <c r="BI66" s="62">
        <f ca="1">AVERAGE(OFFSET($BH$3,0,0,'Données projet'!$E$11+1,1))-AVERAGE(OFFSET($H$3,0,0,'Données projet'!$E$11+1,1))</f>
        <v>472.46893084347687</v>
      </c>
      <c r="BJ66" s="62">
        <f t="shared" si="38"/>
        <v>297.32483725004136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2.6079926656043351</v>
      </c>
      <c r="BQ66" s="23">
        <f>EXP(-LN(2)/25)*BQ65+(1-EXP(-LN(2)/25))/(LN(2)/25)*Calculateur!BL66*Calculateur!BN66*VLOOKUP('Données projet'!$B$11,Paramètres!$A$1:$I$89,3,0)*0.475*44/12</f>
        <v>0.4804555746610204</v>
      </c>
      <c r="BR66" s="23">
        <f>EXP(-LN(2)/2)*BR65+(1-EXP(-LN(2)/2))/(LN(2)/2)*BL66*BO66*VLOOKUP('Données projet'!$B$11,Paramètres!$A$1:$I$89,3,0)*0.475*44/12</f>
        <v>2.1839355113573261E-4</v>
      </c>
      <c r="BS66" s="24">
        <f t="shared" si="9"/>
        <v>3.0886666338164916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15.5</v>
      </c>
      <c r="BY66" s="13">
        <f>IF('Données projet'!$A$114&gt;35,BY65+BX66-CG65,IF(A66&lt;'Données projet'!$A$114,$BV$205^A66,IF(A66='Données projet'!$A$114,'Données projet'!$B$114,BY65+BX66-CG65)))</f>
        <v>456.49999999999989</v>
      </c>
      <c r="BZ66" s="14">
        <f>BY66*VLOOKUP('Données projet'!$B$12,Paramètres!$A$1:$I$89,3,0)*VLOOKUP('Données projet'!$B$12,Paramètres!$A$1:$I$89,5,0)</f>
        <v>213.64199999999994</v>
      </c>
      <c r="CA66" s="14">
        <f t="shared" si="39"/>
        <v>52.730656153675348</v>
      </c>
      <c r="CB66" s="22">
        <f t="shared" si="10"/>
        <v>463.93237613431779</v>
      </c>
      <c r="CC66" s="62">
        <f t="shared" si="11"/>
        <v>726.82871447772391</v>
      </c>
      <c r="CD66" s="62">
        <f ca="1">AVERAGE(OFFSET($CC$3,0,0,'Données projet'!$E$12+1,1))-AVERAGE(OFFSET($H$3,0,0,'Données projet'!$E$12+1,1))</f>
        <v>426.87921482911719</v>
      </c>
      <c r="CE66" s="62">
        <f t="shared" si="40"/>
        <v>313.49594674441835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17.399999999999999</v>
      </c>
      <c r="CT66" s="13">
        <f>IF('Données projet'!$A$140&gt;35,CT65+CS66-DB65,IF(A66&lt;'Données projet'!$A$140,$CQ$205^A66,IF(A66='Données projet'!$A$140,'Données projet'!$B$140,CT65+CS66-DB65)))</f>
        <v>520.19999999999993</v>
      </c>
      <c r="CU66" s="18">
        <f>CT66*VLOOKUP('Données projet'!$B$13,Paramètres!$A$1:$I$89,3,0)*VLOOKUP('Données projet'!$B$13,Paramètres!$A$1:$I$89,5,0)</f>
        <v>311.07959999999997</v>
      </c>
      <c r="CV66" s="14">
        <f t="shared" si="41"/>
        <v>73.49424798183118</v>
      </c>
      <c r="CW66" s="22">
        <f t="shared" si="13"/>
        <v>669.79945190168917</v>
      </c>
      <c r="CX66" s="62">
        <f t="shared" si="14"/>
        <v>932.69579024509528</v>
      </c>
      <c r="CY66" s="62">
        <f ca="1">AVERAGE(OFFSET($CX$3,0,0,'Données projet'!$E$13+1,1))-AVERAGE(OFFSET($H$3,0,0,'Données projet'!$E$13+1,1))</f>
        <v>367.11994336501527</v>
      </c>
      <c r="CZ66" s="62">
        <f t="shared" si="42"/>
        <v>390.81417197867484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18.025172672934346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4.9674187251372027E-5</v>
      </c>
      <c r="DI66" s="24">
        <f t="shared" si="15"/>
        <v>18.025222347121598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1.9895196601282805E-13</v>
      </c>
      <c r="O67" s="14">
        <f>N67*VLOOKUP('Données projet'!$B$9,Paramètres!$A$1:$I$89,3,0)*VLOOKUP('Données projet'!$B$9,Paramètres!$A$1:$I$89,5,0)</f>
        <v>1.8001173884840681E-13</v>
      </c>
      <c r="P67" s="14">
        <f t="shared" si="33"/>
        <v>2.5254331426407198E-12</v>
      </c>
      <c r="Q67" s="22">
        <f t="shared" ref="Q67:Q98" si="54">(O67+P67)*0.475*44/12</f>
        <v>4.7119831685935622E-12</v>
      </c>
      <c r="R67" s="62">
        <f t="shared" ref="R67:R130" si="55">Q67+(I67+J67)*44/12</f>
        <v>263.42435215955948</v>
      </c>
      <c r="S67" s="62">
        <f ca="1">AVERAGE(OFFSET($R$3,0,0,'Données projet'!$E$9+1,1))-AVERAGE(OFFSET($H$3,0,0,'Données projet'!$E$9+1,1))</f>
        <v>312.43110610485337</v>
      </c>
      <c r="T67" s="62">
        <f t="shared" si="34"/>
        <v>442.54749157177571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0.27546366631864361</v>
      </c>
      <c r="AA67" s="23">
        <f>EXP(-LN(2)/25)*AA66+(1-EXP(-LN(2)/25))/(LN(2)/25)*Calculateur!V67*Calculateur!X67*VLOOKUP('Données projet'!$B$9,Paramètres!$A$1:$I$89,3,0)*0.475*44/12</f>
        <v>0.36678989174587368</v>
      </c>
      <c r="AB67" s="23">
        <f>EXP(-LN(2)/2)*AB66+(1-EXP(-LN(2)/2))/(LN(2)/2)*V67*Y67*VLOOKUP('Données projet'!$B$9,Paramètres!$A$1:$I$89,3,0)*0.475*44/12</f>
        <v>2.9309571727808447E-5</v>
      </c>
      <c r="AC67" s="24">
        <f t="shared" si="3"/>
        <v>0.64228286763624498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8.8000000000000007</v>
      </c>
      <c r="AI67" s="14">
        <f>IF('Données projet'!$A$62&gt;35,AI66+AH67-AQ66,IF(A67&lt;'Données projet'!$A$62,$AF$205^A67,IF(A67='Données projet'!$A$62,'Données projet'!$B$62,AI66+AH67-AQ66)))</f>
        <v>280.2</v>
      </c>
      <c r="AJ67" s="14">
        <f>AI67*VLOOKUP('Données projet'!$B$10,Paramètres!$A$1:$I$89,3,0)*VLOOKUP('Données projet'!$B$10,Paramètres!$A$1:$I$89,5,0)</f>
        <v>236.04048</v>
      </c>
      <c r="AK67" s="14">
        <f t="shared" si="35"/>
        <v>57.586797409506879</v>
      </c>
      <c r="AL67" s="22">
        <f t="shared" si="4"/>
        <v>511.40084148822439</v>
      </c>
      <c r="AM67" s="62">
        <f t="shared" si="5"/>
        <v>774.82519364777909</v>
      </c>
      <c r="AN67" s="62">
        <f ca="1">AVERAGE(OFFSET($AM$3,0,0,'Données projet'!$E$10+1,1))-AVERAGE(OFFSET($H$3,0,0,'Données projet'!$E$10+1,1))</f>
        <v>445.02659128831181</v>
      </c>
      <c r="AO67" s="62">
        <f t="shared" si="36"/>
        <v>281.06176764290592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2.3805169325537179</v>
      </c>
      <c r="AV67" s="23">
        <f>EXP(-LN(2)/25)*AV66+(1-EXP(-LN(2)/25))/(LN(2)/25)*Calculateur!AQ67*Calculateur!AS67*VLOOKUP('Données projet'!$B$10,Paramètres!$A$1:$I$89,3,0)*0.475*44/12</f>
        <v>0.435088699174416</v>
      </c>
      <c r="AW67" s="23">
        <f>EXP(-LN(2)/2)*AW66+(1-EXP(-LN(2)/2))/(LN(2)/2)*AQ67*AT67*VLOOKUP('Données projet'!$B$10,Paramètres!$A$1:$I$89,3,0)*0.475*44/12</f>
        <v>1.4377738435648847E-4</v>
      </c>
      <c r="AX67" s="23">
        <f t="shared" si="6"/>
        <v>2.8157494091124904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8.8000000000000007</v>
      </c>
      <c r="BD67" s="13">
        <f>IF('Données projet'!$A$88&gt;35,BD66+BC67-BL66,IF(A67&lt;'Données projet'!$A$88,$BA$205^A67,IF(A67='Données projet'!$A$88,'Données projet'!$B$88,BD66+BC67-BL66)))</f>
        <v>280.2</v>
      </c>
      <c r="BE67" s="14">
        <f>BD67*VLOOKUP('Données projet'!$B$11,Paramètres!$A$1:$I$89,3,0)*VLOOKUP('Données projet'!$B$11,Paramètres!$A$1:$I$89,5,0)</f>
        <v>253.52495999999999</v>
      </c>
      <c r="BF67" s="14">
        <f t="shared" si="37"/>
        <v>61.340141798422209</v>
      </c>
      <c r="BG67" s="22">
        <f t="shared" si="7"/>
        <v>548.39005229891859</v>
      </c>
      <c r="BH67" s="62">
        <f t="shared" si="8"/>
        <v>811.81440445847329</v>
      </c>
      <c r="BI67" s="62">
        <f ca="1">AVERAGE(OFFSET($BH$3,0,0,'Données projet'!$E$11+1,1))-AVERAGE(OFFSET($H$3,0,0,'Données projet'!$E$11+1,1))</f>
        <v>472.46893084347687</v>
      </c>
      <c r="BJ67" s="62">
        <f t="shared" si="38"/>
        <v>297.32483725004136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2.5568515201502895</v>
      </c>
      <c r="BQ67" s="23">
        <f>EXP(-LN(2)/25)*BQ66+(1-EXP(-LN(2)/25))/(LN(2)/25)*Calculateur!BL67*Calculateur!BN67*VLOOKUP('Données projet'!$B$11,Paramètres!$A$1:$I$89,3,0)*0.475*44/12</f>
        <v>0.46731749170585424</v>
      </c>
      <c r="BR67" s="23">
        <f>EXP(-LN(2)/2)*BR66+(1-EXP(-LN(2)/2))/(LN(2)/2)*BL67*BO67*VLOOKUP('Données projet'!$B$11,Paramètres!$A$1:$I$89,3,0)*0.475*44/12</f>
        <v>1.5442756097548756E-4</v>
      </c>
      <c r="BS67" s="24">
        <f t="shared" si="9"/>
        <v>3.024323439417119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15.5</v>
      </c>
      <c r="BY67" s="13">
        <f>IF('Données projet'!$A$114&gt;35,BY66+BX67-CG66,IF(A67&lt;'Données projet'!$A$114,$BV$205^A67,IF(A67='Données projet'!$A$114,'Données projet'!$B$114,BY66+BX67-CG66)))</f>
        <v>471.99999999999989</v>
      </c>
      <c r="BZ67" s="14">
        <f>BY67*VLOOKUP('Données projet'!$B$12,Paramètres!$A$1:$I$89,3,0)*VLOOKUP('Données projet'!$B$12,Paramètres!$A$1:$I$89,5,0)</f>
        <v>220.89599999999996</v>
      </c>
      <c r="CA67" s="14">
        <f t="shared" si="39"/>
        <v>54.309580803412281</v>
      </c>
      <c r="CB67" s="22">
        <f t="shared" si="10"/>
        <v>479.31638656594299</v>
      </c>
      <c r="CC67" s="62">
        <f t="shared" si="11"/>
        <v>742.74073872549775</v>
      </c>
      <c r="CD67" s="62">
        <f ca="1">AVERAGE(OFFSET($CC$3,0,0,'Données projet'!$E$12+1,1))-AVERAGE(OFFSET($H$3,0,0,'Données projet'!$E$12+1,1))</f>
        <v>426.87921482911719</v>
      </c>
      <c r="CE67" s="62">
        <f t="shared" si="40"/>
        <v>313.49594674441835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17.399999999999999</v>
      </c>
      <c r="CT67" s="13">
        <f>IF('Données projet'!$A$140&gt;35,CT66+CS67-DB66,IF(A67&lt;'Données projet'!$A$140,$CQ$205^A67,IF(A67='Données projet'!$A$140,'Données projet'!$B$140,CT66+CS67-DB66)))</f>
        <v>537.59999999999991</v>
      </c>
      <c r="CU67" s="18">
        <f>CT67*VLOOKUP('Données projet'!$B$13,Paramètres!$A$1:$I$89,3,0)*VLOOKUP('Données projet'!$B$13,Paramètres!$A$1:$I$89,5,0)</f>
        <v>321.48479999999995</v>
      </c>
      <c r="CV67" s="14">
        <f t="shared" si="41"/>
        <v>75.662211893590367</v>
      </c>
      <c r="CW67" s="22">
        <f t="shared" si="13"/>
        <v>691.69771238133637</v>
      </c>
      <c r="CX67" s="62">
        <f t="shared" si="14"/>
        <v>955.12206454089119</v>
      </c>
      <c r="CY67" s="62">
        <f ca="1">AVERAGE(OFFSET($CX$3,0,0,'Données projet'!$E$13+1,1))-AVERAGE(OFFSET($H$3,0,0,'Données projet'!$E$13+1,1))</f>
        <v>367.11994336501527</v>
      </c>
      <c r="CZ67" s="62">
        <f t="shared" si="42"/>
        <v>390.81417197867484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17.671710031087841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3.5124954655375508E-5</v>
      </c>
      <c r="DI67" s="24">
        <f t="shared" si="15"/>
        <v>17.671745156042498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1.9895196601282805E-13</v>
      </c>
      <c r="O68" s="14">
        <f>N68*VLOOKUP('Données projet'!$B$9,Paramètres!$A$1:$I$89,3,0)*VLOOKUP('Données projet'!$B$9,Paramètres!$A$1:$I$89,5,0)</f>
        <v>1.8001173884840681E-13</v>
      </c>
      <c r="P68" s="14">
        <f t="shared" si="33"/>
        <v>2.5254331426407198E-12</v>
      </c>
      <c r="Q68" s="22">
        <f t="shared" si="54"/>
        <v>4.7119831685935622E-12</v>
      </c>
      <c r="R68" s="62">
        <f t="shared" si="55"/>
        <v>263.94320611645992</v>
      </c>
      <c r="S68" s="62">
        <f ca="1">AVERAGE(OFFSET($R$3,0,0,'Données projet'!$E$9+1,1))-AVERAGE(OFFSET($H$3,0,0,'Données projet'!$E$9+1,1))</f>
        <v>312.43110610485337</v>
      </c>
      <c r="T68" s="62">
        <f t="shared" si="34"/>
        <v>442.54749157177571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0.27006199183838125</v>
      </c>
      <c r="AA68" s="23">
        <f>EXP(-LN(2)/25)*AA67+(1-EXP(-LN(2)/25))/(LN(2)/25)*Calculateur!V68*Calculateur!X68*VLOOKUP('Données projet'!$B$9,Paramètres!$A$1:$I$89,3,0)*0.475*44/12</f>
        <v>0.35676000286744064</v>
      </c>
      <c r="AB68" s="23">
        <f>EXP(-LN(2)/2)*AB67+(1-EXP(-LN(2)/2))/(LN(2)/2)*V68*Y68*VLOOKUP('Données projet'!$B$9,Paramètres!$A$1:$I$89,3,0)*0.475*44/12</f>
        <v>2.072499692240687E-5</v>
      </c>
      <c r="AC68" s="24">
        <f t="shared" ref="AC68:AC131" si="57">SUM(Z68:AB68)</f>
        <v>0.6268427197027443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289</v>
      </c>
      <c r="AG68" s="13">
        <f>VLOOKUP(A68,'Données projet'!$A$61:$I$81,9,0)</f>
        <v>8.8000000000000007</v>
      </c>
      <c r="AH68" s="13">
        <f t="array" ref="AH68">INDEX(AG:AG,MIN(IF(ISNUMBER(AG68:AG264),ROW(AG68:AG264),"")))</f>
        <v>8.8000000000000007</v>
      </c>
      <c r="AI68" s="14">
        <f>IF('Données projet'!$A$62&gt;35,AI67+AH68-AQ67,IF(A68&lt;'Données projet'!$A$62,$AF$205^A68,IF(A68='Données projet'!$A$62,'Données projet'!$B$62,AI67+AH68-AQ67)))</f>
        <v>289</v>
      </c>
      <c r="AJ68" s="14">
        <f>AI68*VLOOKUP('Données projet'!$B$10,Paramètres!$A$1:$I$89,3,0)*VLOOKUP('Données projet'!$B$10,Paramètres!$A$1:$I$89,5,0)</f>
        <v>243.45360000000002</v>
      </c>
      <c r="AK68" s="14">
        <f t="shared" si="35"/>
        <v>59.181970343065316</v>
      </c>
      <c r="AL68" s="22">
        <f t="shared" ref="AL68:AL131" si="58">(AJ68+AK68)*0.475*44/12</f>
        <v>527.09028501417208</v>
      </c>
      <c r="AM68" s="62">
        <f t="shared" ref="AM68:AM131" si="59">AL68+(AD68+AE68)*44/12</f>
        <v>791.03349113062723</v>
      </c>
      <c r="AN68" s="62">
        <f ca="1">AVERAGE(OFFSET($AM$3,0,0,'Données projet'!$E$10+1,1))-AVERAGE(OFFSET($H$3,0,0,'Données projet'!$E$10+1,1))</f>
        <v>445.02659128831181</v>
      </c>
      <c r="AO68" s="62">
        <f t="shared" si="36"/>
        <v>281.06176764290592</v>
      </c>
      <c r="AP68" s="16">
        <f>IF(ISNA(VLOOKUP(A68,'Données projet'!$A$61:$I$81,3,0)),0,VLOOKUP(A68,'Données projet'!$A$61:$I$81,3,0))</f>
        <v>10</v>
      </c>
      <c r="AQ68" s="16">
        <f>IF(ISNA(VLOOKUP(A68,'Données projet'!$A$61:$I$81,4,0)),0,VLOOKUP(A68,'Données projet'!$A$61:$I$81,4,0))</f>
        <v>28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2.3338364474782982</v>
      </c>
      <c r="AV68" s="23">
        <f>EXP(-LN(2)/25)*AV67+(1-EXP(-LN(2)/25))/(LN(2)/25)*Calculateur!AQ68*Calculateur!AS68*VLOOKUP('Données projet'!$B$10,Paramètres!$A$1:$I$89,3,0)*0.475*44/12</f>
        <v>0.42319117581517129</v>
      </c>
      <c r="AW68" s="23">
        <f>EXP(-LN(2)/2)*AW67+(1-EXP(-LN(2)/2))/(LN(2)/2)*AQ68*AT68*VLOOKUP('Données projet'!$B$10,Paramètres!$A$1:$I$89,3,0)*0.475*44/12</f>
        <v>1.0166596345973763E-4</v>
      </c>
      <c r="AX68" s="23">
        <f t="shared" ref="AX68:AX131" si="60">SUM(AU68:AW68)</f>
        <v>2.7571292892569295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289</v>
      </c>
      <c r="BB68" s="13">
        <f>VLOOKUP(A68,'Données projet'!$A$87:$I$107,9,0)</f>
        <v>8.8000000000000007</v>
      </c>
      <c r="BC68" s="13">
        <f t="array" ref="BC68">INDEX(BB:BB,MIN(IF(ISNUMBER(BB68:BB264),ROW(BB68:BB264),"")))</f>
        <v>8.8000000000000007</v>
      </c>
      <c r="BD68" s="13">
        <f>IF('Données projet'!$A$88&gt;35,BD67+BC68-BL67,IF(A68&lt;'Données projet'!$A$88,$BA$205^A68,IF(A68='Données projet'!$A$88,'Données projet'!$B$88,BD67+BC68-BL67)))</f>
        <v>289</v>
      </c>
      <c r="BE68" s="14">
        <f>BD68*VLOOKUP('Données projet'!$B$11,Paramètres!$A$1:$I$89,3,0)*VLOOKUP('Données projet'!$B$11,Paramètres!$A$1:$I$89,5,0)</f>
        <v>261.48719999999997</v>
      </c>
      <c r="BF68" s="14">
        <f t="shared" si="37"/>
        <v>63.039283586802391</v>
      </c>
      <c r="BG68" s="22">
        <f t="shared" ref="BG68:BG131" si="61">(BE68+BF68)*0.475*44/12</f>
        <v>565.21695891368086</v>
      </c>
      <c r="BH68" s="62">
        <f t="shared" ref="BH68:BH131" si="62">BG68+(AY68+AZ68)*44/12</f>
        <v>829.16016503013611</v>
      </c>
      <c r="BI68" s="62">
        <f ca="1">AVERAGE(OFFSET($BH$3,0,0,'Données projet'!$E$11+1,1))-AVERAGE(OFFSET($H$3,0,0,'Données projet'!$E$11+1,1))</f>
        <v>472.46893084347687</v>
      </c>
      <c r="BJ68" s="62">
        <f t="shared" si="38"/>
        <v>297.32483725004136</v>
      </c>
      <c r="BK68" s="16">
        <f>IF(ISNA(VLOOKUP(A68,'Données projet'!$A$87:$I$107,3,0)),0,VLOOKUP(A68,'Données projet'!$A$87:$I$107,3,0))</f>
        <v>10</v>
      </c>
      <c r="BL68" s="16">
        <f>IF(ISNA(VLOOKUP(A68,'Données projet'!$A$87:$I$107,4,0)),0,VLOOKUP(A68,'Données projet'!$A$87:$I$107,4,0))</f>
        <v>28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2.5067132213655792</v>
      </c>
      <c r="BQ68" s="23">
        <f>EXP(-LN(2)/25)*BQ67+(1-EXP(-LN(2)/25))/(LN(2)/25)*Calculateur!BL68*Calculateur!BN68*VLOOKUP('Données projet'!$B$11,Paramètres!$A$1:$I$89,3,0)*0.475*44/12</f>
        <v>0.45453867031999884</v>
      </c>
      <c r="BR68" s="23">
        <f>EXP(-LN(2)/2)*BR67+(1-EXP(-LN(2)/2))/(LN(2)/2)*BL68*BO68*VLOOKUP('Données projet'!$B$11,Paramètres!$A$1:$I$89,3,0)*0.475*44/12</f>
        <v>1.0919677556786631E-4</v>
      </c>
      <c r="BS68" s="24">
        <f t="shared" ref="BS68:BS131" si="63">SUM(BP68:BR68)</f>
        <v>2.9613610884611461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15.5</v>
      </c>
      <c r="BY68" s="13">
        <f>IF('Données projet'!$A$114&gt;35,BY67+BX68-CG67,IF(A68&lt;'Données projet'!$A$114,$BV$205^A68,IF(A68='Données projet'!$A$114,'Données projet'!$B$114,BY67+BX68-CG67)))</f>
        <v>487.49999999999989</v>
      </c>
      <c r="BZ68" s="14">
        <f>BY68*VLOOKUP('Données projet'!$B$12,Paramètres!$A$1:$I$89,3,0)*VLOOKUP('Données projet'!$B$12,Paramètres!$A$1:$I$89,5,0)</f>
        <v>228.14999999999992</v>
      </c>
      <c r="CA68" s="14">
        <f t="shared" si="39"/>
        <v>55.882480456847652</v>
      </c>
      <c r="CB68" s="22">
        <f t="shared" ref="CB68:CB131" si="64">(BZ68+CA68)*0.475*44/12</f>
        <v>494.68990346234278</v>
      </c>
      <c r="CC68" s="62">
        <f t="shared" ref="CC68:CC131" si="65">CB68+(BT68+BU68)*44/12</f>
        <v>758.63310957879798</v>
      </c>
      <c r="CD68" s="62">
        <f ca="1">AVERAGE(OFFSET($CC$3,0,0,'Données projet'!$E$12+1,1))-AVERAGE(OFFSET($H$3,0,0,'Données projet'!$E$12+1,1))</f>
        <v>426.87921482911719</v>
      </c>
      <c r="CE68" s="62">
        <f t="shared" si="40"/>
        <v>313.49594674441835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555</v>
      </c>
      <c r="CR68" s="13">
        <f>VLOOKUP(A68,'Données projet'!$A$139:$I$159,9,0)</f>
        <v>17.399999999999999</v>
      </c>
      <c r="CS68" s="13">
        <f t="array" ref="CS68">INDEX(CR:CR,MIN(IF(ISNUMBER(CR68:CR264),ROW(CR68:CR264),"")))</f>
        <v>17.399999999999999</v>
      </c>
      <c r="CT68" s="13">
        <f>IF('Données projet'!$A$140&gt;35,CT67+CS68-DB67,IF(A68&lt;'Données projet'!$A$140,$CQ$205^A68,IF(A68='Données projet'!$A$140,'Données projet'!$B$140,CT67+CS68-DB67)))</f>
        <v>554.99999999999989</v>
      </c>
      <c r="CU68" s="18">
        <f>CT68*VLOOKUP('Données projet'!$B$13,Paramètres!$A$1:$I$89,3,0)*VLOOKUP('Données projet'!$B$13,Paramètres!$A$1:$I$89,5,0)</f>
        <v>331.88999999999993</v>
      </c>
      <c r="CV68" s="14">
        <f t="shared" si="41"/>
        <v>77.822022056956186</v>
      </c>
      <c r="CW68" s="22">
        <f t="shared" ref="CW68:CW131" si="67">(CU68+CV68)*0.475*44/12</f>
        <v>713.58177174919854</v>
      </c>
      <c r="CX68" s="62">
        <f t="shared" ref="CX68:CX131" si="68">CW68+(CO68+CP68)*44/12</f>
        <v>977.52497786565368</v>
      </c>
      <c r="CY68" s="62">
        <f ca="1">AVERAGE(OFFSET($CX$3,0,0,'Données projet'!$E$13+1,1))-AVERAGE(OFFSET($H$3,0,0,'Données projet'!$E$13+1,1))</f>
        <v>367.11994336501527</v>
      </c>
      <c r="CZ68" s="62">
        <f t="shared" si="42"/>
        <v>390.81417197867484</v>
      </c>
      <c r="DA68" s="16">
        <f>IF(ISNA(VLOOKUP(A68,'Données projet'!$A$139:$I$159,3,0)),0,VLOOKUP(A68,'Données projet'!$A$139:$I$159,3,0))</f>
        <v>11</v>
      </c>
      <c r="DB68" s="16">
        <f>IF(ISNA(VLOOKUP(A68,'Données projet'!$A$139:$I$159,4,0)),0,VLOOKUP(A68,'Données projet'!$A$139:$I$159,4,0))</f>
        <v>555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17.32517857605702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2.4837093625686013E-5</v>
      </c>
      <c r="DI68" s="24">
        <f t="shared" ref="DI68:DI131" si="69">SUM(DF68:DH68)</f>
        <v>17.325203413150646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1.9895196601282805E-13</v>
      </c>
      <c r="O69" s="14">
        <f>N69*VLOOKUP('Données projet'!$B$9,Paramètres!$A$1:$I$89,3,0)*VLOOKUP('Données projet'!$B$9,Paramètres!$A$1:$I$89,5,0)</f>
        <v>1.8001173884840681E-13</v>
      </c>
      <c r="P69" s="14">
        <f t="shared" ref="P69:P132" si="87">EXP(-1.0587+0.8836*LN(O69)+0.284)</f>
        <v>2.5254331426407198E-12</v>
      </c>
      <c r="Q69" s="22">
        <f t="shared" si="54"/>
        <v>4.7119831685935622E-12</v>
      </c>
      <c r="R69" s="62">
        <f t="shared" si="55"/>
        <v>264.4530591171918</v>
      </c>
      <c r="S69" s="62">
        <f ca="1">AVERAGE(OFFSET($R$3,0,0,'Données projet'!$E$9+1,1))-AVERAGE(OFFSET($H$3,0,0,'Données projet'!$E$9+1,1))</f>
        <v>312.43110610485337</v>
      </c>
      <c r="T69" s="62">
        <f t="shared" ref="T69:T132" si="88">$T$3</f>
        <v>442.54749157177571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0.26476624089998074</v>
      </c>
      <c r="AA69" s="23">
        <f>EXP(-LN(2)/25)*AA68+(1-EXP(-LN(2)/25))/(LN(2)/25)*Calculateur!V69*Calculateur!X69*VLOOKUP('Données projet'!$B$9,Paramètres!$A$1:$I$89,3,0)*0.475*44/12</f>
        <v>0.34700438182783733</v>
      </c>
      <c r="AB69" s="23">
        <f>EXP(-LN(2)/2)*AB68+(1-EXP(-LN(2)/2))/(LN(2)/2)*V69*Y69*VLOOKUP('Données projet'!$B$9,Paramètres!$A$1:$I$89,3,0)*0.475*44/12</f>
        <v>1.4654785863904227E-5</v>
      </c>
      <c r="AC69" s="24">
        <f t="shared" si="57"/>
        <v>0.61178527751368206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8.1999999999999993</v>
      </c>
      <c r="AI69" s="14">
        <f>IF('Données projet'!$A$62&gt;35,AI68+AH69-AQ68,IF(A69&lt;'Données projet'!$A$62,$AF$205^A69,IF(A69='Données projet'!$A$62,'Données projet'!$B$62,AI68+AH69-AQ68)))</f>
        <v>269.2</v>
      </c>
      <c r="AJ69" s="14">
        <f>AI69*VLOOKUP('Données projet'!$B$10,Paramètres!$A$1:$I$89,3,0)*VLOOKUP('Données projet'!$B$10,Paramètres!$A$1:$I$89,5,0)</f>
        <v>226.77408</v>
      </c>
      <c r="AK69" s="14">
        <f t="shared" ref="AK69:AK132" si="89">EXP(-1.0587+0.8836*LN(AJ69)+0.284)</f>
        <v>55.584589827360034</v>
      </c>
      <c r="AL69" s="22">
        <f t="shared" si="58"/>
        <v>491.77468328265195</v>
      </c>
      <c r="AM69" s="62">
        <f t="shared" si="59"/>
        <v>756.22774239983903</v>
      </c>
      <c r="AN69" s="62">
        <f ca="1">AVERAGE(OFFSET($AM$3,0,0,'Données projet'!$E$10+1,1))-AVERAGE(OFFSET($H$3,0,0,'Données projet'!$E$10+1,1))</f>
        <v>445.02659128831181</v>
      </c>
      <c r="AO69" s="62">
        <f t="shared" ref="AO69:AO132" si="90">$AO$3</f>
        <v>281.06176764290592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2.288071338242923</v>
      </c>
      <c r="AV69" s="23">
        <f>EXP(-LN(2)/25)*AV68+(1-EXP(-LN(2)/25))/(LN(2)/25)*Calculateur!AQ69*Calculateur!AS69*VLOOKUP('Données projet'!$B$10,Paramètres!$A$1:$I$89,3,0)*0.475*44/12</f>
        <v>0.4116189908578487</v>
      </c>
      <c r="AW69" s="23">
        <f>EXP(-LN(2)/2)*AW68+(1-EXP(-LN(2)/2))/(LN(2)/2)*AQ69*AT69*VLOOKUP('Données projet'!$B$10,Paramètres!$A$1:$I$89,3,0)*0.475*44/12</f>
        <v>7.1888692178244233E-5</v>
      </c>
      <c r="AX69" s="23">
        <f t="shared" si="60"/>
        <v>2.6997622177929501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8.1999999999999993</v>
      </c>
      <c r="BD69" s="13">
        <f>IF('Données projet'!$A$88&gt;35,BD68+BC69-BL68,IF(A69&lt;'Données projet'!$A$88,$BA$205^A69,IF(A69='Données projet'!$A$88,'Données projet'!$B$88,BD68+BC69-BL68)))</f>
        <v>269.2</v>
      </c>
      <c r="BE69" s="14">
        <f>BD69*VLOOKUP('Données projet'!$B$11,Paramètres!$A$1:$I$89,3,0)*VLOOKUP('Données projet'!$B$11,Paramètres!$A$1:$I$89,5,0)</f>
        <v>243.57216</v>
      </c>
      <c r="BF69" s="14">
        <f t="shared" ref="BF69:BF132" si="91">EXP(-1.0587+0.8836*LN(BE69)+0.284)</f>
        <v>59.207435995642292</v>
      </c>
      <c r="BG69" s="22">
        <f t="shared" si="61"/>
        <v>527.34112969241028</v>
      </c>
      <c r="BH69" s="62">
        <f t="shared" si="62"/>
        <v>791.79418880959736</v>
      </c>
      <c r="BI69" s="62">
        <f ca="1">AVERAGE(OFFSET($BH$3,0,0,'Données projet'!$E$11+1,1))-AVERAGE(OFFSET($H$3,0,0,'Données projet'!$E$11+1,1))</f>
        <v>472.46893084347687</v>
      </c>
      <c r="BJ69" s="62">
        <f t="shared" ref="BJ69:BJ132" si="92">$BJ$3</f>
        <v>297.32483725004136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2.4575581040386947</v>
      </c>
      <c r="BQ69" s="23">
        <f>EXP(-LN(2)/25)*BQ68+(1-EXP(-LN(2)/25))/(LN(2)/25)*Calculateur!BL69*Calculateur!BN69*VLOOKUP('Données projet'!$B$11,Paramètres!$A$1:$I$89,3,0)*0.475*44/12</f>
        <v>0.44210928647694864</v>
      </c>
      <c r="BR69" s="23">
        <f>EXP(-LN(2)/2)*BR68+(1-EXP(-LN(2)/2))/(LN(2)/2)*BL69*BO69*VLOOKUP('Données projet'!$B$11,Paramètres!$A$1:$I$89,3,0)*0.475*44/12</f>
        <v>7.7213780487743778E-5</v>
      </c>
      <c r="BS69" s="24">
        <f t="shared" si="63"/>
        <v>2.899744604296131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15.5</v>
      </c>
      <c r="BY69" s="13">
        <f>IF('Données projet'!$A$114&gt;35,BY68+BX69-CG68,IF(A69&lt;'Données projet'!$A$114,$BV$205^A69,IF(A69='Données projet'!$A$114,'Données projet'!$B$114,BY68+BX69-CG68)))</f>
        <v>502.99999999999989</v>
      </c>
      <c r="BZ69" s="14">
        <f>BY69*VLOOKUP('Données projet'!$B$12,Paramètres!$A$1:$I$89,3,0)*VLOOKUP('Données projet'!$B$12,Paramètres!$A$1:$I$89,5,0)</f>
        <v>235.40399999999994</v>
      </c>
      <c r="CA69" s="14">
        <f t="shared" ref="CA69:CA132" si="93">EXP(-1.0587+0.8836*LN(BZ69)+0.284)</f>
        <v>57.449568653781753</v>
      </c>
      <c r="CB69" s="22">
        <f t="shared" si="64"/>
        <v>510.05329873866975</v>
      </c>
      <c r="CC69" s="62">
        <f t="shared" si="65"/>
        <v>774.50635785585678</v>
      </c>
      <c r="CD69" s="62">
        <f ca="1">AVERAGE(OFFSET($CC$3,0,0,'Données projet'!$E$12+1,1))-AVERAGE(OFFSET($H$3,0,0,'Données projet'!$E$12+1,1))</f>
        <v>426.87921482911719</v>
      </c>
      <c r="CE69" s="62">
        <f t="shared" ref="CE69:CE132" si="94">$CE$3</f>
        <v>313.49594674441835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-1.1368683772161603E-13</v>
      </c>
      <c r="CU69" s="18">
        <f>CT69*VLOOKUP('Données projet'!$B$13,Paramètres!$A$1:$I$89,3,0)*VLOOKUP('Données projet'!$B$13,Paramètres!$A$1:$I$89,5,0)</f>
        <v>-6.7984728957526396E-14</v>
      </c>
      <c r="CV69" s="14" t="e">
        <f t="shared" ref="CV69:CV132" si="95">EXP(-1.0587+0.8836*LN(CU69)+0.284)</f>
        <v>#NUM!</v>
      </c>
      <c r="CW69" s="22" t="e">
        <f t="shared" si="67"/>
        <v>#NUM!</v>
      </c>
      <c r="CX69" s="62" t="e">
        <f t="shared" si="68"/>
        <v>#NUM!</v>
      </c>
      <c r="CY69" s="62">
        <f ca="1">AVERAGE(OFFSET($CX$3,0,0,'Données projet'!$E$13+1,1))-AVERAGE(OFFSET($H$3,0,0,'Données projet'!$E$13+1,1))</f>
        <v>367.11994336501527</v>
      </c>
      <c r="CZ69" s="62">
        <f t="shared" ref="CZ69:CZ132" si="96">$CZ$3</f>
        <v>390.81417197867484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16.985442391496036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1.7562477327687754E-5</v>
      </c>
      <c r="DI69" s="24">
        <f t="shared" si="69"/>
        <v>16.985459953973365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1.9895196601282805E-13</v>
      </c>
      <c r="O70" s="14">
        <f>N70*VLOOKUP('Données projet'!$B$9,Paramètres!$A$1:$I$89,3,0)*VLOOKUP('Données projet'!$B$9,Paramètres!$A$1:$I$89,5,0)</f>
        <v>1.8001173884840681E-13</v>
      </c>
      <c r="P70" s="14">
        <f t="shared" si="87"/>
        <v>2.5254331426407198E-12</v>
      </c>
      <c r="Q70" s="22">
        <f t="shared" si="54"/>
        <v>4.7119831685935622E-12</v>
      </c>
      <c r="R70" s="62">
        <f t="shared" si="55"/>
        <v>264.95406730822162</v>
      </c>
      <c r="S70" s="62">
        <f ca="1">AVERAGE(OFFSET($R$3,0,0,'Données projet'!$E$9+1,1))-AVERAGE(OFFSET($H$3,0,0,'Données projet'!$E$9+1,1))</f>
        <v>312.43110610485337</v>
      </c>
      <c r="T70" s="62">
        <f t="shared" si="88"/>
        <v>442.54749157177571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0.25957433640739314</v>
      </c>
      <c r="AA70" s="23">
        <f>EXP(-LN(2)/25)*AA69+(1-EXP(-LN(2)/25))/(LN(2)/25)*Calculateur!V70*Calculateur!X70*VLOOKUP('Données projet'!$B$9,Paramètres!$A$1:$I$89,3,0)*0.475*44/12</f>
        <v>0.33751552875858776</v>
      </c>
      <c r="AB70" s="23">
        <f>EXP(-LN(2)/2)*AB69+(1-EXP(-LN(2)/2))/(LN(2)/2)*V70*Y70*VLOOKUP('Données projet'!$B$9,Paramètres!$A$1:$I$89,3,0)*0.475*44/12</f>
        <v>1.0362498461203437E-5</v>
      </c>
      <c r="AC70" s="24">
        <f t="shared" si="57"/>
        <v>0.59710022766444204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8.1999999999999993</v>
      </c>
      <c r="AI70" s="14">
        <f>IF('Données projet'!$A$62&gt;35,AI69+AH70-AQ69,IF(A70&lt;'Données projet'!$A$62,$AF$205^A70,IF(A70='Données projet'!$A$62,'Données projet'!$B$62,AI69+AH70-AQ69)))</f>
        <v>277.39999999999998</v>
      </c>
      <c r="AJ70" s="14">
        <f>AI70*VLOOKUP('Données projet'!$B$10,Paramètres!$A$1:$I$89,3,0)*VLOOKUP('Données projet'!$B$10,Paramètres!$A$1:$I$89,5,0)</f>
        <v>233.68176</v>
      </c>
      <c r="AK70" s="14">
        <f t="shared" si="89"/>
        <v>57.078026837098335</v>
      </c>
      <c r="AL70" s="22">
        <f t="shared" si="58"/>
        <v>506.40662874127952</v>
      </c>
      <c r="AM70" s="62">
        <f t="shared" si="59"/>
        <v>771.36069604949648</v>
      </c>
      <c r="AN70" s="62">
        <f ca="1">AVERAGE(OFFSET($AM$3,0,0,'Données projet'!$E$10+1,1))-AVERAGE(OFFSET($H$3,0,0,'Données projet'!$E$10+1,1))</f>
        <v>445.02659128831181</v>
      </c>
      <c r="AO70" s="62">
        <f t="shared" si="90"/>
        <v>281.06176764290592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2.2432036548856931</v>
      </c>
      <c r="AV70" s="23">
        <f>EXP(-LN(2)/25)*AV69+(1-EXP(-LN(2)/25))/(LN(2)/25)*Calculateur!AQ70*Calculateur!AS70*VLOOKUP('Données projet'!$B$10,Paramètres!$A$1:$I$89,3,0)*0.475*44/12</f>
        <v>0.40036324790673888</v>
      </c>
      <c r="AW70" s="23">
        <f>EXP(-LN(2)/2)*AW69+(1-EXP(-LN(2)/2))/(LN(2)/2)*AQ70*AT70*VLOOKUP('Données projet'!$B$10,Paramètres!$A$1:$I$89,3,0)*0.475*44/12</f>
        <v>5.0832981729868816E-5</v>
      </c>
      <c r="AX70" s="23">
        <f t="shared" si="60"/>
        <v>2.6436177357741615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8.1999999999999993</v>
      </c>
      <c r="BD70" s="13">
        <f>IF('Données projet'!$A$88&gt;35,BD69+BC70-BL69,IF(A70&lt;'Données projet'!$A$88,$BA$205^A70,IF(A70='Données projet'!$A$88,'Données projet'!$B$88,BD69+BC70-BL69)))</f>
        <v>277.39999999999998</v>
      </c>
      <c r="BE70" s="14">
        <f>BD70*VLOOKUP('Données projet'!$B$11,Paramètres!$A$1:$I$89,3,0)*VLOOKUP('Données projet'!$B$11,Paramètres!$A$1:$I$89,5,0)</f>
        <v>250.99151999999995</v>
      </c>
      <c r="BF70" s="14">
        <f t="shared" si="91"/>
        <v>60.798211000769406</v>
      </c>
      <c r="BG70" s="22">
        <f t="shared" si="61"/>
        <v>543.03378149300659</v>
      </c>
      <c r="BH70" s="62">
        <f t="shared" si="62"/>
        <v>807.98784880122344</v>
      </c>
      <c r="BI70" s="62">
        <f ca="1">AVERAGE(OFFSET($BH$3,0,0,'Données projet'!$E$11+1,1))-AVERAGE(OFFSET($H$3,0,0,'Données projet'!$E$11+1,1))</f>
        <v>472.46893084347687</v>
      </c>
      <c r="BJ70" s="62">
        <f t="shared" si="92"/>
        <v>297.32483725004136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2.4093668885809292</v>
      </c>
      <c r="BQ70" s="23">
        <f>EXP(-LN(2)/25)*BQ69+(1-EXP(-LN(2)/25))/(LN(2)/25)*Calculateur!BL70*Calculateur!BN70*VLOOKUP('Données projet'!$B$11,Paramètres!$A$1:$I$89,3,0)*0.475*44/12</f>
        <v>0.43001978478871955</v>
      </c>
      <c r="BR70" s="23">
        <f>EXP(-LN(2)/2)*BR69+(1-EXP(-LN(2)/2))/(LN(2)/2)*BL70*BO70*VLOOKUP('Données projet'!$B$11,Paramètres!$A$1:$I$89,3,0)*0.475*44/12</f>
        <v>5.4598387783933153E-5</v>
      </c>
      <c r="BS70" s="24">
        <f t="shared" si="63"/>
        <v>2.8394412717574324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15.5</v>
      </c>
      <c r="BY70" s="13">
        <f>IF('Données projet'!$A$114&gt;35,BY69+BX70-CG69,IF(A70&lt;'Données projet'!$A$114,$BV$205^A70,IF(A70='Données projet'!$A$114,'Données projet'!$B$114,BY69+BX70-CG69)))</f>
        <v>518.49999999999989</v>
      </c>
      <c r="BZ70" s="14">
        <f>BY70*VLOOKUP('Données projet'!$B$12,Paramètres!$A$1:$I$89,3,0)*VLOOKUP('Données projet'!$B$12,Paramètres!$A$1:$I$89,5,0)</f>
        <v>242.65799999999993</v>
      </c>
      <c r="CA70" s="14">
        <f t="shared" si="93"/>
        <v>59.011045025839607</v>
      </c>
      <c r="CB70" s="22">
        <f t="shared" si="64"/>
        <v>525.40692008667054</v>
      </c>
      <c r="CC70" s="62">
        <f t="shared" si="65"/>
        <v>790.36098739488739</v>
      </c>
      <c r="CD70" s="62">
        <f ca="1">AVERAGE(OFFSET($CC$3,0,0,'Données projet'!$E$12+1,1))-AVERAGE(OFFSET($H$3,0,0,'Données projet'!$E$12+1,1))</f>
        <v>426.87921482911719</v>
      </c>
      <c r="CE70" s="62">
        <f t="shared" si="94"/>
        <v>313.49594674441835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-1.1368683772161603E-13</v>
      </c>
      <c r="CU70" s="18">
        <f>CT70*VLOOKUP('Données projet'!$B$13,Paramètres!$A$1:$I$89,3,0)*VLOOKUP('Données projet'!$B$13,Paramètres!$A$1:$I$89,5,0)</f>
        <v>-6.7984728957526396E-14</v>
      </c>
      <c r="CV70" s="14" t="e">
        <f t="shared" si="95"/>
        <v>#NUM!</v>
      </c>
      <c r="CW70" s="22" t="e">
        <f t="shared" si="67"/>
        <v>#NUM!</v>
      </c>
      <c r="CX70" s="62" t="e">
        <f t="shared" si="68"/>
        <v>#NUM!</v>
      </c>
      <c r="CY70" s="62">
        <f ca="1">AVERAGE(OFFSET($CX$3,0,0,'Données projet'!$E$13+1,1))-AVERAGE(OFFSET($H$3,0,0,'Données projet'!$E$13+1,1))</f>
        <v>367.11994336501527</v>
      </c>
      <c r="CZ70" s="62">
        <f t="shared" si="96"/>
        <v>390.81417197867484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16.652368226295682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1.2418546812843007E-5</v>
      </c>
      <c r="DI70" s="24">
        <f t="shared" si="69"/>
        <v>16.652380644842495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1.9895196601282805E-13</v>
      </c>
      <c r="O71" s="14">
        <f>N71*VLOOKUP('Données projet'!$B$9,Paramètres!$A$1:$I$89,3,0)*VLOOKUP('Données projet'!$B$9,Paramètres!$A$1:$I$89,5,0)</f>
        <v>1.8001173884840681E-13</v>
      </c>
      <c r="P71" s="14">
        <f t="shared" si="87"/>
        <v>2.5254331426407198E-12</v>
      </c>
      <c r="Q71" s="22">
        <f t="shared" si="54"/>
        <v>4.7119831685935622E-12</v>
      </c>
      <c r="R71" s="62">
        <f t="shared" si="55"/>
        <v>265.44638412722355</v>
      </c>
      <c r="S71" s="62">
        <f ca="1">AVERAGE(OFFSET($R$3,0,0,'Données projet'!$E$9+1,1))-AVERAGE(OFFSET($H$3,0,0,'Données projet'!$E$9+1,1))</f>
        <v>312.43110610485337</v>
      </c>
      <c r="T71" s="62">
        <f t="shared" si="88"/>
        <v>442.54749157177571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0.25448424199515612</v>
      </c>
      <c r="AA71" s="23">
        <f>EXP(-LN(2)/25)*AA70+(1-EXP(-LN(2)/25))/(LN(2)/25)*Calculateur!V71*Calculateur!X71*VLOOKUP('Données projet'!$B$9,Paramètres!$A$1:$I$89,3,0)*0.475*44/12</f>
        <v>0.32828614887551394</v>
      </c>
      <c r="AB71" s="23">
        <f>EXP(-LN(2)/2)*AB70+(1-EXP(-LN(2)/2))/(LN(2)/2)*V71*Y71*VLOOKUP('Données projet'!$B$9,Paramètres!$A$1:$I$89,3,0)*0.475*44/12</f>
        <v>7.3273929319521144E-6</v>
      </c>
      <c r="AC71" s="24">
        <f t="shared" si="57"/>
        <v>0.58277771826360203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8.1999999999999993</v>
      </c>
      <c r="AI71" s="14">
        <f>IF('Données projet'!$A$62&gt;35,AI70+AH71-AQ70,IF(A71&lt;'Données projet'!$A$62,$AF$205^A71,IF(A71='Données projet'!$A$62,'Données projet'!$B$62,AI70+AH71-AQ70)))</f>
        <v>285.59999999999997</v>
      </c>
      <c r="AJ71" s="14">
        <f>AI71*VLOOKUP('Données projet'!$B$10,Paramètres!$A$1:$I$89,3,0)*VLOOKUP('Données projet'!$B$10,Paramètres!$A$1:$I$89,5,0)</f>
        <v>240.58944</v>
      </c>
      <c r="AK71" s="14">
        <f t="shared" si="89"/>
        <v>58.56633325847811</v>
      </c>
      <c r="AL71" s="22">
        <f t="shared" si="58"/>
        <v>521.02963842518272</v>
      </c>
      <c r="AM71" s="62">
        <f t="shared" si="59"/>
        <v>786.47602255240156</v>
      </c>
      <c r="AN71" s="62">
        <f ca="1">AVERAGE(OFFSET($AM$3,0,0,'Données projet'!$E$10+1,1))-AVERAGE(OFFSET($H$3,0,0,'Données projet'!$E$10+1,1))</f>
        <v>445.02659128831181</v>
      </c>
      <c r="AO71" s="62">
        <f t="shared" si="90"/>
        <v>281.06176764290592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2.1992157994325137</v>
      </c>
      <c r="AV71" s="23">
        <f>EXP(-LN(2)/25)*AV70+(1-EXP(-LN(2)/25))/(LN(2)/25)*Calculateur!AQ71*Calculateur!AS71*VLOOKUP('Données projet'!$B$10,Paramètres!$A$1:$I$89,3,0)*0.475*44/12</f>
        <v>0.38941529383854095</v>
      </c>
      <c r="AW71" s="23">
        <f>EXP(-LN(2)/2)*AW70+(1-EXP(-LN(2)/2))/(LN(2)/2)*AQ71*AT71*VLOOKUP('Données projet'!$B$10,Paramètres!$A$1:$I$89,3,0)*0.475*44/12</f>
        <v>3.5944346089122116E-5</v>
      </c>
      <c r="AX71" s="23">
        <f t="shared" si="60"/>
        <v>2.5886670376171441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8.1999999999999993</v>
      </c>
      <c r="BD71" s="13">
        <f>IF('Données projet'!$A$88&gt;35,BD70+BC71-BL70,IF(A71&lt;'Données projet'!$A$88,$BA$205^A71,IF(A71='Données projet'!$A$88,'Données projet'!$B$88,BD70+BC71-BL70)))</f>
        <v>285.59999999999997</v>
      </c>
      <c r="BE71" s="14">
        <f>BD71*VLOOKUP('Données projet'!$B$11,Paramètres!$A$1:$I$89,3,0)*VLOOKUP('Données projet'!$B$11,Paramètres!$A$1:$I$89,5,0)</f>
        <v>258.41087999999996</v>
      </c>
      <c r="BF71" s="14">
        <f t="shared" si="91"/>
        <v>62.383521020316756</v>
      </c>
      <c r="BG71" s="22">
        <f t="shared" si="61"/>
        <v>558.71691511038489</v>
      </c>
      <c r="BH71" s="62">
        <f t="shared" si="62"/>
        <v>824.16329923760372</v>
      </c>
      <c r="BI71" s="62">
        <f ca="1">AVERAGE(OFFSET($BH$3,0,0,'Données projet'!$E$11+1,1))-AVERAGE(OFFSET($H$3,0,0,'Données projet'!$E$11+1,1))</f>
        <v>472.46893084347687</v>
      </c>
      <c r="BJ71" s="62">
        <f t="shared" si="92"/>
        <v>297.32483725004136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2.3621206734645512</v>
      </c>
      <c r="BQ71" s="23">
        <f>EXP(-LN(2)/25)*BQ70+(1-EXP(-LN(2)/25))/(LN(2)/25)*Calculateur!BL71*Calculateur!BN71*VLOOKUP('Données projet'!$B$11,Paramètres!$A$1:$I$89,3,0)*0.475*44/12</f>
        <v>0.41826087115991434</v>
      </c>
      <c r="BR71" s="23">
        <f>EXP(-LN(2)/2)*BR70+(1-EXP(-LN(2)/2))/(LN(2)/2)*BL71*BO71*VLOOKUP('Données projet'!$B$11,Paramètres!$A$1:$I$89,3,0)*0.475*44/12</f>
        <v>3.8606890243871889E-5</v>
      </c>
      <c r="BS71" s="24">
        <f t="shared" si="63"/>
        <v>2.7804201515147096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15.5</v>
      </c>
      <c r="BY71" s="13">
        <f>IF('Données projet'!$A$114&gt;35,BY70+BX71-CG70,IF(A71&lt;'Données projet'!$A$114,$BV$205^A71,IF(A71='Données projet'!$A$114,'Données projet'!$B$114,BY70+BX71-CG70)))</f>
        <v>533.99999999999989</v>
      </c>
      <c r="BZ71" s="14">
        <f>BY71*VLOOKUP('Données projet'!$B$12,Paramètres!$A$1:$I$89,3,0)*VLOOKUP('Données projet'!$B$12,Paramètres!$A$1:$I$89,5,0)</f>
        <v>249.91199999999995</v>
      </c>
      <c r="CA71" s="14">
        <f t="shared" si="93"/>
        <v>60.56709659070836</v>
      </c>
      <c r="CB71" s="22">
        <f t="shared" si="64"/>
        <v>540.7510932288169</v>
      </c>
      <c r="CC71" s="62">
        <f t="shared" si="65"/>
        <v>806.19747735603573</v>
      </c>
      <c r="CD71" s="62">
        <f ca="1">AVERAGE(OFFSET($CC$3,0,0,'Données projet'!$E$12+1,1))-AVERAGE(OFFSET($H$3,0,0,'Données projet'!$E$12+1,1))</f>
        <v>426.87921482911719</v>
      </c>
      <c r="CE71" s="62">
        <f t="shared" si="94"/>
        <v>313.49594674441835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-1.1368683772161603E-13</v>
      </c>
      <c r="CU71" s="18">
        <f>CT71*VLOOKUP('Données projet'!$B$13,Paramètres!$A$1:$I$89,3,0)*VLOOKUP('Données projet'!$B$13,Paramètres!$A$1:$I$89,5,0)</f>
        <v>-6.7984728957526396E-14</v>
      </c>
      <c r="CV71" s="14" t="e">
        <f t="shared" si="95"/>
        <v>#NUM!</v>
      </c>
      <c r="CW71" s="22" t="e">
        <f t="shared" si="67"/>
        <v>#NUM!</v>
      </c>
      <c r="CX71" s="62" t="e">
        <f t="shared" si="68"/>
        <v>#NUM!</v>
      </c>
      <c r="CY71" s="62">
        <f ca="1">AVERAGE(OFFSET($CX$3,0,0,'Données projet'!$E$13+1,1))-AVERAGE(OFFSET($H$3,0,0,'Données projet'!$E$13+1,1))</f>
        <v>367.11994336501527</v>
      </c>
      <c r="CZ71" s="62">
        <f t="shared" si="96"/>
        <v>390.81417197867484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16.325825442319726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8.781238663843877E-6</v>
      </c>
      <c r="DI71" s="24">
        <f t="shared" si="69"/>
        <v>16.325834223558388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1.9895196601282805E-13</v>
      </c>
      <c r="O72" s="14">
        <f>N72*VLOOKUP('Données projet'!$B$9,Paramètres!$A$1:$I$89,3,0)*VLOOKUP('Données projet'!$B$9,Paramètres!$A$1:$I$89,5,0)</f>
        <v>1.8001173884840681E-13</v>
      </c>
      <c r="P72" s="14">
        <f t="shared" si="87"/>
        <v>2.5254331426407198E-12</v>
      </c>
      <c r="Q72" s="22">
        <f t="shared" si="54"/>
        <v>4.7119831685935622E-12</v>
      </c>
      <c r="R72" s="62">
        <f t="shared" si="55"/>
        <v>265.93016035007128</v>
      </c>
      <c r="S72" s="62">
        <f ca="1">AVERAGE(OFFSET($R$3,0,0,'Données projet'!$E$9+1,1))-AVERAGE(OFFSET($H$3,0,0,'Données projet'!$E$9+1,1))</f>
        <v>312.43110610485337</v>
      </c>
      <c r="T72" s="62">
        <f t="shared" si="88"/>
        <v>442.54749157177571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0.24949396122969203</v>
      </c>
      <c r="AA72" s="23">
        <f>EXP(-LN(2)/25)*AA71+(1-EXP(-LN(2)/25))/(LN(2)/25)*Calculateur!V72*Calculateur!X72*VLOOKUP('Données projet'!$B$9,Paramètres!$A$1:$I$89,3,0)*0.475*44/12</f>
        <v>0.31930914687069473</v>
      </c>
      <c r="AB72" s="23">
        <f>EXP(-LN(2)/2)*AB71+(1-EXP(-LN(2)/2))/(LN(2)/2)*V72*Y72*VLOOKUP('Données projet'!$B$9,Paramètres!$A$1:$I$89,3,0)*0.475*44/12</f>
        <v>5.1812492306017192E-6</v>
      </c>
      <c r="AC72" s="24">
        <f t="shared" si="57"/>
        <v>0.56880828934961747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8.1999999999999993</v>
      </c>
      <c r="AI72" s="14">
        <f>IF('Données projet'!$A$62&gt;35,AI71+AH72-AQ71,IF(A72&lt;'Données projet'!$A$62,$AF$205^A72,IF(A72='Données projet'!$A$62,'Données projet'!$B$62,AI71+AH72-AQ71)))</f>
        <v>293.79999999999995</v>
      </c>
      <c r="AJ72" s="14">
        <f>AI72*VLOOKUP('Données projet'!$B$10,Paramètres!$A$1:$I$89,3,0)*VLOOKUP('Données projet'!$B$10,Paramètres!$A$1:$I$89,5,0)</f>
        <v>247.49712</v>
      </c>
      <c r="AK72" s="14">
        <f t="shared" si="89"/>
        <v>60.049673316050104</v>
      </c>
      <c r="AL72" s="22">
        <f t="shared" si="58"/>
        <v>535.64399835878714</v>
      </c>
      <c r="AM72" s="62">
        <f t="shared" si="59"/>
        <v>801.5741587088537</v>
      </c>
      <c r="AN72" s="62">
        <f ca="1">AVERAGE(OFFSET($AM$3,0,0,'Données projet'!$E$10+1,1))-AVERAGE(OFFSET($H$3,0,0,'Données projet'!$E$10+1,1))</f>
        <v>445.02659128831181</v>
      </c>
      <c r="AO72" s="62">
        <f t="shared" si="90"/>
        <v>281.06176764290592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2.1560905189948287</v>
      </c>
      <c r="AV72" s="23">
        <f>EXP(-LN(2)/25)*AV71+(1-EXP(-LN(2)/25))/(LN(2)/25)*Calculateur!AQ72*Calculateur!AS72*VLOOKUP('Données projet'!$B$10,Paramètres!$A$1:$I$89,3,0)*0.475*44/12</f>
        <v>0.37876671215006574</v>
      </c>
      <c r="AW72" s="23">
        <f>EXP(-LN(2)/2)*AW71+(1-EXP(-LN(2)/2))/(LN(2)/2)*AQ72*AT72*VLOOKUP('Données projet'!$B$10,Paramètres!$A$1:$I$89,3,0)*0.475*44/12</f>
        <v>2.5416490864934408E-5</v>
      </c>
      <c r="AX72" s="23">
        <f t="shared" si="60"/>
        <v>2.5348826476357593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8.1999999999999993</v>
      </c>
      <c r="BD72" s="13">
        <f>IF('Données projet'!$A$88&gt;35,BD71+BC72-BL71,IF(A72&lt;'Données projet'!$A$88,$BA$205^A72,IF(A72='Données projet'!$A$88,'Données projet'!$B$88,BD71+BC72-BL71)))</f>
        <v>293.79999999999995</v>
      </c>
      <c r="BE72" s="14">
        <f>BD72*VLOOKUP('Données projet'!$B$11,Paramètres!$A$1:$I$89,3,0)*VLOOKUP('Données projet'!$B$11,Paramètres!$A$1:$I$89,5,0)</f>
        <v>265.83023999999995</v>
      </c>
      <c r="BF72" s="14">
        <f t="shared" si="91"/>
        <v>63.963540982526439</v>
      </c>
      <c r="BG72" s="22">
        <f t="shared" si="61"/>
        <v>574.39083521123348</v>
      </c>
      <c r="BH72" s="62">
        <f t="shared" si="62"/>
        <v>840.32099556130004</v>
      </c>
      <c r="BI72" s="62">
        <f ca="1">AVERAGE(OFFSET($BH$3,0,0,'Données projet'!$E$11+1,1))-AVERAGE(OFFSET($H$3,0,0,'Données projet'!$E$11+1,1))</f>
        <v>472.46893084347687</v>
      </c>
      <c r="BJ72" s="62">
        <f t="shared" si="92"/>
        <v>297.32483725004136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2.3158009278092599</v>
      </c>
      <c r="BQ72" s="23">
        <f>EXP(-LN(2)/25)*BQ71+(1-EXP(-LN(2)/25))/(LN(2)/25)*Calculateur!BL72*Calculateur!BN72*VLOOKUP('Données projet'!$B$11,Paramètres!$A$1:$I$89,3,0)*0.475*44/12</f>
        <v>0.40682350564266323</v>
      </c>
      <c r="BR72" s="23">
        <f>EXP(-LN(2)/2)*BR71+(1-EXP(-LN(2)/2))/(LN(2)/2)*BL72*BO72*VLOOKUP('Données projet'!$B$11,Paramètres!$A$1:$I$89,3,0)*0.475*44/12</f>
        <v>2.7299193891966577E-5</v>
      </c>
      <c r="BS72" s="24">
        <f t="shared" si="63"/>
        <v>2.7226517326458151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15.5</v>
      </c>
      <c r="BY72" s="13">
        <f>IF('Données projet'!$A$114&gt;35,BY71+BX72-CG71,IF(A72&lt;'Données projet'!$A$114,$BV$205^A72,IF(A72='Données projet'!$A$114,'Données projet'!$B$114,BY71+BX72-CG71)))</f>
        <v>549.49999999999989</v>
      </c>
      <c r="BZ72" s="14">
        <f>BY72*VLOOKUP('Données projet'!$B$12,Paramètres!$A$1:$I$89,3,0)*VLOOKUP('Données projet'!$B$12,Paramètres!$A$1:$I$89,5,0)</f>
        <v>257.16599999999994</v>
      </c>
      <c r="CA72" s="14">
        <f t="shared" si="93"/>
        <v>62.117898891884423</v>
      </c>
      <c r="CB72" s="22">
        <f t="shared" si="64"/>
        <v>556.08612390336521</v>
      </c>
      <c r="CC72" s="62">
        <f t="shared" si="65"/>
        <v>822.01628425343176</v>
      </c>
      <c r="CD72" s="62">
        <f ca="1">AVERAGE(OFFSET($CC$3,0,0,'Données projet'!$E$12+1,1))-AVERAGE(OFFSET($H$3,0,0,'Données projet'!$E$12+1,1))</f>
        <v>426.87921482911719</v>
      </c>
      <c r="CE72" s="62">
        <f t="shared" si="94"/>
        <v>313.49594674441835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-1.1368683772161603E-13</v>
      </c>
      <c r="CU72" s="18">
        <f>CT72*VLOOKUP('Données projet'!$B$13,Paramètres!$A$1:$I$89,3,0)*VLOOKUP('Données projet'!$B$13,Paramètres!$A$1:$I$89,5,0)</f>
        <v>-6.7984728957526396E-14</v>
      </c>
      <c r="CV72" s="14" t="e">
        <f t="shared" si="95"/>
        <v>#NUM!</v>
      </c>
      <c r="CW72" s="22" t="e">
        <f t="shared" si="67"/>
        <v>#NUM!</v>
      </c>
      <c r="CX72" s="62" t="e">
        <f t="shared" si="68"/>
        <v>#NUM!</v>
      </c>
      <c r="CY72" s="62">
        <f ca="1">AVERAGE(OFFSET($CX$3,0,0,'Données projet'!$E$13+1,1))-AVERAGE(OFFSET($H$3,0,0,'Données projet'!$E$13+1,1))</f>
        <v>367.11994336501527</v>
      </c>
      <c r="CZ72" s="62">
        <f t="shared" si="96"/>
        <v>390.81417197867484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16.005685963166108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6.2092734064215034E-6</v>
      </c>
      <c r="DI72" s="24">
        <f t="shared" si="69"/>
        <v>16.005692172439513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1.9895196601282805E-13</v>
      </c>
      <c r="O73" s="14">
        <f>N73*VLOOKUP('Données projet'!$B$9,Paramètres!$A$1:$I$89,3,0)*VLOOKUP('Données projet'!$B$9,Paramètres!$A$1:$I$89,5,0)</f>
        <v>1.8001173884840681E-13</v>
      </c>
      <c r="P73" s="14">
        <f t="shared" si="87"/>
        <v>2.5254331426407198E-12</v>
      </c>
      <c r="Q73" s="22">
        <f t="shared" si="54"/>
        <v>4.7119831685935622E-12</v>
      </c>
      <c r="R73" s="62">
        <f t="shared" si="55"/>
        <v>266.4055441370142</v>
      </c>
      <c r="S73" s="62">
        <f ca="1">AVERAGE(OFFSET($R$3,0,0,'Données projet'!$E$9+1,1))-AVERAGE(OFFSET($H$3,0,0,'Données projet'!$E$9+1,1))</f>
        <v>312.43110610485337</v>
      </c>
      <c r="T73" s="62">
        <f t="shared" si="88"/>
        <v>442.54749157177571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0.24460153682626795</v>
      </c>
      <c r="AA73" s="23">
        <f>EXP(-LN(2)/25)*AA72+(1-EXP(-LN(2)/25))/(LN(2)/25)*Calculateur!V73*Calculateur!X73*VLOOKUP('Données projet'!$B$9,Paramètres!$A$1:$I$89,3,0)*0.475*44/12</f>
        <v>0.31057762145777734</v>
      </c>
      <c r="AB73" s="23">
        <f>EXP(-LN(2)/2)*AB72+(1-EXP(-LN(2)/2))/(LN(2)/2)*V73*Y73*VLOOKUP('Données projet'!$B$9,Paramètres!$A$1:$I$89,3,0)*0.475*44/12</f>
        <v>3.6636964659760576E-6</v>
      </c>
      <c r="AC73" s="24">
        <f t="shared" si="57"/>
        <v>0.55518282198051128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302</v>
      </c>
      <c r="AG73" s="13">
        <f>VLOOKUP(A73,'Données projet'!$A$61:$I$81,9,0)</f>
        <v>8.1999999999999993</v>
      </c>
      <c r="AH73" s="13">
        <f t="array" ref="AH73">INDEX(AG:AG,MIN(IF(ISNUMBER(AG73:AG269),ROW(AG73:AG269),"")))</f>
        <v>8.1999999999999993</v>
      </c>
      <c r="AI73" s="14">
        <f>IF('Données projet'!$A$62&gt;35,AI72+AH73-AQ72,IF(A73&lt;'Données projet'!$A$62,$AF$205^A73,IF(A73='Données projet'!$A$62,'Données projet'!$B$62,AI72+AH73-AQ72)))</f>
        <v>301.99999999999994</v>
      </c>
      <c r="AJ73" s="14">
        <f>AI73*VLOOKUP('Données projet'!$B$10,Paramètres!$A$1:$I$89,3,0)*VLOOKUP('Données projet'!$B$10,Paramètres!$A$1:$I$89,5,0)</f>
        <v>254.40479999999999</v>
      </c>
      <c r="AK73" s="14">
        <f t="shared" si="89"/>
        <v>61.52820154571765</v>
      </c>
      <c r="AL73" s="22">
        <f t="shared" si="58"/>
        <v>550.24997769212484</v>
      </c>
      <c r="AM73" s="62">
        <f t="shared" si="59"/>
        <v>816.65552182913439</v>
      </c>
      <c r="AN73" s="62">
        <f ca="1">AVERAGE(OFFSET($AM$3,0,0,'Données projet'!$E$10+1,1))-AVERAGE(OFFSET($H$3,0,0,'Données projet'!$E$10+1,1))</f>
        <v>445.02659128831181</v>
      </c>
      <c r="AO73" s="62">
        <f t="shared" si="90"/>
        <v>281.06176764290592</v>
      </c>
      <c r="AP73" s="16">
        <f>IF(ISNA(VLOOKUP(A73,'Données projet'!$A$61:$I$81,3,0)),0,VLOOKUP(A73,'Données projet'!$A$61:$I$81,3,0))</f>
        <v>11</v>
      </c>
      <c r="AQ73" s="16">
        <f>IF(ISNA(VLOOKUP(A73,'Données projet'!$A$61:$I$81,4,0)),0,VLOOKUP(A73,'Données projet'!$A$61:$I$81,4,0))</f>
        <v>28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2.1138108990027029</v>
      </c>
      <c r="AV73" s="23">
        <f>EXP(-LN(2)/25)*AV72+(1-EXP(-LN(2)/25))/(LN(2)/25)*Calculateur!AQ73*Calculateur!AS73*VLOOKUP('Données projet'!$B$10,Paramètres!$A$1:$I$89,3,0)*0.475*44/12</f>
        <v>0.36840931648784647</v>
      </c>
      <c r="AW73" s="23">
        <f>EXP(-LN(2)/2)*AW72+(1-EXP(-LN(2)/2))/(LN(2)/2)*AQ73*AT73*VLOOKUP('Données projet'!$B$10,Paramètres!$A$1:$I$89,3,0)*0.475*44/12</f>
        <v>1.7972173044561058E-5</v>
      </c>
      <c r="AX73" s="23">
        <f t="shared" si="60"/>
        <v>2.4822381876635937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302</v>
      </c>
      <c r="BB73" s="13">
        <f>VLOOKUP(A73,'Données projet'!$A$87:$I$107,9,0)</f>
        <v>8.1999999999999993</v>
      </c>
      <c r="BC73" s="13">
        <f t="array" ref="BC73">INDEX(BB:BB,MIN(IF(ISNUMBER(BB73:BB269),ROW(BB73:BB269),"")))</f>
        <v>8.1999999999999993</v>
      </c>
      <c r="BD73" s="13">
        <f>IF('Données projet'!$A$88&gt;35,BD72+BC73-BL72,IF(A73&lt;'Données projet'!$A$88,$BA$205^A73,IF(A73='Données projet'!$A$88,'Données projet'!$B$88,BD72+BC73-BL72)))</f>
        <v>301.99999999999994</v>
      </c>
      <c r="BE73" s="14">
        <f>BD73*VLOOKUP('Données projet'!$B$11,Paramètres!$A$1:$I$89,3,0)*VLOOKUP('Données projet'!$B$11,Paramètres!$A$1:$I$89,5,0)</f>
        <v>273.24959999999999</v>
      </c>
      <c r="BF73" s="14">
        <f t="shared" si="91"/>
        <v>65.538435495514321</v>
      </c>
      <c r="BG73" s="22">
        <f t="shared" si="61"/>
        <v>590.05582848802067</v>
      </c>
      <c r="BH73" s="62">
        <f t="shared" si="62"/>
        <v>856.46137262503021</v>
      </c>
      <c r="BI73" s="62">
        <f ca="1">AVERAGE(OFFSET($BH$3,0,0,'Données projet'!$E$11+1,1))-AVERAGE(OFFSET($H$3,0,0,'Données projet'!$E$11+1,1))</f>
        <v>472.46893084347687</v>
      </c>
      <c r="BJ73" s="62">
        <f t="shared" si="92"/>
        <v>297.32483725004136</v>
      </c>
      <c r="BK73" s="16">
        <f>IF(ISNA(VLOOKUP(A73,'Données projet'!$A$87:$I$107,3,0)),0,VLOOKUP(A73,'Données projet'!$A$87:$I$107,3,0))</f>
        <v>11</v>
      </c>
      <c r="BL73" s="16">
        <f>IF(ISNA(VLOOKUP(A73,'Données projet'!$A$87:$I$107,4,0)),0,VLOOKUP(A73,'Données projet'!$A$87:$I$107,4,0))</f>
        <v>28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2.2703894841140135</v>
      </c>
      <c r="BQ73" s="23">
        <f>EXP(-LN(2)/25)*BQ72+(1-EXP(-LN(2)/25))/(LN(2)/25)*Calculateur!BL73*Calculateur!BN73*VLOOKUP('Données projet'!$B$11,Paramètres!$A$1:$I$89,3,0)*0.475*44/12</f>
        <v>0.39569889548694626</v>
      </c>
      <c r="BR73" s="23">
        <f>EXP(-LN(2)/2)*BR72+(1-EXP(-LN(2)/2))/(LN(2)/2)*BL73*BO73*VLOOKUP('Données projet'!$B$11,Paramètres!$A$1:$I$89,3,0)*0.475*44/12</f>
        <v>1.9303445121935945E-5</v>
      </c>
      <c r="BS73" s="24">
        <f t="shared" si="63"/>
        <v>2.6661076830460817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565</v>
      </c>
      <c r="BW73" s="13">
        <f>VLOOKUP(A73,'Données projet'!$A$113:$I$133,9,0)</f>
        <v>15.5</v>
      </c>
      <c r="BX73" s="13">
        <f t="array" ref="BX73">INDEX(BW:BW,MIN(IF(ISNUMBER(BW73:BW269),ROW(BW73:BW269),"")))</f>
        <v>15.5</v>
      </c>
      <c r="BY73" s="13">
        <f>IF('Données projet'!$A$114&gt;35,BY72+BX73-CG72,IF(A73&lt;'Données projet'!$A$114,$BV$205^A73,IF(A73='Données projet'!$A$114,'Données projet'!$B$114,BY72+BX73-CG72)))</f>
        <v>564.99999999999989</v>
      </c>
      <c r="BZ73" s="14">
        <f>BY73*VLOOKUP('Données projet'!$B$12,Paramètres!$A$1:$I$89,3,0)*VLOOKUP('Données projet'!$B$12,Paramètres!$A$1:$I$89,5,0)</f>
        <v>264.41999999999996</v>
      </c>
      <c r="CA73" s="14">
        <f t="shared" si="93"/>
        <v>63.663617006208391</v>
      </c>
      <c r="CB73" s="22">
        <f t="shared" si="64"/>
        <v>571.41229961914621</v>
      </c>
      <c r="CC73" s="62">
        <f t="shared" si="65"/>
        <v>837.81784375615575</v>
      </c>
      <c r="CD73" s="62">
        <f ca="1">AVERAGE(OFFSET($CC$3,0,0,'Données projet'!$E$12+1,1))-AVERAGE(OFFSET($H$3,0,0,'Données projet'!$E$12+1,1))</f>
        <v>426.87921482911719</v>
      </c>
      <c r="CE73" s="62">
        <f t="shared" si="94"/>
        <v>313.49594674441835</v>
      </c>
      <c r="CF73" s="16">
        <f>IF(ISNA(VLOOKUP(A73,'Données projet'!$A$113:$I$133,3,0)),0,VLOOKUP(A73,'Données projet'!$A$113:$I$133,3,0))</f>
        <v>6</v>
      </c>
      <c r="CG73" s="16">
        <f>IF(ISNA(VLOOKUP(A73,'Données projet'!$A$113:$I$133,4,0)),0,VLOOKUP(A73,'Données projet'!$A$113:$I$133,4,0))</f>
        <v>113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-1.1368683772161603E-13</v>
      </c>
      <c r="CU73" s="18">
        <f>CT73*VLOOKUP('Données projet'!$B$13,Paramètres!$A$1:$I$89,3,0)*VLOOKUP('Données projet'!$B$13,Paramètres!$A$1:$I$89,5,0)</f>
        <v>-6.7984728957526396E-14</v>
      </c>
      <c r="CV73" s="14" t="e">
        <f t="shared" si="95"/>
        <v>#NUM!</v>
      </c>
      <c r="CW73" s="22" t="e">
        <f t="shared" si="67"/>
        <v>#NUM!</v>
      </c>
      <c r="CX73" s="62" t="e">
        <f t="shared" si="68"/>
        <v>#NUM!</v>
      </c>
      <c r="CY73" s="62">
        <f ca="1">AVERAGE(OFFSET($CX$3,0,0,'Données projet'!$E$13+1,1))-AVERAGE(OFFSET($H$3,0,0,'Données projet'!$E$13+1,1))</f>
        <v>367.11994336501527</v>
      </c>
      <c r="CZ73" s="62">
        <f t="shared" si="96"/>
        <v>390.81417197867484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15.69182422393289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4.3906193319219385E-6</v>
      </c>
      <c r="DI73" s="24">
        <f t="shared" si="69"/>
        <v>15.691828614552222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1.9895196601282805E-13</v>
      </c>
      <c r="O74" s="14">
        <f>N74*VLOOKUP('Données projet'!$B$9,Paramètres!$A$1:$I$89,3,0)*VLOOKUP('Données projet'!$B$9,Paramètres!$A$1:$I$89,5,0)</f>
        <v>1.8001173884840681E-13</v>
      </c>
      <c r="P74" s="14">
        <f t="shared" si="87"/>
        <v>2.5254331426407198E-12</v>
      </c>
      <c r="Q74" s="22">
        <f t="shared" si="54"/>
        <v>4.7119831685935622E-12</v>
      </c>
      <c r="R74" s="62">
        <f t="shared" si="55"/>
        <v>266.87268107805266</v>
      </c>
      <c r="S74" s="62">
        <f ca="1">AVERAGE(OFFSET($R$3,0,0,'Données projet'!$E$9+1,1))-AVERAGE(OFFSET($H$3,0,0,'Données projet'!$E$9+1,1))</f>
        <v>312.43110610485337</v>
      </c>
      <c r="T74" s="62">
        <f t="shared" si="88"/>
        <v>442.54749157177571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0.23980504988131079</v>
      </c>
      <c r="AA74" s="23">
        <f>EXP(-LN(2)/25)*AA73+(1-EXP(-LN(2)/25))/(LN(2)/25)*Calculateur!V74*Calculateur!X74*VLOOKUP('Données projet'!$B$9,Paramètres!$A$1:$I$89,3,0)*0.475*44/12</f>
        <v>0.30208486006644714</v>
      </c>
      <c r="AB74" s="23">
        <f>EXP(-LN(2)/2)*AB73+(1-EXP(-LN(2)/2))/(LN(2)/2)*V74*Y74*VLOOKUP('Données projet'!$B$9,Paramètres!$A$1:$I$89,3,0)*0.475*44/12</f>
        <v>2.5906246153008596E-6</v>
      </c>
      <c r="AC74" s="24">
        <f t="shared" si="57"/>
        <v>0.54189250057237315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7.6</v>
      </c>
      <c r="AI74" s="14">
        <f>IF('Données projet'!$A$62&gt;35,AI73+AH74-AQ73,IF(A74&lt;'Données projet'!$A$62,$AF$205^A74,IF(A74='Données projet'!$A$62,'Données projet'!$B$62,AI73+AH74-AQ73)))</f>
        <v>281.59999999999997</v>
      </c>
      <c r="AJ74" s="14">
        <f>AI74*VLOOKUP('Données projet'!$B$10,Paramètres!$A$1:$I$89,3,0)*VLOOKUP('Données projet'!$B$10,Paramètres!$A$1:$I$89,5,0)</f>
        <v>237.21984</v>
      </c>
      <c r="AK74" s="14">
        <f t="shared" si="89"/>
        <v>57.840960489671517</v>
      </c>
      <c r="AL74" s="22">
        <f t="shared" si="58"/>
        <v>513.89756085284455</v>
      </c>
      <c r="AM74" s="62">
        <f t="shared" si="59"/>
        <v>780.77024193089255</v>
      </c>
      <c r="AN74" s="62">
        <f ca="1">AVERAGE(OFFSET($AM$3,0,0,'Données projet'!$E$10+1,1))-AVERAGE(OFFSET($H$3,0,0,'Données projet'!$E$10+1,1))</f>
        <v>445.02659128831181</v>
      </c>
      <c r="AO74" s="62">
        <f t="shared" si="90"/>
        <v>281.06176764290592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2.0723603565706008</v>
      </c>
      <c r="AV74" s="23">
        <f>EXP(-LN(2)/25)*AV73+(1-EXP(-LN(2)/25))/(LN(2)/25)*Calculateur!AQ74*Calculateur!AS74*VLOOKUP('Données projet'!$B$10,Paramètres!$A$1:$I$89,3,0)*0.475*44/12</f>
        <v>0.35833514435468239</v>
      </c>
      <c r="AW74" s="23">
        <f>EXP(-LN(2)/2)*AW73+(1-EXP(-LN(2)/2))/(LN(2)/2)*AQ74*AT74*VLOOKUP('Données projet'!$B$10,Paramètres!$A$1:$I$89,3,0)*0.475*44/12</f>
        <v>1.2708245432467204E-5</v>
      </c>
      <c r="AX74" s="23">
        <f t="shared" si="60"/>
        <v>2.4307082091707155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7.6</v>
      </c>
      <c r="BD74" s="13">
        <f>IF('Données projet'!$A$88&gt;35,BD73+BC74-BL73,IF(A74&lt;'Données projet'!$A$88,$BA$205^A74,IF(A74='Données projet'!$A$88,'Données projet'!$B$88,BD73+BC74-BL73)))</f>
        <v>281.59999999999997</v>
      </c>
      <c r="BE74" s="14">
        <f>BD74*VLOOKUP('Données projet'!$B$11,Paramètres!$A$1:$I$89,3,0)*VLOOKUP('Données projet'!$B$11,Paramètres!$A$1:$I$89,5,0)</f>
        <v>254.79167999999996</v>
      </c>
      <c r="BF74" s="14">
        <f t="shared" si="91"/>
        <v>61.610870508448471</v>
      </c>
      <c r="BG74" s="22">
        <f t="shared" si="61"/>
        <v>551.067775468881</v>
      </c>
      <c r="BH74" s="62">
        <f t="shared" si="62"/>
        <v>817.940456546929</v>
      </c>
      <c r="BI74" s="62">
        <f ca="1">AVERAGE(OFFSET($BH$3,0,0,'Données projet'!$E$11+1,1))-AVERAGE(OFFSET($H$3,0,0,'Données projet'!$E$11+1,1))</f>
        <v>472.46893084347687</v>
      </c>
      <c r="BJ74" s="62">
        <f t="shared" si="92"/>
        <v>297.32483725004136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2.2258685311313853</v>
      </c>
      <c r="BQ74" s="23">
        <f>EXP(-LN(2)/25)*BQ73+(1-EXP(-LN(2)/25))/(LN(2)/25)*Calculateur!BL74*Calculateur!BN74*VLOOKUP('Données projet'!$B$11,Paramètres!$A$1:$I$89,3,0)*0.475*44/12</f>
        <v>0.38487848838095517</v>
      </c>
      <c r="BR74" s="23">
        <f>EXP(-LN(2)/2)*BR73+(1-EXP(-LN(2)/2))/(LN(2)/2)*BL74*BO74*VLOOKUP('Données projet'!$B$11,Paramètres!$A$1:$I$89,3,0)*0.475*44/12</f>
        <v>1.3649596945983288E-5</v>
      </c>
      <c r="BS74" s="24">
        <f t="shared" si="63"/>
        <v>2.6107606691092866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17</v>
      </c>
      <c r="BY74" s="13">
        <f>IF('Données projet'!$A$114&gt;35,BY73+BX74-CG73,IF(A74&lt;'Données projet'!$A$114,$BV$205^A74,IF(A74='Données projet'!$A$114,'Données projet'!$B$114,BY73+BX74-CG73)))</f>
        <v>468.99999999999989</v>
      </c>
      <c r="BZ74" s="14">
        <f>BY74*VLOOKUP('Données projet'!$B$12,Paramètres!$A$1:$I$89,3,0)*VLOOKUP('Données projet'!$B$12,Paramètres!$A$1:$I$89,5,0)</f>
        <v>219.49199999999993</v>
      </c>
      <c r="CA74" s="14">
        <f t="shared" si="93"/>
        <v>54.004459579686618</v>
      </c>
      <c r="CB74" s="22">
        <f t="shared" si="64"/>
        <v>476.33966710128726</v>
      </c>
      <c r="CC74" s="62">
        <f t="shared" si="65"/>
        <v>743.21234817933521</v>
      </c>
      <c r="CD74" s="62">
        <f ca="1">AVERAGE(OFFSET($CC$3,0,0,'Données projet'!$E$12+1,1))-AVERAGE(OFFSET($H$3,0,0,'Données projet'!$E$12+1,1))</f>
        <v>426.87921482911719</v>
      </c>
      <c r="CE74" s="62">
        <f t="shared" si="94"/>
        <v>313.49594674441835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-1.1368683772161603E-13</v>
      </c>
      <c r="CU74" s="18">
        <f>CT74*VLOOKUP('Données projet'!$B$13,Paramètres!$A$1:$I$89,3,0)*VLOOKUP('Données projet'!$B$13,Paramètres!$A$1:$I$89,5,0)</f>
        <v>-6.7984728957526396E-14</v>
      </c>
      <c r="CV74" s="14" t="e">
        <f t="shared" si="95"/>
        <v>#NUM!</v>
      </c>
      <c r="CW74" s="22" t="e">
        <f t="shared" si="67"/>
        <v>#NUM!</v>
      </c>
      <c r="CX74" s="62" t="e">
        <f t="shared" si="68"/>
        <v>#NUM!</v>
      </c>
      <c r="CY74" s="62">
        <f ca="1">AVERAGE(OFFSET($CX$3,0,0,'Données projet'!$E$13+1,1))-AVERAGE(OFFSET($H$3,0,0,'Données projet'!$E$13+1,1))</f>
        <v>367.11994336501527</v>
      </c>
      <c r="CZ74" s="62">
        <f t="shared" si="96"/>
        <v>390.81417197867484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15.384117121969279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3.1046367032107517E-6</v>
      </c>
      <c r="DI74" s="24">
        <f t="shared" si="69"/>
        <v>15.384120226605981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1.9895196601282805E-13</v>
      </c>
      <c r="O75" s="14">
        <f>N75*VLOOKUP('Données projet'!$B$9,Paramètres!$A$1:$I$89,3,0)*VLOOKUP('Données projet'!$B$9,Paramètres!$A$1:$I$89,5,0)</f>
        <v>1.8001173884840681E-13</v>
      </c>
      <c r="P75" s="14">
        <f t="shared" si="87"/>
        <v>2.5254331426407198E-12</v>
      </c>
      <c r="Q75" s="22">
        <f t="shared" si="54"/>
        <v>4.7119831685935622E-12</v>
      </c>
      <c r="R75" s="62">
        <f t="shared" si="55"/>
        <v>267.33171423752583</v>
      </c>
      <c r="S75" s="62">
        <f ca="1">AVERAGE(OFFSET($R$3,0,0,'Données projet'!$E$9+1,1))-AVERAGE(OFFSET($H$3,0,0,'Données projet'!$E$9+1,1))</f>
        <v>312.43110610485337</v>
      </c>
      <c r="T75" s="62">
        <f t="shared" si="88"/>
        <v>442.54749157177571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0.23510261911977609</v>
      </c>
      <c r="AA75" s="23">
        <f>EXP(-LN(2)/25)*AA74+(1-EXP(-LN(2)/25))/(LN(2)/25)*Calculateur!V75*Calculateur!X75*VLOOKUP('Données projet'!$B$9,Paramètres!$A$1:$I$89,3,0)*0.475*44/12</f>
        <v>0.29382433368197775</v>
      </c>
      <c r="AB75" s="23">
        <f>EXP(-LN(2)/2)*AB74+(1-EXP(-LN(2)/2))/(LN(2)/2)*V75*Y75*VLOOKUP('Données projet'!$B$9,Paramètres!$A$1:$I$89,3,0)*0.475*44/12</f>
        <v>1.8318482329880288E-6</v>
      </c>
      <c r="AC75" s="24">
        <f t="shared" si="57"/>
        <v>0.52892878464998683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7.6</v>
      </c>
      <c r="AI75" s="14">
        <f>IF('Données projet'!$A$62&gt;35,AI74+AH75-AQ74,IF(A75&lt;'Données projet'!$A$62,$AF$205^A75,IF(A75='Données projet'!$A$62,'Données projet'!$B$62,AI74+AH75-AQ74)))</f>
        <v>289.2</v>
      </c>
      <c r="AJ75" s="14">
        <f>AI75*VLOOKUP('Données projet'!$B$10,Paramètres!$A$1:$I$89,3,0)*VLOOKUP('Données projet'!$B$10,Paramètres!$A$1:$I$89,5,0)</f>
        <v>243.62208000000001</v>
      </c>
      <c r="AK75" s="14">
        <f t="shared" si="89"/>
        <v>59.218157943988587</v>
      </c>
      <c r="AL75" s="22">
        <f t="shared" si="58"/>
        <v>527.44674775244675</v>
      </c>
      <c r="AM75" s="62">
        <f t="shared" si="59"/>
        <v>794.77846198996781</v>
      </c>
      <c r="AN75" s="62">
        <f ca="1">AVERAGE(OFFSET($AM$3,0,0,'Données projet'!$E$10+1,1))-AVERAGE(OFFSET($H$3,0,0,'Données projet'!$E$10+1,1))</f>
        <v>445.02659128831181</v>
      </c>
      <c r="AO75" s="62">
        <f t="shared" si="90"/>
        <v>281.06176764290592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2.0317226339932577</v>
      </c>
      <c r="AV75" s="23">
        <f>EXP(-LN(2)/25)*AV74+(1-EXP(-LN(2)/25))/(LN(2)/25)*Calculateur!AQ75*Calculateur!AS75*VLOOKUP('Données projet'!$B$10,Paramètres!$A$1:$I$89,3,0)*0.475*44/12</f>
        <v>0.34853645098827735</v>
      </c>
      <c r="AW75" s="23">
        <f>EXP(-LN(2)/2)*AW74+(1-EXP(-LN(2)/2))/(LN(2)/2)*AQ75*AT75*VLOOKUP('Données projet'!$B$10,Paramètres!$A$1:$I$89,3,0)*0.475*44/12</f>
        <v>8.9860865222805291E-6</v>
      </c>
      <c r="AX75" s="23">
        <f t="shared" si="60"/>
        <v>2.3802680710680577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7.6</v>
      </c>
      <c r="BD75" s="13">
        <f>IF('Données projet'!$A$88&gt;35,BD74+BC75-BL74,IF(A75&lt;'Données projet'!$A$88,$BA$205^A75,IF(A75='Données projet'!$A$88,'Données projet'!$B$88,BD74+BC75-BL74)))</f>
        <v>289.2</v>
      </c>
      <c r="BE75" s="14">
        <f>BD75*VLOOKUP('Données projet'!$B$11,Paramètres!$A$1:$I$89,3,0)*VLOOKUP('Données projet'!$B$11,Paramètres!$A$1:$I$89,5,0)</f>
        <v>261.66816</v>
      </c>
      <c r="BF75" s="14">
        <f t="shared" si="91"/>
        <v>63.077829793082856</v>
      </c>
      <c r="BG75" s="22">
        <f t="shared" si="61"/>
        <v>565.5992655562859</v>
      </c>
      <c r="BH75" s="62">
        <f t="shared" si="62"/>
        <v>832.93097979380696</v>
      </c>
      <c r="BI75" s="62">
        <f ca="1">AVERAGE(OFFSET($BH$3,0,0,'Données projet'!$E$11+1,1))-AVERAGE(OFFSET($H$3,0,0,'Données projet'!$E$11+1,1))</f>
        <v>472.46893084347687</v>
      </c>
      <c r="BJ75" s="62">
        <f t="shared" si="92"/>
        <v>297.32483725004136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2.1822206068816463</v>
      </c>
      <c r="BQ75" s="23">
        <f>EXP(-LN(2)/25)*BQ74+(1-EXP(-LN(2)/25))/(LN(2)/25)*Calculateur!BL75*Calculateur!BN75*VLOOKUP('Données projet'!$B$11,Paramètres!$A$1:$I$89,3,0)*0.475*44/12</f>
        <v>0.37435396587629788</v>
      </c>
      <c r="BR75" s="23">
        <f>EXP(-LN(2)/2)*BR74+(1-EXP(-LN(2)/2))/(LN(2)/2)*BL75*BO75*VLOOKUP('Données projet'!$B$11,Paramètres!$A$1:$I$89,3,0)*0.475*44/12</f>
        <v>9.6517225609679723E-6</v>
      </c>
      <c r="BS75" s="24">
        <f t="shared" si="63"/>
        <v>2.5565842244805053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17</v>
      </c>
      <c r="BY75" s="13">
        <f>IF('Données projet'!$A$114&gt;35,BY74+BX75-CG74,IF(A75&lt;'Données projet'!$A$114,$BV$205^A75,IF(A75='Données projet'!$A$114,'Données projet'!$B$114,BY74+BX75-CG74)))</f>
        <v>485.99999999999989</v>
      </c>
      <c r="BZ75" s="14">
        <f>BY75*VLOOKUP('Données projet'!$B$12,Paramètres!$A$1:$I$89,3,0)*VLOOKUP('Données projet'!$B$12,Paramètres!$A$1:$I$89,5,0)</f>
        <v>227.44799999999995</v>
      </c>
      <c r="CA75" s="14">
        <f t="shared" si="93"/>
        <v>55.730521649800686</v>
      </c>
      <c r="CB75" s="22">
        <f t="shared" si="64"/>
        <v>493.20259187340275</v>
      </c>
      <c r="CC75" s="62">
        <f t="shared" si="65"/>
        <v>760.53430611092381</v>
      </c>
      <c r="CD75" s="62">
        <f ca="1">AVERAGE(OFFSET($CC$3,0,0,'Données projet'!$E$12+1,1))-AVERAGE(OFFSET($H$3,0,0,'Données projet'!$E$12+1,1))</f>
        <v>426.87921482911719</v>
      </c>
      <c r="CE75" s="62">
        <f t="shared" si="94"/>
        <v>313.49594674441835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-1.1368683772161603E-13</v>
      </c>
      <c r="CU75" s="18">
        <f>CT75*VLOOKUP('Données projet'!$B$13,Paramètres!$A$1:$I$89,3,0)*VLOOKUP('Données projet'!$B$13,Paramètres!$A$1:$I$89,5,0)</f>
        <v>-6.7984728957526396E-14</v>
      </c>
      <c r="CV75" s="14" t="e">
        <f t="shared" si="95"/>
        <v>#NUM!</v>
      </c>
      <c r="CW75" s="22" t="e">
        <f t="shared" si="67"/>
        <v>#NUM!</v>
      </c>
      <c r="CX75" s="62" t="e">
        <f t="shared" si="68"/>
        <v>#NUM!</v>
      </c>
      <c r="CY75" s="62">
        <f ca="1">AVERAGE(OFFSET($CX$3,0,0,'Données projet'!$E$13+1,1))-AVERAGE(OFFSET($H$3,0,0,'Données projet'!$E$13+1,1))</f>
        <v>367.11994336501527</v>
      </c>
      <c r="CZ75" s="62">
        <f t="shared" si="96"/>
        <v>390.81417197867484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15.082443968592374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2.1953096659609692E-6</v>
      </c>
      <c r="DI75" s="24">
        <f t="shared" si="69"/>
        <v>15.08244616390204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1.9895196601282805E-13</v>
      </c>
      <c r="O76" s="14">
        <f>N76*VLOOKUP('Données projet'!$B$9,Paramètres!$A$1:$I$89,3,0)*VLOOKUP('Données projet'!$B$9,Paramètres!$A$1:$I$89,5,0)</f>
        <v>1.8001173884840681E-13</v>
      </c>
      <c r="P76" s="14">
        <f t="shared" si="87"/>
        <v>2.5254331426407198E-12</v>
      </c>
      <c r="Q76" s="22">
        <f t="shared" si="54"/>
        <v>4.7119831685935622E-12</v>
      </c>
      <c r="R76" s="62">
        <f t="shared" si="55"/>
        <v>267.7827841979265</v>
      </c>
      <c r="S76" s="62">
        <f ca="1">AVERAGE(OFFSET($R$3,0,0,'Données projet'!$E$9+1,1))-AVERAGE(OFFSET($H$3,0,0,'Données projet'!$E$9+1,1))</f>
        <v>312.43110610485337</v>
      </c>
      <c r="T76" s="62">
        <f t="shared" si="88"/>
        <v>442.54749157177571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0.23049240015727551</v>
      </c>
      <c r="AA76" s="23">
        <f>EXP(-LN(2)/25)*AA75+(1-EXP(-LN(2)/25))/(LN(2)/25)*Calculateur!V76*Calculateur!X76*VLOOKUP('Données projet'!$B$9,Paramètres!$A$1:$I$89,3,0)*0.475*44/12</f>
        <v>0.28578969182589392</v>
      </c>
      <c r="AB76" s="23">
        <f>EXP(-LN(2)/2)*AB75+(1-EXP(-LN(2)/2))/(LN(2)/2)*V76*Y76*VLOOKUP('Données projet'!$B$9,Paramètres!$A$1:$I$89,3,0)*0.475*44/12</f>
        <v>1.2953123076504298E-6</v>
      </c>
      <c r="AC76" s="24">
        <f t="shared" si="57"/>
        <v>0.51628338729547707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7.6</v>
      </c>
      <c r="AI76" s="14">
        <f>IF('Données projet'!$A$62&gt;35,AI75+AH76-AQ75,IF(A76&lt;'Données projet'!$A$62,$AF$205^A76,IF(A76='Données projet'!$A$62,'Données projet'!$B$62,AI75+AH76-AQ75)))</f>
        <v>296.8</v>
      </c>
      <c r="AJ76" s="14">
        <f>AI76*VLOOKUP('Données projet'!$B$10,Paramètres!$A$1:$I$89,3,0)*VLOOKUP('Données projet'!$B$10,Paramètres!$A$1:$I$89,5,0)</f>
        <v>250.02432000000005</v>
      </c>
      <c r="AK76" s="14">
        <f t="shared" si="89"/>
        <v>60.591148584829206</v>
      </c>
      <c r="AL76" s="22">
        <f t="shared" si="58"/>
        <v>540.9886077852442</v>
      </c>
      <c r="AM76" s="62">
        <f t="shared" si="59"/>
        <v>808.77139198316604</v>
      </c>
      <c r="AN76" s="62">
        <f ca="1">AVERAGE(OFFSET($AM$3,0,0,'Données projet'!$E$10+1,1))-AVERAGE(OFFSET($H$3,0,0,'Données projet'!$E$10+1,1))</f>
        <v>445.02659128831181</v>
      </c>
      <c r="AO76" s="62">
        <f t="shared" si="90"/>
        <v>281.06176764290592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1.991881792369093</v>
      </c>
      <c r="AV76" s="23">
        <f>EXP(-LN(2)/25)*AV75+(1-EXP(-LN(2)/25))/(LN(2)/25)*Calculateur!AQ76*Calculateur!AS76*VLOOKUP('Données projet'!$B$10,Paramètres!$A$1:$I$89,3,0)*0.475*44/12</f>
        <v>0.33900570340726754</v>
      </c>
      <c r="AW76" s="23">
        <f>EXP(-LN(2)/2)*AW75+(1-EXP(-LN(2)/2))/(LN(2)/2)*AQ76*AT76*VLOOKUP('Données projet'!$B$10,Paramètres!$A$1:$I$89,3,0)*0.475*44/12</f>
        <v>6.354122716233602E-6</v>
      </c>
      <c r="AX76" s="23">
        <f t="shared" si="60"/>
        <v>2.330893849899077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7.6</v>
      </c>
      <c r="BD76" s="13">
        <f>IF('Données projet'!$A$88&gt;35,BD75+BC76-BL75,IF(A76&lt;'Données projet'!$A$88,$BA$205^A76,IF(A76='Données projet'!$A$88,'Données projet'!$B$88,BD75+BC76-BL75)))</f>
        <v>296.8</v>
      </c>
      <c r="BE76" s="14">
        <f>BD76*VLOOKUP('Données projet'!$B$11,Paramètres!$A$1:$I$89,3,0)*VLOOKUP('Données projet'!$B$11,Paramètres!$A$1:$I$89,5,0)</f>
        <v>268.54464000000002</v>
      </c>
      <c r="BF76" s="14">
        <f t="shared" si="91"/>
        <v>64.54030807605065</v>
      </c>
      <c r="BG76" s="22">
        <f t="shared" si="61"/>
        <v>580.12295123245474</v>
      </c>
      <c r="BH76" s="62">
        <f t="shared" si="62"/>
        <v>847.90573543037658</v>
      </c>
      <c r="BI76" s="62">
        <f ca="1">AVERAGE(OFFSET($BH$3,0,0,'Données projet'!$E$11+1,1))-AVERAGE(OFFSET($H$3,0,0,'Données projet'!$E$11+1,1))</f>
        <v>472.46893084347687</v>
      </c>
      <c r="BJ76" s="62">
        <f t="shared" si="92"/>
        <v>297.32483725004136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2.1394285918038398</v>
      </c>
      <c r="BQ76" s="23">
        <f>EXP(-LN(2)/25)*BQ75+(1-EXP(-LN(2)/25))/(LN(2)/25)*Calculateur!BL76*Calculateur!BN76*VLOOKUP('Données projet'!$B$11,Paramètres!$A$1:$I$89,3,0)*0.475*44/12</f>
        <v>0.36411723699299103</v>
      </c>
      <c r="BR76" s="23">
        <f>EXP(-LN(2)/2)*BR75+(1-EXP(-LN(2)/2))/(LN(2)/2)*BL76*BO76*VLOOKUP('Données projet'!$B$11,Paramètres!$A$1:$I$89,3,0)*0.475*44/12</f>
        <v>6.8247984729916442E-6</v>
      </c>
      <c r="BS76" s="24">
        <f t="shared" si="63"/>
        <v>2.5035526535953041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17</v>
      </c>
      <c r="BY76" s="13">
        <f>IF('Données projet'!$A$114&gt;35,BY75+BX76-CG75,IF(A76&lt;'Données projet'!$A$114,$BV$205^A76,IF(A76='Données projet'!$A$114,'Données projet'!$B$114,BY75+BX76-CG75)))</f>
        <v>502.99999999999989</v>
      </c>
      <c r="BZ76" s="14">
        <f>BY76*VLOOKUP('Données projet'!$B$12,Paramètres!$A$1:$I$89,3,0)*VLOOKUP('Données projet'!$B$12,Paramètres!$A$1:$I$89,5,0)</f>
        <v>235.40399999999994</v>
      </c>
      <c r="CA76" s="14">
        <f t="shared" si="93"/>
        <v>57.449568653781753</v>
      </c>
      <c r="CB76" s="22">
        <f t="shared" si="64"/>
        <v>510.05329873866975</v>
      </c>
      <c r="CC76" s="62">
        <f t="shared" si="65"/>
        <v>777.83608293659154</v>
      </c>
      <c r="CD76" s="62">
        <f ca="1">AVERAGE(OFFSET($CC$3,0,0,'Données projet'!$E$12+1,1))-AVERAGE(OFFSET($H$3,0,0,'Données projet'!$E$12+1,1))</f>
        <v>426.87921482911719</v>
      </c>
      <c r="CE76" s="62">
        <f t="shared" si="94"/>
        <v>313.49594674441835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-1.1368683772161603E-13</v>
      </c>
      <c r="CU76" s="18">
        <f>CT76*VLOOKUP('Données projet'!$B$13,Paramètres!$A$1:$I$89,3,0)*VLOOKUP('Données projet'!$B$13,Paramètres!$A$1:$I$89,5,0)</f>
        <v>-6.7984728957526396E-14</v>
      </c>
      <c r="CV76" s="14" t="e">
        <f t="shared" si="95"/>
        <v>#NUM!</v>
      </c>
      <c r="CW76" s="22" t="e">
        <f t="shared" si="67"/>
        <v>#NUM!</v>
      </c>
      <c r="CX76" s="62" t="e">
        <f t="shared" si="68"/>
        <v>#NUM!</v>
      </c>
      <c r="CY76" s="62">
        <f ca="1">AVERAGE(OFFSET($CX$3,0,0,'Données projet'!$E$13+1,1))-AVERAGE(OFFSET($H$3,0,0,'Données projet'!$E$13+1,1))</f>
        <v>367.11994336501527</v>
      </c>
      <c r="CZ76" s="62">
        <f t="shared" si="96"/>
        <v>390.81417197867484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14.786686441750735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1.5523183516053758E-6</v>
      </c>
      <c r="DI76" s="24">
        <f t="shared" si="69"/>
        <v>14.786687994069087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1.9895196601282805E-13</v>
      </c>
      <c r="O77" s="14">
        <f>N77*VLOOKUP('Données projet'!$B$9,Paramètres!$A$1:$I$89,3,0)*VLOOKUP('Données projet'!$B$9,Paramètres!$A$1:$I$89,5,0)</f>
        <v>1.8001173884840681E-13</v>
      </c>
      <c r="P77" s="14">
        <f t="shared" si="87"/>
        <v>2.5254331426407198E-12</v>
      </c>
      <c r="Q77" s="22">
        <f t="shared" si="54"/>
        <v>4.7119831685935622E-12</v>
      </c>
      <c r="R77" s="62">
        <f t="shared" si="55"/>
        <v>268.22602910295558</v>
      </c>
      <c r="S77" s="62">
        <f ca="1">AVERAGE(OFFSET($R$3,0,0,'Données projet'!$E$9+1,1))-AVERAGE(OFFSET($H$3,0,0,'Données projet'!$E$9+1,1))</f>
        <v>312.43110610485337</v>
      </c>
      <c r="T77" s="62">
        <f t="shared" si="88"/>
        <v>442.54749157177571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0.22597258477667367</v>
      </c>
      <c r="AA77" s="23">
        <f>EXP(-LN(2)/25)*AA76+(1-EXP(-LN(2)/25))/(LN(2)/25)*Calculateur!V77*Calculateur!X77*VLOOKUP('Données projet'!$B$9,Paramètres!$A$1:$I$89,3,0)*0.475*44/12</f>
        <v>0.27797475767388813</v>
      </c>
      <c r="AB77" s="23">
        <f>EXP(-LN(2)/2)*AB76+(1-EXP(-LN(2)/2))/(LN(2)/2)*V77*Y77*VLOOKUP('Données projet'!$B$9,Paramètres!$A$1:$I$89,3,0)*0.475*44/12</f>
        <v>9.159241164940144E-7</v>
      </c>
      <c r="AC77" s="24">
        <f t="shared" si="57"/>
        <v>0.50394825837467827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7.6</v>
      </c>
      <c r="AI77" s="14">
        <f>IF('Données projet'!$A$62&gt;35,AI76+AH77-AQ76,IF(A77&lt;'Données projet'!$A$62,$AF$205^A77,IF(A77='Données projet'!$A$62,'Données projet'!$B$62,AI76+AH77-AQ76)))</f>
        <v>304.40000000000003</v>
      </c>
      <c r="AJ77" s="14">
        <f>AI77*VLOOKUP('Données projet'!$B$10,Paramètres!$A$1:$I$89,3,0)*VLOOKUP('Données projet'!$B$10,Paramètres!$A$1:$I$89,5,0)</f>
        <v>256.42656000000005</v>
      </c>
      <c r="AK77" s="14">
        <f t="shared" si="89"/>
        <v>61.960052520146306</v>
      </c>
      <c r="AL77" s="22">
        <f t="shared" si="58"/>
        <v>554.52335013925483</v>
      </c>
      <c r="AM77" s="62">
        <f t="shared" si="59"/>
        <v>822.74937924220569</v>
      </c>
      <c r="AN77" s="62">
        <f ca="1">AVERAGE(OFFSET($AM$3,0,0,'Données projet'!$E$10+1,1))-AVERAGE(OFFSET($H$3,0,0,'Données projet'!$E$10+1,1))</f>
        <v>445.02659128831181</v>
      </c>
      <c r="AO77" s="62">
        <f t="shared" si="90"/>
        <v>281.06176764290592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1.9528222053486644</v>
      </c>
      <c r="AV77" s="23">
        <f>EXP(-LN(2)/25)*AV76+(1-EXP(-LN(2)/25))/(LN(2)/25)*Calculateur!AQ77*Calculateur!AS77*VLOOKUP('Données projet'!$B$10,Paramètres!$A$1:$I$89,3,0)*0.475*44/12</f>
        <v>0.3297355746200607</v>
      </c>
      <c r="AW77" s="23">
        <f>EXP(-LN(2)/2)*AW76+(1-EXP(-LN(2)/2))/(LN(2)/2)*AQ77*AT77*VLOOKUP('Données projet'!$B$10,Paramètres!$A$1:$I$89,3,0)*0.475*44/12</f>
        <v>4.4930432611402646E-6</v>
      </c>
      <c r="AX77" s="23">
        <f t="shared" si="60"/>
        <v>2.2825622730119859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7.6</v>
      </c>
      <c r="BD77" s="13">
        <f>IF('Données projet'!$A$88&gt;35,BD76+BC77-BL76,IF(A77&lt;'Données projet'!$A$88,$BA$205^A77,IF(A77='Données projet'!$A$88,'Données projet'!$B$88,BD76+BC77-BL76)))</f>
        <v>304.40000000000003</v>
      </c>
      <c r="BE77" s="14">
        <f>BD77*VLOOKUP('Données projet'!$B$11,Paramètres!$A$1:$I$89,3,0)*VLOOKUP('Données projet'!$B$11,Paramètres!$A$1:$I$89,5,0)</f>
        <v>275.42112000000003</v>
      </c>
      <c r="BF77" s="14">
        <f t="shared" si="91"/>
        <v>65.998433293601067</v>
      </c>
      <c r="BG77" s="22">
        <f t="shared" si="61"/>
        <v>594.63905531968851</v>
      </c>
      <c r="BH77" s="62">
        <f t="shared" si="62"/>
        <v>862.86508442263937</v>
      </c>
      <c r="BI77" s="62">
        <f ca="1">AVERAGE(OFFSET($BH$3,0,0,'Données projet'!$E$11+1,1))-AVERAGE(OFFSET($H$3,0,0,'Données projet'!$E$11+1,1))</f>
        <v>472.46893084347687</v>
      </c>
      <c r="BJ77" s="62">
        <f t="shared" si="92"/>
        <v>297.32483725004136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2.097475702041157</v>
      </c>
      <c r="BQ77" s="23">
        <f>EXP(-LN(2)/25)*BQ76+(1-EXP(-LN(2)/25))/(LN(2)/25)*Calculateur!BL77*Calculateur!BN77*VLOOKUP('Données projet'!$B$11,Paramètres!$A$1:$I$89,3,0)*0.475*44/12</f>
        <v>0.3541604319993244</v>
      </c>
      <c r="BR77" s="23">
        <f>EXP(-LN(2)/2)*BR76+(1-EXP(-LN(2)/2))/(LN(2)/2)*BL77*BO77*VLOOKUP('Données projet'!$B$11,Paramètres!$A$1:$I$89,3,0)*0.475*44/12</f>
        <v>4.8258612804839861E-6</v>
      </c>
      <c r="BS77" s="24">
        <f t="shared" si="63"/>
        <v>2.4516409599017619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17</v>
      </c>
      <c r="BY77" s="13">
        <f>IF('Données projet'!$A$114&gt;35,BY76+BX77-CG76,IF(A77&lt;'Données projet'!$A$114,$BV$205^A77,IF(A77='Données projet'!$A$114,'Données projet'!$B$114,BY76+BX77-CG76)))</f>
        <v>519.99999999999989</v>
      </c>
      <c r="BZ77" s="14">
        <f>BY77*VLOOKUP('Données projet'!$B$12,Paramètres!$A$1:$I$89,3,0)*VLOOKUP('Données projet'!$B$12,Paramètres!$A$1:$I$89,5,0)</f>
        <v>243.35999999999996</v>
      </c>
      <c r="CA77" s="14">
        <f t="shared" si="93"/>
        <v>59.161864860837127</v>
      </c>
      <c r="CB77" s="22">
        <f t="shared" si="64"/>
        <v>526.89224796595784</v>
      </c>
      <c r="CC77" s="62">
        <f t="shared" si="65"/>
        <v>795.1182770689087</v>
      </c>
      <c r="CD77" s="62">
        <f ca="1">AVERAGE(OFFSET($CC$3,0,0,'Données projet'!$E$12+1,1))-AVERAGE(OFFSET($H$3,0,0,'Données projet'!$E$12+1,1))</f>
        <v>426.87921482911719</v>
      </c>
      <c r="CE77" s="62">
        <f t="shared" si="94"/>
        <v>313.49594674441835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-1.1368683772161603E-13</v>
      </c>
      <c r="CU77" s="18">
        <f>CT77*VLOOKUP('Données projet'!$B$13,Paramètres!$A$1:$I$89,3,0)*VLOOKUP('Données projet'!$B$13,Paramètres!$A$1:$I$89,5,0)</f>
        <v>-6.7984728957526396E-14</v>
      </c>
      <c r="CV77" s="14" t="e">
        <f t="shared" si="95"/>
        <v>#NUM!</v>
      </c>
      <c r="CW77" s="22" t="e">
        <f t="shared" si="67"/>
        <v>#NUM!</v>
      </c>
      <c r="CX77" s="62" t="e">
        <f t="shared" si="68"/>
        <v>#NUM!</v>
      </c>
      <c r="CY77" s="62">
        <f ca="1">AVERAGE(OFFSET($CX$3,0,0,'Données projet'!$E$13+1,1))-AVERAGE(OFFSET($H$3,0,0,'Données projet'!$E$13+1,1))</f>
        <v>367.11994336501527</v>
      </c>
      <c r="CZ77" s="62">
        <f t="shared" si="96"/>
        <v>390.81417197867484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14.496728539616182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1.0976548329804846E-6</v>
      </c>
      <c r="DI77" s="24">
        <f t="shared" si="69"/>
        <v>14.496729637271015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1.9895196601282805E-13</v>
      </c>
      <c r="O78" s="14">
        <f>N78*VLOOKUP('Données projet'!$B$9,Paramètres!$A$1:$I$89,3,0)*VLOOKUP('Données projet'!$B$9,Paramètres!$A$1:$I$89,5,0)</f>
        <v>1.8001173884840681E-13</v>
      </c>
      <c r="P78" s="14">
        <f t="shared" si="87"/>
        <v>2.5254331426407198E-12</v>
      </c>
      <c r="Q78" s="22">
        <f t="shared" si="54"/>
        <v>4.7119831685935622E-12</v>
      </c>
      <c r="R78" s="62">
        <f t="shared" si="55"/>
        <v>268.66158469982952</v>
      </c>
      <c r="S78" s="62">
        <f ca="1">AVERAGE(OFFSET($R$3,0,0,'Données projet'!$E$9+1,1))-AVERAGE(OFFSET($H$3,0,0,'Données projet'!$E$9+1,1))</f>
        <v>312.43110610485337</v>
      </c>
      <c r="T78" s="62">
        <f t="shared" si="88"/>
        <v>442.54749157177571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0.22154140021887025</v>
      </c>
      <c r="AA78" s="23">
        <f>EXP(-LN(2)/25)*AA77+(1-EXP(-LN(2)/25))/(LN(2)/25)*Calculateur!V78*Calculateur!X78*VLOOKUP('Données projet'!$B$9,Paramètres!$A$1:$I$89,3,0)*0.475*44/12</f>
        <v>0.27037352330723846</v>
      </c>
      <c r="AB78" s="23">
        <f>EXP(-LN(2)/2)*AB77+(1-EXP(-LN(2)/2))/(LN(2)/2)*V78*Y78*VLOOKUP('Données projet'!$B$9,Paramètres!$A$1:$I$89,3,0)*0.475*44/12</f>
        <v>6.476561538252149E-7</v>
      </c>
      <c r="AC78" s="24">
        <f t="shared" si="57"/>
        <v>0.49191557118226253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312</v>
      </c>
      <c r="AG78" s="13">
        <f>VLOOKUP(A78,'Données projet'!$A$61:$I$81,9,0)</f>
        <v>7.6</v>
      </c>
      <c r="AH78" s="13">
        <f t="array" ref="AH78">INDEX(AG:AG,MIN(IF(ISNUMBER(AG78:AG274),ROW(AG78:AG274),"")))</f>
        <v>7.6</v>
      </c>
      <c r="AI78" s="14">
        <f>IF('Données projet'!$A$62&gt;35,AI77+AH78-AQ77,IF(A78&lt;'Données projet'!$A$62,$AF$205^A78,IF(A78='Données projet'!$A$62,'Données projet'!$B$62,AI77+AH78-AQ77)))</f>
        <v>312.00000000000006</v>
      </c>
      <c r="AJ78" s="14">
        <f>AI78*VLOOKUP('Données projet'!$B$10,Paramètres!$A$1:$I$89,3,0)*VLOOKUP('Données projet'!$B$10,Paramètres!$A$1:$I$89,5,0)</f>
        <v>262.82880000000006</v>
      </c>
      <c r="AK78" s="14">
        <f t="shared" si="89"/>
        <v>63.324983518559485</v>
      </c>
      <c r="AL78" s="22">
        <f t="shared" si="58"/>
        <v>568.05117296149115</v>
      </c>
      <c r="AM78" s="62">
        <f t="shared" si="59"/>
        <v>836.71275766131589</v>
      </c>
      <c r="AN78" s="62">
        <f ca="1">AVERAGE(OFFSET($AM$3,0,0,'Données projet'!$E$10+1,1))-AVERAGE(OFFSET($H$3,0,0,'Données projet'!$E$10+1,1))</f>
        <v>445.02659128831181</v>
      </c>
      <c r="AO78" s="62">
        <f t="shared" si="90"/>
        <v>281.06176764290592</v>
      </c>
      <c r="AP78" s="16">
        <f>IF(ISNA(VLOOKUP(A78,'Données projet'!$A$61:$I$81,3,0)),0,VLOOKUP(A78,'Données projet'!$A$61:$I$81,3,0))</f>
        <v>12</v>
      </c>
      <c r="AQ78" s="16">
        <f>IF(ISNA(VLOOKUP(A78,'Données projet'!$A$61:$I$81,4,0)),0,VLOOKUP(A78,'Données projet'!$A$61:$I$81,4,0))</f>
        <v>28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1.9145285530057106</v>
      </c>
      <c r="AV78" s="23">
        <f>EXP(-LN(2)/25)*AV77+(1-EXP(-LN(2)/25))/(LN(2)/25)*Calculateur!AQ78*Calculateur!AS78*VLOOKUP('Données projet'!$B$10,Paramètres!$A$1:$I$89,3,0)*0.475*44/12</f>
        <v>0.32071893799203488</v>
      </c>
      <c r="AW78" s="23">
        <f>EXP(-LN(2)/2)*AW77+(1-EXP(-LN(2)/2))/(LN(2)/2)*AQ78*AT78*VLOOKUP('Données projet'!$B$10,Paramètres!$A$1:$I$89,3,0)*0.475*44/12</f>
        <v>3.177061358116801E-6</v>
      </c>
      <c r="AX78" s="23">
        <f t="shared" si="60"/>
        <v>2.2352506680591033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312</v>
      </c>
      <c r="BB78" s="13">
        <f>VLOOKUP(A78,'Données projet'!$A$87:$I$107,9,0)</f>
        <v>7.6</v>
      </c>
      <c r="BC78" s="13">
        <f t="array" ref="BC78">INDEX(BB:BB,MIN(IF(ISNUMBER(BB78:BB274),ROW(BB78:BB274),"")))</f>
        <v>7.6</v>
      </c>
      <c r="BD78" s="13">
        <f>IF('Données projet'!$A$88&gt;35,BD77+BC78-BL77,IF(A78&lt;'Données projet'!$A$88,$BA$205^A78,IF(A78='Données projet'!$A$88,'Données projet'!$B$88,BD77+BC78-BL77)))</f>
        <v>312.00000000000006</v>
      </c>
      <c r="BE78" s="14">
        <f>BD78*VLOOKUP('Données projet'!$B$11,Paramètres!$A$1:$I$89,3,0)*VLOOKUP('Données projet'!$B$11,Paramètres!$A$1:$I$89,5,0)</f>
        <v>282.29760000000005</v>
      </c>
      <c r="BF78" s="14">
        <f t="shared" si="91"/>
        <v>67.452326629470178</v>
      </c>
      <c r="BG78" s="22">
        <f t="shared" si="61"/>
        <v>609.14778887966054</v>
      </c>
      <c r="BH78" s="62">
        <f t="shared" si="62"/>
        <v>877.80937357948528</v>
      </c>
      <c r="BI78" s="62">
        <f ca="1">AVERAGE(OFFSET($BH$3,0,0,'Données projet'!$E$11+1,1))-AVERAGE(OFFSET($H$3,0,0,'Données projet'!$E$11+1,1))</f>
        <v>472.46893084347687</v>
      </c>
      <c r="BJ78" s="62">
        <f t="shared" si="92"/>
        <v>297.32483725004136</v>
      </c>
      <c r="BK78" s="16">
        <f>IF(ISNA(VLOOKUP(A78,'Données projet'!$A$87:$I$107,3,0)),0,VLOOKUP(A78,'Données projet'!$A$87:$I$107,3,0))</f>
        <v>12</v>
      </c>
      <c r="BL78" s="16">
        <f>IF(ISNA(VLOOKUP(A78,'Données projet'!$A$87:$I$107,4,0)),0,VLOOKUP(A78,'Données projet'!$A$87:$I$107,4,0))</f>
        <v>28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2.0563454828579846</v>
      </c>
      <c r="BQ78" s="23">
        <f>EXP(-LN(2)/25)*BQ77+(1-EXP(-LN(2)/25))/(LN(2)/25)*Calculateur!BL78*Calculateur!BN78*VLOOKUP('Données projet'!$B$11,Paramètres!$A$1:$I$89,3,0)*0.475*44/12</f>
        <v>0.34447589636181519</v>
      </c>
      <c r="BR78" s="23">
        <f>EXP(-LN(2)/2)*BR77+(1-EXP(-LN(2)/2))/(LN(2)/2)*BL78*BO78*VLOOKUP('Données projet'!$B$11,Paramètres!$A$1:$I$89,3,0)*0.475*44/12</f>
        <v>3.4123992364958221E-6</v>
      </c>
      <c r="BS78" s="24">
        <f t="shared" si="63"/>
        <v>2.4008247916190362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17</v>
      </c>
      <c r="BY78" s="13">
        <f>IF('Données projet'!$A$114&gt;35,BY77+BX78-CG77,IF(A78&lt;'Données projet'!$A$114,$BV$205^A78,IF(A78='Données projet'!$A$114,'Données projet'!$B$114,BY77+BX78-CG77)))</f>
        <v>536.99999999999989</v>
      </c>
      <c r="BZ78" s="14">
        <f>BY78*VLOOKUP('Données projet'!$B$12,Paramètres!$A$1:$I$89,3,0)*VLOOKUP('Données projet'!$B$12,Paramètres!$A$1:$I$89,5,0)</f>
        <v>251.31599999999997</v>
      </c>
      <c r="CA78" s="14">
        <f t="shared" si="93"/>
        <v>60.86765628024984</v>
      </c>
      <c r="CB78" s="22">
        <f t="shared" si="64"/>
        <v>543.71986802143499</v>
      </c>
      <c r="CC78" s="62">
        <f t="shared" si="65"/>
        <v>812.38145272125985</v>
      </c>
      <c r="CD78" s="62">
        <f ca="1">AVERAGE(OFFSET($CC$3,0,0,'Données projet'!$E$12+1,1))-AVERAGE(OFFSET($H$3,0,0,'Données projet'!$E$12+1,1))</f>
        <v>426.87921482911719</v>
      </c>
      <c r="CE78" s="62">
        <f t="shared" si="94"/>
        <v>313.49594674441835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-1.1368683772161603E-13</v>
      </c>
      <c r="CU78" s="18">
        <f>CT78*VLOOKUP('Données projet'!$B$13,Paramètres!$A$1:$I$89,3,0)*VLOOKUP('Données projet'!$B$13,Paramètres!$A$1:$I$89,5,0)</f>
        <v>-6.7984728957526396E-14</v>
      </c>
      <c r="CV78" s="14" t="e">
        <f t="shared" si="95"/>
        <v>#NUM!</v>
      </c>
      <c r="CW78" s="22" t="e">
        <f t="shared" si="67"/>
        <v>#NUM!</v>
      </c>
      <c r="CX78" s="62" t="e">
        <f t="shared" si="68"/>
        <v>#NUM!</v>
      </c>
      <c r="CY78" s="62">
        <f ca="1">AVERAGE(OFFSET($CX$3,0,0,'Données projet'!$E$13+1,1))-AVERAGE(OFFSET($H$3,0,0,'Données projet'!$E$13+1,1))</f>
        <v>367.11994336501527</v>
      </c>
      <c r="CZ78" s="62">
        <f t="shared" si="96"/>
        <v>390.81417197867484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14.21245653508563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7.7615917580268792E-7</v>
      </c>
      <c r="DI78" s="24">
        <f t="shared" si="69"/>
        <v>14.212457311244806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1.9895196601282805E-13</v>
      </c>
      <c r="O79" s="14">
        <f>N79*VLOOKUP('Données projet'!$B$9,Paramètres!$A$1:$I$89,3,0)*VLOOKUP('Données projet'!$B$9,Paramètres!$A$1:$I$89,5,0)</f>
        <v>1.8001173884840681E-13</v>
      </c>
      <c r="P79" s="14">
        <f t="shared" si="87"/>
        <v>2.5254331426407198E-12</v>
      </c>
      <c r="Q79" s="22">
        <f t="shared" si="54"/>
        <v>4.7119831685935622E-12</v>
      </c>
      <c r="R79" s="62">
        <f t="shared" si="55"/>
        <v>269.08958438085415</v>
      </c>
      <c r="S79" s="62">
        <f ca="1">AVERAGE(OFFSET($R$3,0,0,'Données projet'!$E$9+1,1))-AVERAGE(OFFSET($H$3,0,0,'Données projet'!$E$9+1,1))</f>
        <v>312.43110610485337</v>
      </c>
      <c r="T79" s="62">
        <f t="shared" si="88"/>
        <v>442.54749157177571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0.21719710848748966</v>
      </c>
      <c r="AA79" s="23">
        <f>EXP(-LN(2)/25)*AA78+(1-EXP(-LN(2)/25))/(LN(2)/25)*Calculateur!V79*Calculateur!X79*VLOOKUP('Données projet'!$B$9,Paramètres!$A$1:$I$89,3,0)*0.475*44/12</f>
        <v>0.26298014509407636</v>
      </c>
      <c r="AB79" s="23">
        <f>EXP(-LN(2)/2)*AB78+(1-EXP(-LN(2)/2))/(LN(2)/2)*V79*Y79*VLOOKUP('Données projet'!$B$9,Paramètres!$A$1:$I$89,3,0)*0.475*44/12</f>
        <v>4.579620582470072E-7</v>
      </c>
      <c r="AC79" s="24">
        <f t="shared" si="57"/>
        <v>0.48017771154362426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7.2</v>
      </c>
      <c r="AI79" s="14">
        <f>IF('Données projet'!$A$62&gt;35,AI78+AH79-AQ78,IF(A79&lt;'Données projet'!$A$62,$AF$205^A79,IF(A79='Données projet'!$A$62,'Données projet'!$B$62,AI78+AH79-AQ78)))</f>
        <v>291.20000000000005</v>
      </c>
      <c r="AJ79" s="14">
        <f>AI79*VLOOKUP('Données projet'!$B$10,Paramètres!$A$1:$I$89,3,0)*VLOOKUP('Données projet'!$B$10,Paramètres!$A$1:$I$89,5,0)</f>
        <v>245.30688000000009</v>
      </c>
      <c r="AK79" s="14">
        <f t="shared" si="89"/>
        <v>59.579874112906374</v>
      </c>
      <c r="AL79" s="22">
        <f t="shared" si="58"/>
        <v>531.01109674664542</v>
      </c>
      <c r="AM79" s="62">
        <f t="shared" si="59"/>
        <v>800.10068112749491</v>
      </c>
      <c r="AN79" s="62">
        <f ca="1">AVERAGE(OFFSET($AM$3,0,0,'Données projet'!$E$10+1,1))-AVERAGE(OFFSET($H$3,0,0,'Données projet'!$E$10+1,1))</f>
        <v>445.02659128831181</v>
      </c>
      <c r="AO79" s="62">
        <f t="shared" si="90"/>
        <v>281.06176764290592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1.8769858158283805</v>
      </c>
      <c r="AV79" s="23">
        <f>EXP(-LN(2)/25)*AV78+(1-EXP(-LN(2)/25))/(LN(2)/25)*Calculateur!AQ79*Calculateur!AS79*VLOOKUP('Données projet'!$B$10,Paramètres!$A$1:$I$89,3,0)*0.475*44/12</f>
        <v>0.31194886176676673</v>
      </c>
      <c r="AW79" s="23">
        <f>EXP(-LN(2)/2)*AW78+(1-EXP(-LN(2)/2))/(LN(2)/2)*AQ79*AT79*VLOOKUP('Données projet'!$B$10,Paramètres!$A$1:$I$89,3,0)*0.475*44/12</f>
        <v>2.2465216305701323E-6</v>
      </c>
      <c r="AX79" s="23">
        <f t="shared" si="60"/>
        <v>2.1889369241167778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7.2</v>
      </c>
      <c r="BD79" s="13">
        <f>IF('Données projet'!$A$88&gt;35,BD78+BC79-BL78,IF(A79&lt;'Données projet'!$A$88,$BA$205^A79,IF(A79='Données projet'!$A$88,'Données projet'!$B$88,BD78+BC79-BL78)))</f>
        <v>291.20000000000005</v>
      </c>
      <c r="BE79" s="14">
        <f>BD79*VLOOKUP('Données projet'!$B$11,Paramètres!$A$1:$I$89,3,0)*VLOOKUP('Données projet'!$B$11,Paramètres!$A$1:$I$89,5,0)</f>
        <v>263.47776000000005</v>
      </c>
      <c r="BF79" s="14">
        <f t="shared" si="91"/>
        <v>63.46312159763346</v>
      </c>
      <c r="BG79" s="22">
        <f t="shared" si="61"/>
        <v>569.42203544921165</v>
      </c>
      <c r="BH79" s="62">
        <f t="shared" si="62"/>
        <v>838.51161983006114</v>
      </c>
      <c r="BI79" s="62">
        <f ca="1">AVERAGE(OFFSET($BH$3,0,0,'Données projet'!$E$11+1,1))-AVERAGE(OFFSET($H$3,0,0,'Données projet'!$E$11+1,1))</f>
        <v>472.46893084347687</v>
      </c>
      <c r="BJ79" s="62">
        <f t="shared" si="92"/>
        <v>297.32483725004136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2.0160218021860374</v>
      </c>
      <c r="BQ79" s="23">
        <f>EXP(-LN(2)/25)*BQ78+(1-EXP(-LN(2)/25))/(LN(2)/25)*Calculateur!BL79*Calculateur!BN79*VLOOKUP('Données projet'!$B$11,Paramètres!$A$1:$I$89,3,0)*0.475*44/12</f>
        <v>0.33505618486060129</v>
      </c>
      <c r="BR79" s="23">
        <f>EXP(-LN(2)/2)*BR78+(1-EXP(-LN(2)/2))/(LN(2)/2)*BL79*BO79*VLOOKUP('Données projet'!$B$11,Paramètres!$A$1:$I$89,3,0)*0.475*44/12</f>
        <v>2.4129306402419931E-6</v>
      </c>
      <c r="BS79" s="24">
        <f t="shared" si="63"/>
        <v>2.3510803999772789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17</v>
      </c>
      <c r="BY79" s="13">
        <f>IF('Données projet'!$A$114&gt;35,BY78+BX79-CG78,IF(A79&lt;'Données projet'!$A$114,$BV$205^A79,IF(A79='Données projet'!$A$114,'Données projet'!$B$114,BY78+BX79-CG78)))</f>
        <v>553.99999999999989</v>
      </c>
      <c r="BZ79" s="14">
        <f>BY79*VLOOKUP('Données projet'!$B$12,Paramètres!$A$1:$I$89,3,0)*VLOOKUP('Données projet'!$B$12,Paramètres!$A$1:$I$89,5,0)</f>
        <v>259.27199999999993</v>
      </c>
      <c r="CA79" s="14">
        <f t="shared" si="93"/>
        <v>62.567172460757938</v>
      </c>
      <c r="CB79" s="22">
        <f t="shared" si="64"/>
        <v>560.53655870248667</v>
      </c>
      <c r="CC79" s="62">
        <f t="shared" si="65"/>
        <v>829.62614308333605</v>
      </c>
      <c r="CD79" s="62">
        <f ca="1">AVERAGE(OFFSET($CC$3,0,0,'Données projet'!$E$12+1,1))-AVERAGE(OFFSET($H$3,0,0,'Données projet'!$E$12+1,1))</f>
        <v>426.87921482911719</v>
      </c>
      <c r="CE79" s="62">
        <f t="shared" si="94"/>
        <v>313.49594674441835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-1.1368683772161603E-13</v>
      </c>
      <c r="CU79" s="18">
        <f>CT79*VLOOKUP('Données projet'!$B$13,Paramètres!$A$1:$I$89,3,0)*VLOOKUP('Données projet'!$B$13,Paramètres!$A$1:$I$89,5,0)</f>
        <v>-6.7984728957526396E-14</v>
      </c>
      <c r="CV79" s="14" t="e">
        <f t="shared" si="95"/>
        <v>#NUM!</v>
      </c>
      <c r="CW79" s="22" t="e">
        <f t="shared" si="67"/>
        <v>#NUM!</v>
      </c>
      <c r="CX79" s="62" t="e">
        <f t="shared" si="68"/>
        <v>#NUM!</v>
      </c>
      <c r="CY79" s="62">
        <f ca="1">AVERAGE(OFFSET($CX$3,0,0,'Données projet'!$E$13+1,1))-AVERAGE(OFFSET($H$3,0,0,'Données projet'!$E$13+1,1))</f>
        <v>367.11994336501527</v>
      </c>
      <c r="CZ79" s="62">
        <f t="shared" si="96"/>
        <v>390.81417197867484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13.93375893117512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5.4882741649024231E-7</v>
      </c>
      <c r="DI79" s="24">
        <f t="shared" si="69"/>
        <v>13.933759480002538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1.9895196601282805E-13</v>
      </c>
      <c r="O80" s="14">
        <f>N80*VLOOKUP('Données projet'!$B$9,Paramètres!$A$1:$I$89,3,0)*VLOOKUP('Données projet'!$B$9,Paramètres!$A$1:$I$89,5,0)</f>
        <v>1.8001173884840681E-13</v>
      </c>
      <c r="P80" s="14">
        <f t="shared" si="87"/>
        <v>2.5254331426407198E-12</v>
      </c>
      <c r="Q80" s="22">
        <f t="shared" si="54"/>
        <v>4.7119831685935622E-12</v>
      </c>
      <c r="R80" s="62">
        <f t="shared" si="55"/>
        <v>269.510159224277</v>
      </c>
      <c r="S80" s="62">
        <f ca="1">AVERAGE(OFFSET($R$3,0,0,'Données projet'!$E$9+1,1))-AVERAGE(OFFSET($H$3,0,0,'Données projet'!$E$9+1,1))</f>
        <v>312.43110610485337</v>
      </c>
      <c r="T80" s="62">
        <f t="shared" si="88"/>
        <v>442.54749157177571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0.21293800566720514</v>
      </c>
      <c r="AA80" s="23">
        <f>EXP(-LN(2)/25)*AA79+(1-EXP(-LN(2)/25))/(LN(2)/25)*Calculateur!V80*Calculateur!X80*VLOOKUP('Données projet'!$B$9,Paramètres!$A$1:$I$89,3,0)*0.475*44/12</f>
        <v>0.25578893919695406</v>
      </c>
      <c r="AB80" s="23">
        <f>EXP(-LN(2)/2)*AB79+(1-EXP(-LN(2)/2))/(LN(2)/2)*V80*Y80*VLOOKUP('Données projet'!$B$9,Paramètres!$A$1:$I$89,3,0)*0.475*44/12</f>
        <v>3.2382807691260745E-7</v>
      </c>
      <c r="AC80" s="24">
        <f t="shared" si="57"/>
        <v>0.46872726869223613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7.2</v>
      </c>
      <c r="AI80" s="14">
        <f>IF('Données projet'!$A$62&gt;35,AI79+AH80-AQ79,IF(A80&lt;'Données projet'!$A$62,$AF$205^A80,IF(A80='Données projet'!$A$62,'Données projet'!$B$62,AI79+AH80-AQ79)))</f>
        <v>298.40000000000003</v>
      </c>
      <c r="AJ80" s="14">
        <f>AI80*VLOOKUP('Données projet'!$B$10,Paramètres!$A$1:$I$89,3,0)*VLOOKUP('Données projet'!$B$10,Paramètres!$A$1:$I$89,5,0)</f>
        <v>251.37216000000004</v>
      </c>
      <c r="AK80" s="14">
        <f t="shared" si="89"/>
        <v>60.879674595707343</v>
      </c>
      <c r="AL80" s="22">
        <f t="shared" si="58"/>
        <v>543.83861192085692</v>
      </c>
      <c r="AM80" s="62">
        <f t="shared" si="59"/>
        <v>813.34877114512915</v>
      </c>
      <c r="AN80" s="62">
        <f ca="1">AVERAGE(OFFSET($AM$3,0,0,'Données projet'!$E$10+1,1))-AVERAGE(OFFSET($H$3,0,0,'Données projet'!$E$10+1,1))</f>
        <v>445.02659128831181</v>
      </c>
      <c r="AO80" s="62">
        <f t="shared" si="90"/>
        <v>281.06176764290592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1.8401792688282892</v>
      </c>
      <c r="AV80" s="23">
        <f>EXP(-LN(2)/25)*AV79+(1-EXP(-LN(2)/25))/(LN(2)/25)*Calculateur!AQ80*Calculateur!AS80*VLOOKUP('Données projet'!$B$10,Paramètres!$A$1:$I$89,3,0)*0.475*44/12</f>
        <v>0.3034186037370768</v>
      </c>
      <c r="AW80" s="23">
        <f>EXP(-LN(2)/2)*AW79+(1-EXP(-LN(2)/2))/(LN(2)/2)*AQ80*AT80*VLOOKUP('Données projet'!$B$10,Paramètres!$A$1:$I$89,3,0)*0.475*44/12</f>
        <v>1.5885306790584005E-6</v>
      </c>
      <c r="AX80" s="23">
        <f t="shared" si="60"/>
        <v>2.1435994610960449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7.2</v>
      </c>
      <c r="BD80" s="13">
        <f>IF('Données projet'!$A$88&gt;35,BD79+BC80-BL79,IF(A80&lt;'Données projet'!$A$88,$BA$205^A80,IF(A80='Données projet'!$A$88,'Données projet'!$B$88,BD79+BC80-BL79)))</f>
        <v>298.40000000000003</v>
      </c>
      <c r="BE80" s="14">
        <f>BD80*VLOOKUP('Données projet'!$B$11,Paramètres!$A$1:$I$89,3,0)*VLOOKUP('Données projet'!$B$11,Paramètres!$A$1:$I$89,5,0)</f>
        <v>269.99232000000001</v>
      </c>
      <c r="BF80" s="14">
        <f t="shared" si="91"/>
        <v>64.847639395310296</v>
      </c>
      <c r="BG80" s="22">
        <f t="shared" si="61"/>
        <v>583.17959594683214</v>
      </c>
      <c r="BH80" s="62">
        <f t="shared" si="62"/>
        <v>852.68975517110448</v>
      </c>
      <c r="BI80" s="62">
        <f ca="1">AVERAGE(OFFSET($BH$3,0,0,'Données projet'!$E$11+1,1))-AVERAGE(OFFSET($H$3,0,0,'Données projet'!$E$11+1,1))</f>
        <v>472.46893084347687</v>
      </c>
      <c r="BJ80" s="62">
        <f t="shared" si="92"/>
        <v>297.32483725004136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1.9764888442970505</v>
      </c>
      <c r="BQ80" s="23">
        <f>EXP(-LN(2)/25)*BQ79+(1-EXP(-LN(2)/25))/(LN(2)/25)*Calculateur!BL80*Calculateur!BN80*VLOOKUP('Données projet'!$B$11,Paramètres!$A$1:$I$89,3,0)*0.475*44/12</f>
        <v>0.32589405586574915</v>
      </c>
      <c r="BR80" s="23">
        <f>EXP(-LN(2)/2)*BR79+(1-EXP(-LN(2)/2))/(LN(2)/2)*BL80*BO80*VLOOKUP('Données projet'!$B$11,Paramètres!$A$1:$I$89,3,0)*0.475*44/12</f>
        <v>1.706199618247911E-6</v>
      </c>
      <c r="BS80" s="24">
        <f t="shared" si="63"/>
        <v>2.3023846063624176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17</v>
      </c>
      <c r="BY80" s="13">
        <f>IF('Données projet'!$A$114&gt;35,BY79+BX80-CG79,IF(A80&lt;'Données projet'!$A$114,$BV$205^A80,IF(A80='Données projet'!$A$114,'Données projet'!$B$114,BY79+BX80-CG79)))</f>
        <v>570.99999999999989</v>
      </c>
      <c r="BZ80" s="14">
        <f>BY80*VLOOKUP('Données projet'!$B$12,Paramètres!$A$1:$I$89,3,0)*VLOOKUP('Données projet'!$B$12,Paramètres!$A$1:$I$89,5,0)</f>
        <v>267.22799999999995</v>
      </c>
      <c r="CA80" s="14">
        <f t="shared" si="93"/>
        <v>64.260628062866161</v>
      </c>
      <c r="CB80" s="22">
        <f t="shared" si="64"/>
        <v>577.34269387615848</v>
      </c>
      <c r="CC80" s="62">
        <f t="shared" si="65"/>
        <v>846.85285310043082</v>
      </c>
      <c r="CD80" s="62">
        <f ca="1">AVERAGE(OFFSET($CC$3,0,0,'Données projet'!$E$12+1,1))-AVERAGE(OFFSET($H$3,0,0,'Données projet'!$E$12+1,1))</f>
        <v>426.87921482911719</v>
      </c>
      <c r="CE80" s="62">
        <f t="shared" si="94"/>
        <v>313.49594674441835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-1.1368683772161603E-13</v>
      </c>
      <c r="CU80" s="18">
        <f>CT80*VLOOKUP('Données projet'!$B$13,Paramètres!$A$1:$I$89,3,0)*VLOOKUP('Données projet'!$B$13,Paramètres!$A$1:$I$89,5,0)</f>
        <v>-6.7984728957526396E-14</v>
      </c>
      <c r="CV80" s="14" t="e">
        <f t="shared" si="95"/>
        <v>#NUM!</v>
      </c>
      <c r="CW80" s="22" t="e">
        <f t="shared" si="67"/>
        <v>#NUM!</v>
      </c>
      <c r="CX80" s="62" t="e">
        <f t="shared" si="68"/>
        <v>#NUM!</v>
      </c>
      <c r="CY80" s="62">
        <f ca="1">AVERAGE(OFFSET($CX$3,0,0,'Données projet'!$E$13+1,1))-AVERAGE(OFFSET($H$3,0,0,'Données projet'!$E$13+1,1))</f>
        <v>367.11994336501527</v>
      </c>
      <c r="CZ80" s="62">
        <f t="shared" si="96"/>
        <v>390.81417197867484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13.660526417288542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3.8807958790134396E-7</v>
      </c>
      <c r="DI80" s="24">
        <f t="shared" si="69"/>
        <v>13.66052680536813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1.9895196601282805E-13</v>
      </c>
      <c r="O81" s="14">
        <f>N81*VLOOKUP('Données projet'!$B$9,Paramètres!$A$1:$I$89,3,0)*VLOOKUP('Données projet'!$B$9,Paramètres!$A$1:$I$89,5,0)</f>
        <v>1.8001173884840681E-13</v>
      </c>
      <c r="P81" s="14">
        <f t="shared" si="87"/>
        <v>2.5254331426407198E-12</v>
      </c>
      <c r="Q81" s="22">
        <f t="shared" si="54"/>
        <v>4.7119831685935622E-12</v>
      </c>
      <c r="R81" s="62">
        <f t="shared" si="55"/>
        <v>269.92343803443094</v>
      </c>
      <c r="S81" s="62">
        <f ca="1">AVERAGE(OFFSET($R$3,0,0,'Données projet'!$E$9+1,1))-AVERAGE(OFFSET($H$3,0,0,'Données projet'!$E$9+1,1))</f>
        <v>312.43110610485337</v>
      </c>
      <c r="T81" s="62">
        <f t="shared" si="88"/>
        <v>442.54749157177571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0.20876242125543018</v>
      </c>
      <c r="AA81" s="23">
        <f>EXP(-LN(2)/25)*AA80+(1-EXP(-LN(2)/25))/(LN(2)/25)*Calculateur!V81*Calculateur!X81*VLOOKUP('Données projet'!$B$9,Paramètres!$A$1:$I$89,3,0)*0.475*44/12</f>
        <v>0.24879437720325764</v>
      </c>
      <c r="AB81" s="23">
        <f>EXP(-LN(2)/2)*AB80+(1-EXP(-LN(2)/2))/(LN(2)/2)*V81*Y81*VLOOKUP('Données projet'!$B$9,Paramètres!$A$1:$I$89,3,0)*0.475*44/12</f>
        <v>2.289810291235036E-7</v>
      </c>
      <c r="AC81" s="24">
        <f t="shared" si="57"/>
        <v>0.45755702743971693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7.2</v>
      </c>
      <c r="AI81" s="14">
        <f>IF('Données projet'!$A$62&gt;35,AI80+AH81-AQ80,IF(A81&lt;'Données projet'!$A$62,$AF$205^A81,IF(A81='Données projet'!$A$62,'Données projet'!$B$62,AI80+AH81-AQ80)))</f>
        <v>305.60000000000002</v>
      </c>
      <c r="AJ81" s="14">
        <f>AI81*VLOOKUP('Données projet'!$B$10,Paramètres!$A$1:$I$89,3,0)*VLOOKUP('Données projet'!$B$10,Paramètres!$A$1:$I$89,5,0)</f>
        <v>257.43744000000004</v>
      </c>
      <c r="AK81" s="14">
        <f t="shared" si="89"/>
        <v>62.175829233865038</v>
      </c>
      <c r="AL81" s="22">
        <f t="shared" si="58"/>
        <v>556.65977724898164</v>
      </c>
      <c r="AM81" s="62">
        <f t="shared" si="59"/>
        <v>826.58321528340787</v>
      </c>
      <c r="AN81" s="62">
        <f ca="1">AVERAGE(OFFSET($AM$3,0,0,'Données projet'!$E$10+1,1))-AVERAGE(OFFSET($H$3,0,0,'Données projet'!$E$10+1,1))</f>
        <v>445.02659128831181</v>
      </c>
      <c r="AO81" s="62">
        <f t="shared" si="90"/>
        <v>281.06176764290592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1.8040944757650927</v>
      </c>
      <c r="AV81" s="23">
        <f>EXP(-LN(2)/25)*AV80+(1-EXP(-LN(2)/25))/(LN(2)/25)*Calculateur!AQ81*Calculateur!AS81*VLOOKUP('Données projet'!$B$10,Paramètres!$A$1:$I$89,3,0)*0.475*44/12</f>
        <v>0.29512160606179555</v>
      </c>
      <c r="AW81" s="23">
        <f>EXP(-LN(2)/2)*AW80+(1-EXP(-LN(2)/2))/(LN(2)/2)*AQ81*AT81*VLOOKUP('Données projet'!$B$10,Paramètres!$A$1:$I$89,3,0)*0.475*44/12</f>
        <v>1.1232608152850661E-6</v>
      </c>
      <c r="AX81" s="23">
        <f t="shared" si="60"/>
        <v>2.0992172050877036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7.2</v>
      </c>
      <c r="BD81" s="13">
        <f>IF('Données projet'!$A$88&gt;35,BD80+BC81-BL80,IF(A81&lt;'Données projet'!$A$88,$BA$205^A81,IF(A81='Données projet'!$A$88,'Données projet'!$B$88,BD80+BC81-BL80)))</f>
        <v>305.60000000000002</v>
      </c>
      <c r="BE81" s="14">
        <f>BD81*VLOOKUP('Données projet'!$B$11,Paramètres!$A$1:$I$89,3,0)*VLOOKUP('Données projet'!$B$11,Paramètres!$A$1:$I$89,5,0)</f>
        <v>276.50687999999997</v>
      </c>
      <c r="BF81" s="14">
        <f t="shared" si="91"/>
        <v>66.228273722513677</v>
      </c>
      <c r="BG81" s="22">
        <f t="shared" si="61"/>
        <v>596.93039273337797</v>
      </c>
      <c r="BH81" s="62">
        <f t="shared" si="62"/>
        <v>866.8538307678042</v>
      </c>
      <c r="BI81" s="62">
        <f ca="1">AVERAGE(OFFSET($BH$3,0,0,'Données projet'!$E$11+1,1))-AVERAGE(OFFSET($H$3,0,0,'Données projet'!$E$11+1,1))</f>
        <v>472.46893084347687</v>
      </c>
      <c r="BJ81" s="62">
        <f t="shared" si="92"/>
        <v>297.32483725004136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1.9377311035995433</v>
      </c>
      <c r="BQ81" s="23">
        <f>EXP(-LN(2)/25)*BQ80+(1-EXP(-LN(2)/25))/(LN(2)/25)*Calculateur!BL81*Calculateur!BN81*VLOOKUP('Données projet'!$B$11,Paramètres!$A$1:$I$89,3,0)*0.475*44/12</f>
        <v>0.31698246577007666</v>
      </c>
      <c r="BR81" s="23">
        <f>EXP(-LN(2)/2)*BR80+(1-EXP(-LN(2)/2))/(LN(2)/2)*BL81*BO81*VLOOKUP('Données projet'!$B$11,Paramètres!$A$1:$I$89,3,0)*0.475*44/12</f>
        <v>1.2064653201209965E-6</v>
      </c>
      <c r="BS81" s="24">
        <f t="shared" si="63"/>
        <v>2.2547147758349402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17</v>
      </c>
      <c r="BY81" s="13">
        <f>IF('Données projet'!$A$114&gt;35,BY80+BX81-CG80,IF(A81&lt;'Données projet'!$A$114,$BV$205^A81,IF(A81='Données projet'!$A$114,'Données projet'!$B$114,BY80+BX81-CG80)))</f>
        <v>587.99999999999989</v>
      </c>
      <c r="BZ81" s="14">
        <f>BY81*VLOOKUP('Données projet'!$B$12,Paramètres!$A$1:$I$89,3,0)*VLOOKUP('Données projet'!$B$12,Paramètres!$A$1:$I$89,5,0)</f>
        <v>275.18399999999997</v>
      </c>
      <c r="CA81" s="14">
        <f t="shared" si="93"/>
        <v>65.948224238651079</v>
      </c>
      <c r="CB81" s="22">
        <f t="shared" si="64"/>
        <v>594.13862388231712</v>
      </c>
      <c r="CC81" s="62">
        <f t="shared" si="65"/>
        <v>864.06206191674335</v>
      </c>
      <c r="CD81" s="62">
        <f ca="1">AVERAGE(OFFSET($CC$3,0,0,'Données projet'!$E$12+1,1))-AVERAGE(OFFSET($H$3,0,0,'Données projet'!$E$12+1,1))</f>
        <v>426.87921482911719</v>
      </c>
      <c r="CE81" s="62">
        <f t="shared" si="94"/>
        <v>313.49594674441835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-1.1368683772161603E-13</v>
      </c>
      <c r="CU81" s="18">
        <f>CT81*VLOOKUP('Données projet'!$B$13,Paramètres!$A$1:$I$89,3,0)*VLOOKUP('Données projet'!$B$13,Paramètres!$A$1:$I$89,5,0)</f>
        <v>-6.7984728957526396E-14</v>
      </c>
      <c r="CV81" s="14" t="e">
        <f t="shared" si="95"/>
        <v>#NUM!</v>
      </c>
      <c r="CW81" s="22" t="e">
        <f t="shared" si="67"/>
        <v>#NUM!</v>
      </c>
      <c r="CX81" s="62" t="e">
        <f t="shared" si="68"/>
        <v>#NUM!</v>
      </c>
      <c r="CY81" s="62">
        <f ca="1">AVERAGE(OFFSET($CX$3,0,0,'Données projet'!$E$13+1,1))-AVERAGE(OFFSET($H$3,0,0,'Données projet'!$E$13+1,1))</f>
        <v>367.11994336501527</v>
      </c>
      <c r="CZ81" s="62">
        <f t="shared" si="96"/>
        <v>390.81417197867484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13.392651826343902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2.7441370824512115E-7</v>
      </c>
      <c r="DI81" s="24">
        <f t="shared" si="69"/>
        <v>13.39265210075761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1.9895196601282805E-13</v>
      </c>
      <c r="O82" s="14">
        <f>N82*VLOOKUP('Données projet'!$B$9,Paramètres!$A$1:$I$89,3,0)*VLOOKUP('Données projet'!$B$9,Paramètres!$A$1:$I$89,5,0)</f>
        <v>1.8001173884840681E-13</v>
      </c>
      <c r="P82" s="14">
        <f t="shared" si="87"/>
        <v>2.5254331426407198E-12</v>
      </c>
      <c r="Q82" s="22">
        <f t="shared" si="54"/>
        <v>4.7119831685935622E-12</v>
      </c>
      <c r="R82" s="62">
        <f t="shared" si="55"/>
        <v>270.32954738118167</v>
      </c>
      <c r="S82" s="62">
        <f ca="1">AVERAGE(OFFSET($R$3,0,0,'Données projet'!$E$9+1,1))-AVERAGE(OFFSET($H$3,0,0,'Données projet'!$E$9+1,1))</f>
        <v>312.43110610485337</v>
      </c>
      <c r="T82" s="62">
        <f t="shared" si="88"/>
        <v>442.54749157177571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0.20466871750711513</v>
      </c>
      <c r="AA82" s="23">
        <f>EXP(-LN(2)/25)*AA81+(1-EXP(-LN(2)/25))/(LN(2)/25)*Calculateur!V82*Calculateur!X82*VLOOKUP('Données projet'!$B$9,Paramètres!$A$1:$I$89,3,0)*0.475*44/12</f>
        <v>0.2419910818751069</v>
      </c>
      <c r="AB82" s="23">
        <f>EXP(-LN(2)/2)*AB81+(1-EXP(-LN(2)/2))/(LN(2)/2)*V82*Y82*VLOOKUP('Données projet'!$B$9,Paramètres!$A$1:$I$89,3,0)*0.475*44/12</f>
        <v>1.6191403845630372E-7</v>
      </c>
      <c r="AC82" s="24">
        <f t="shared" si="57"/>
        <v>0.44665996129626045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7.2</v>
      </c>
      <c r="AI82" s="14">
        <f>IF('Données projet'!$A$62&gt;35,AI81+AH82-AQ81,IF(A82&lt;'Données projet'!$A$62,$AF$205^A82,IF(A82='Données projet'!$A$62,'Données projet'!$B$62,AI81+AH82-AQ81)))</f>
        <v>312.8</v>
      </c>
      <c r="AJ82" s="14">
        <f>AI82*VLOOKUP('Données projet'!$B$10,Paramètres!$A$1:$I$89,3,0)*VLOOKUP('Données projet'!$B$10,Paramètres!$A$1:$I$89,5,0)</f>
        <v>263.50272000000001</v>
      </c>
      <c r="AK82" s="14">
        <f t="shared" si="89"/>
        <v>63.468433809179743</v>
      </c>
      <c r="AL82" s="22">
        <f t="shared" si="58"/>
        <v>569.4747595509881</v>
      </c>
      <c r="AM82" s="62">
        <f t="shared" si="59"/>
        <v>839.80430693216499</v>
      </c>
      <c r="AN82" s="62">
        <f ca="1">AVERAGE(OFFSET($AM$3,0,0,'Données projet'!$E$10+1,1))-AVERAGE(OFFSET($H$3,0,0,'Données projet'!$E$10+1,1))</f>
        <v>445.02659128831181</v>
      </c>
      <c r="AO82" s="62">
        <f t="shared" si="90"/>
        <v>281.06176764290592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1.768717283484315</v>
      </c>
      <c r="AV82" s="23">
        <f>EXP(-LN(2)/25)*AV81+(1-EXP(-LN(2)/25))/(LN(2)/25)*Calculateur!AQ82*Calculateur!AS82*VLOOKUP('Données projet'!$B$10,Paramètres!$A$1:$I$89,3,0)*0.475*44/12</f>
        <v>0.28705149022426502</v>
      </c>
      <c r="AW82" s="23">
        <f>EXP(-LN(2)/2)*AW81+(1-EXP(-LN(2)/2))/(LN(2)/2)*AQ82*AT82*VLOOKUP('Données projet'!$B$10,Paramètres!$A$1:$I$89,3,0)*0.475*44/12</f>
        <v>7.9426533952920026E-7</v>
      </c>
      <c r="AX82" s="23">
        <f t="shared" si="60"/>
        <v>2.0557695679739196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7.2</v>
      </c>
      <c r="BD82" s="13">
        <f>IF('Données projet'!$A$88&gt;35,BD81+BC82-BL81,IF(A82&lt;'Données projet'!$A$88,$BA$205^A82,IF(A82='Données projet'!$A$88,'Données projet'!$B$88,BD81+BC82-BL81)))</f>
        <v>312.8</v>
      </c>
      <c r="BE82" s="14">
        <f>BD82*VLOOKUP('Données projet'!$B$11,Paramètres!$A$1:$I$89,3,0)*VLOOKUP('Données projet'!$B$11,Paramètres!$A$1:$I$89,5,0)</f>
        <v>283.02144000000004</v>
      </c>
      <c r="BF82" s="14">
        <f t="shared" si="91"/>
        <v>67.605126603830598</v>
      </c>
      <c r="BG82" s="22">
        <f t="shared" si="61"/>
        <v>610.67460350167164</v>
      </c>
      <c r="BH82" s="62">
        <f t="shared" si="62"/>
        <v>881.00415088284853</v>
      </c>
      <c r="BI82" s="62">
        <f ca="1">AVERAGE(OFFSET($BH$3,0,0,'Données projet'!$E$11+1,1))-AVERAGE(OFFSET($H$3,0,0,'Données projet'!$E$11+1,1))</f>
        <v>472.46893084347687</v>
      </c>
      <c r="BJ82" s="62">
        <f t="shared" si="92"/>
        <v>297.32483725004136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1.8997333785572266</v>
      </c>
      <c r="BQ82" s="23">
        <f>EXP(-LN(2)/25)*BQ81+(1-EXP(-LN(2)/25))/(LN(2)/25)*Calculateur!BL82*Calculateur!BN82*VLOOKUP('Données projet'!$B$11,Paramètres!$A$1:$I$89,3,0)*0.475*44/12</f>
        <v>0.3083145635742105</v>
      </c>
      <c r="BR82" s="23">
        <f>EXP(-LN(2)/2)*BR81+(1-EXP(-LN(2)/2))/(LN(2)/2)*BL82*BO82*VLOOKUP('Données projet'!$B$11,Paramètres!$A$1:$I$89,3,0)*0.475*44/12</f>
        <v>8.5309980912395552E-7</v>
      </c>
      <c r="BS82" s="24">
        <f t="shared" si="63"/>
        <v>2.208048795231246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17</v>
      </c>
      <c r="BY82" s="13">
        <f>IF('Données projet'!$A$114&gt;35,BY81+BX82-CG81,IF(A82&lt;'Données projet'!$A$114,$BV$205^A82,IF(A82='Données projet'!$A$114,'Données projet'!$B$114,BY81+BX82-CG81)))</f>
        <v>604.99999999999989</v>
      </c>
      <c r="BZ82" s="14">
        <f>BY82*VLOOKUP('Données projet'!$B$12,Paramètres!$A$1:$I$89,3,0)*VLOOKUP('Données projet'!$B$12,Paramètres!$A$1:$I$89,5,0)</f>
        <v>283.13999999999993</v>
      </c>
      <c r="CA82" s="14">
        <f t="shared" si="93"/>
        <v>67.630149847511944</v>
      </c>
      <c r="CB82" s="22">
        <f t="shared" si="64"/>
        <v>610.92467765108313</v>
      </c>
      <c r="CC82" s="62">
        <f t="shared" si="65"/>
        <v>881.25422503226014</v>
      </c>
      <c r="CD82" s="62">
        <f ca="1">AVERAGE(OFFSET($CC$3,0,0,'Données projet'!$E$12+1,1))-AVERAGE(OFFSET($H$3,0,0,'Données projet'!$E$12+1,1))</f>
        <v>426.87921482911719</v>
      </c>
      <c r="CE82" s="62">
        <f t="shared" si="94"/>
        <v>313.49594674441835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-1.1368683772161603E-13</v>
      </c>
      <c r="CU82" s="18">
        <f>CT82*VLOOKUP('Données projet'!$B$13,Paramètres!$A$1:$I$89,3,0)*VLOOKUP('Données projet'!$B$13,Paramètres!$A$1:$I$89,5,0)</f>
        <v>-6.7984728957526396E-14</v>
      </c>
      <c r="CV82" s="14" t="e">
        <f t="shared" si="95"/>
        <v>#NUM!</v>
      </c>
      <c r="CW82" s="22" t="e">
        <f t="shared" si="67"/>
        <v>#NUM!</v>
      </c>
      <c r="CX82" s="62" t="e">
        <f t="shared" si="68"/>
        <v>#NUM!</v>
      </c>
      <c r="CY82" s="62">
        <f ca="1">AVERAGE(OFFSET($CX$3,0,0,'Données projet'!$E$13+1,1))-AVERAGE(OFFSET($H$3,0,0,'Données projet'!$E$13+1,1))</f>
        <v>367.11994336501527</v>
      </c>
      <c r="CZ82" s="62">
        <f t="shared" si="96"/>
        <v>390.81417197867484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13.13003009274032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1.9403979395067198E-7</v>
      </c>
      <c r="DI82" s="24">
        <f t="shared" si="69"/>
        <v>13.130030286780114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1.9895196601282805E-13</v>
      </c>
      <c r="O83" s="14">
        <f>N83*VLOOKUP('Données projet'!$B$9,Paramètres!$A$1:$I$89,3,0)*VLOOKUP('Données projet'!$B$9,Paramètres!$A$1:$I$89,5,0)</f>
        <v>1.8001173884840681E-13</v>
      </c>
      <c r="P83" s="14">
        <f t="shared" si="87"/>
        <v>2.5254331426407198E-12</v>
      </c>
      <c r="Q83" s="22">
        <f t="shared" si="54"/>
        <v>4.7119831685935622E-12</v>
      </c>
      <c r="R83" s="62">
        <f t="shared" si="55"/>
        <v>270.72861163869084</v>
      </c>
      <c r="S83" s="62">
        <f ca="1">AVERAGE(OFFSET($R$3,0,0,'Données projet'!$E$9+1,1))-AVERAGE(OFFSET($H$3,0,0,'Données projet'!$E$9+1,1))</f>
        <v>312.43110610485337</v>
      </c>
      <c r="T83" s="62">
        <f t="shared" si="88"/>
        <v>442.54749157177571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0.20065528879239178</v>
      </c>
      <c r="AA83" s="23">
        <f>EXP(-LN(2)/25)*AA82+(1-EXP(-LN(2)/25))/(LN(2)/25)*Calculateur!V83*Calculateur!X83*VLOOKUP('Données projet'!$B$9,Paramètres!$A$1:$I$89,3,0)*0.475*44/12</f>
        <v>0.23537382301547419</v>
      </c>
      <c r="AB83" s="23">
        <f>EXP(-LN(2)/2)*AB82+(1-EXP(-LN(2)/2))/(LN(2)/2)*V83*Y83*VLOOKUP('Données projet'!$B$9,Paramètres!$A$1:$I$89,3,0)*0.475*44/12</f>
        <v>1.144905145617518E-7</v>
      </c>
      <c r="AC83" s="24">
        <f t="shared" si="57"/>
        <v>0.43602922629838053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320</v>
      </c>
      <c r="AG83" s="13">
        <f>VLOOKUP(A83,'Données projet'!$A$61:$I$81,9,0)</f>
        <v>7.2</v>
      </c>
      <c r="AH83" s="13">
        <f t="array" ref="AH83">INDEX(AG:AG,MIN(IF(ISNUMBER(AG83:AG279),ROW(AG83:AG279),"")))</f>
        <v>7.2</v>
      </c>
      <c r="AI83" s="14">
        <f>IF('Données projet'!$A$62&gt;35,AI82+AH83-AQ82,IF(A83&lt;'Données projet'!$A$62,$AF$205^A83,IF(A83='Données projet'!$A$62,'Données projet'!$B$62,AI82+AH83-AQ82)))</f>
        <v>320</v>
      </c>
      <c r="AJ83" s="14">
        <f>AI83*VLOOKUP('Données projet'!$B$10,Paramètres!$A$1:$I$89,3,0)*VLOOKUP('Données projet'!$B$10,Paramètres!$A$1:$I$89,5,0)</f>
        <v>269.56800000000004</v>
      </c>
      <c r="AK83" s="14">
        <f t="shared" si="89"/>
        <v>64.757579442439862</v>
      </c>
      <c r="AL83" s="22">
        <f t="shared" si="58"/>
        <v>582.28371752891621</v>
      </c>
      <c r="AM83" s="62">
        <f t="shared" si="59"/>
        <v>853.01232916760227</v>
      </c>
      <c r="AN83" s="62">
        <f ca="1">AVERAGE(OFFSET($AM$3,0,0,'Données projet'!$E$10+1,1))-AVERAGE(OFFSET($H$3,0,0,'Données projet'!$E$10+1,1))</f>
        <v>445.02659128831181</v>
      </c>
      <c r="AO83" s="62">
        <f t="shared" si="90"/>
        <v>281.06176764290592</v>
      </c>
      <c r="AP83" s="16">
        <f>IF(ISNA(VLOOKUP(A83,'Données projet'!$A$61:$I$81,3,0)),0,VLOOKUP(A83,'Données projet'!$A$61:$I$81,3,0))</f>
        <v>13</v>
      </c>
      <c r="AQ83" s="16">
        <f>IF(ISNA(VLOOKUP(A83,'Données projet'!$A$61:$I$81,4,0)),0,VLOOKUP(A83,'Données projet'!$A$61:$I$81,4,0))</f>
        <v>28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1.7340338163662068</v>
      </c>
      <c r="AV83" s="23">
        <f>EXP(-LN(2)/25)*AV82+(1-EXP(-LN(2)/25))/(LN(2)/25)*Calculateur!AQ83*Calculateur!AS83*VLOOKUP('Données projet'!$B$10,Paramètres!$A$1:$I$89,3,0)*0.475*44/12</f>
        <v>0.2792020521287007</v>
      </c>
      <c r="AW83" s="23">
        <f>EXP(-LN(2)/2)*AW82+(1-EXP(-LN(2)/2))/(LN(2)/2)*AQ83*AT83*VLOOKUP('Données projet'!$B$10,Paramètres!$A$1:$I$89,3,0)*0.475*44/12</f>
        <v>5.6163040764253307E-7</v>
      </c>
      <c r="AX83" s="23">
        <f t="shared" si="60"/>
        <v>2.0132364301253149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320</v>
      </c>
      <c r="BB83" s="13">
        <f>VLOOKUP(A83,'Données projet'!$A$87:$I$107,9,0)</f>
        <v>7.2</v>
      </c>
      <c r="BC83" s="13">
        <f t="array" ref="BC83">INDEX(BB:BB,MIN(IF(ISNUMBER(BB83:BB279),ROW(BB83:BB279),"")))</f>
        <v>7.2</v>
      </c>
      <c r="BD83" s="13">
        <f>IF('Données projet'!$A$88&gt;35,BD82+BC83-BL82,IF(A83&lt;'Données projet'!$A$88,$BA$205^A83,IF(A83='Données projet'!$A$88,'Données projet'!$B$88,BD82+BC83-BL82)))</f>
        <v>320</v>
      </c>
      <c r="BE83" s="14">
        <f>BD83*VLOOKUP('Données projet'!$B$11,Paramètres!$A$1:$I$89,3,0)*VLOOKUP('Données projet'!$B$11,Paramètres!$A$1:$I$89,5,0)</f>
        <v>289.536</v>
      </c>
      <c r="BF83" s="14">
        <f t="shared" si="91"/>
        <v>68.97829509904436</v>
      </c>
      <c r="BG83" s="22">
        <f t="shared" si="61"/>
        <v>624.41239729750225</v>
      </c>
      <c r="BH83" s="62">
        <f t="shared" si="62"/>
        <v>895.14100893618843</v>
      </c>
      <c r="BI83" s="62">
        <f ca="1">AVERAGE(OFFSET($BH$3,0,0,'Données projet'!$E$11+1,1))-AVERAGE(OFFSET($H$3,0,0,'Données projet'!$E$11+1,1))</f>
        <v>472.46893084347687</v>
      </c>
      <c r="BJ83" s="62">
        <f t="shared" si="92"/>
        <v>297.32483725004136</v>
      </c>
      <c r="BK83" s="16">
        <f>IF(ISNA(VLOOKUP(A83,'Données projet'!$A$87:$I$107,3,0)),0,VLOOKUP(A83,'Données projet'!$A$87:$I$107,3,0))</f>
        <v>13</v>
      </c>
      <c r="BL83" s="23">
        <f>IF(ISNA(VLOOKUP(A83,'Données projet'!$A$87:$I$107,4,0)),0,VLOOKUP(A83,'Données projet'!$A$87:$I$107,4,0))</f>
        <v>28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1.862480765726666</v>
      </c>
      <c r="BQ83" s="23">
        <f>EXP(-LN(2)/25)*BQ82+(1-EXP(-LN(2)/25))/(LN(2)/25)*Calculateur!BL83*Calculateur!BN83*VLOOKUP('Données projet'!$B$11,Paramètres!$A$1:$I$89,3,0)*0.475*44/12</f>
        <v>0.29988368561971546</v>
      </c>
      <c r="BR83" s="23">
        <f>EXP(-LN(2)/2)*BR82+(1-EXP(-LN(2)/2))/(LN(2)/2)*BL83*BO83*VLOOKUP('Données projet'!$B$11,Paramètres!$A$1:$I$89,3,0)*0.475*44/12</f>
        <v>6.0323266006049827E-7</v>
      </c>
      <c r="BS83" s="24">
        <f t="shared" si="63"/>
        <v>2.1623650545790416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622</v>
      </c>
      <c r="BW83" s="13">
        <f>VLOOKUP(A83,'Données projet'!$A$113:$I$133,9,0)</f>
        <v>17</v>
      </c>
      <c r="BX83" s="13">
        <f t="array" ref="BX83">INDEX(BW:BW,MIN(IF(ISNUMBER(BW83:BW279),ROW(BW83:BW279),"")))</f>
        <v>17</v>
      </c>
      <c r="BY83" s="13">
        <f>IF('Données projet'!$A$114&gt;35,BY82+BX83-CG82,IF(A83&lt;'Données projet'!$A$114,$BV$205^A83,IF(A83='Données projet'!$A$114,'Données projet'!$B$114,BY82+BX83-CG82)))</f>
        <v>621.99999999999989</v>
      </c>
      <c r="BZ83" s="14">
        <f>BY83*VLOOKUP('Données projet'!$B$12,Paramètres!$A$1:$I$89,3,0)*VLOOKUP('Données projet'!$B$12,Paramètres!$A$1:$I$89,5,0)</f>
        <v>291.09599999999995</v>
      </c>
      <c r="CA83" s="14">
        <f t="shared" si="93"/>
        <v>69.306582531434373</v>
      </c>
      <c r="CB83" s="22">
        <f t="shared" si="64"/>
        <v>627.7011645755814</v>
      </c>
      <c r="CC83" s="62">
        <f t="shared" si="65"/>
        <v>898.42977621426758</v>
      </c>
      <c r="CD83" s="62">
        <f ca="1">AVERAGE(OFFSET($CC$3,0,0,'Données projet'!$E$12+1,1))-AVERAGE(OFFSET($H$3,0,0,'Données projet'!$E$12+1,1))</f>
        <v>426.87921482911719</v>
      </c>
      <c r="CE83" s="62">
        <f t="shared" si="94"/>
        <v>313.49594674441835</v>
      </c>
      <c r="CF83" s="16">
        <f>IF(ISNA(VLOOKUP(A83,'Données projet'!$A$113:$I$133,3,0)),0,VLOOKUP(A83,'Données projet'!$A$113:$I$133,3,0))</f>
        <v>7</v>
      </c>
      <c r="CG83" s="16">
        <f>IF(ISNA(VLOOKUP(A83,'Données projet'!$A$113:$I$133,4,0)),0,VLOOKUP(A83,'Données projet'!$A$113:$I$133,4,0))</f>
        <v>124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-1.1368683772161603E-13</v>
      </c>
      <c r="CU83" s="18">
        <f>CT83*VLOOKUP('Données projet'!$B$13,Paramètres!$A$1:$I$89,3,0)*VLOOKUP('Données projet'!$B$13,Paramètres!$A$1:$I$89,5,0)</f>
        <v>-6.7984728957526396E-14</v>
      </c>
      <c r="CV83" s="14" t="e">
        <f t="shared" si="95"/>
        <v>#NUM!</v>
      </c>
      <c r="CW83" s="22" t="e">
        <f t="shared" si="67"/>
        <v>#NUM!</v>
      </c>
      <c r="CX83" s="62" t="e">
        <f t="shared" si="68"/>
        <v>#NUM!</v>
      </c>
      <c r="CY83" s="62">
        <f ca="1">AVERAGE(OFFSET($CX$3,0,0,'Données projet'!$E$13+1,1))-AVERAGE(OFFSET($H$3,0,0,'Données projet'!$E$13+1,1))</f>
        <v>367.11994336501527</v>
      </c>
      <c r="CZ83" s="62">
        <f t="shared" si="96"/>
        <v>390.81417197867484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12.872558211149263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1.3720685412256058E-7</v>
      </c>
      <c r="DI83" s="24">
        <f t="shared" si="69"/>
        <v>12.872558348356117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1.9895196601282805E-13</v>
      </c>
      <c r="O84" s="14">
        <f>N84*VLOOKUP('Données projet'!$B$9,Paramètres!$A$1:$I$89,3,0)*VLOOKUP('Données projet'!$B$9,Paramètres!$A$1:$I$89,5,0)</f>
        <v>1.8001173884840681E-13</v>
      </c>
      <c r="P84" s="14">
        <f t="shared" si="87"/>
        <v>2.5254331426407198E-12</v>
      </c>
      <c r="Q84" s="22">
        <f t="shared" si="54"/>
        <v>4.7119831685935622E-12</v>
      </c>
      <c r="R84" s="62">
        <f t="shared" si="55"/>
        <v>271.12075302350615</v>
      </c>
      <c r="S84" s="62">
        <f ca="1">AVERAGE(OFFSET($R$3,0,0,'Données projet'!$E$9+1,1))-AVERAGE(OFFSET($H$3,0,0,'Données projet'!$E$9+1,1))</f>
        <v>312.43110610485337</v>
      </c>
      <c r="T84" s="62">
        <f t="shared" si="88"/>
        <v>442.54749157177571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0.19672056096681437</v>
      </c>
      <c r="AA84" s="23">
        <f>EXP(-LN(2)/25)*AA83+(1-EXP(-LN(2)/25))/(LN(2)/25)*Calculateur!V84*Calculateur!X84*VLOOKUP('Données projet'!$B$9,Paramètres!$A$1:$I$89,3,0)*0.475*44/12</f>
        <v>0.22893751344734464</v>
      </c>
      <c r="AB84" s="23">
        <f>EXP(-LN(2)/2)*AB83+(1-EXP(-LN(2)/2))/(LN(2)/2)*V84*Y84*VLOOKUP('Données projet'!$B$9,Paramètres!$A$1:$I$89,3,0)*0.475*44/12</f>
        <v>8.0957019228151862E-8</v>
      </c>
      <c r="AC84" s="24">
        <f t="shared" si="57"/>
        <v>0.42565815537117829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6.8</v>
      </c>
      <c r="AI84" s="14">
        <f>IF('Données projet'!$A$62&gt;35,AI83+AH84-AQ83,IF(A84&lt;'Données projet'!$A$62,$AF$205^A84,IF(A84='Données projet'!$A$62,'Données projet'!$B$62,AI83+AH84-AQ83)))</f>
        <v>298.8</v>
      </c>
      <c r="AJ84" s="14">
        <f>AI84*VLOOKUP('Données projet'!$B$10,Paramètres!$A$1:$I$89,3,0)*VLOOKUP('Données projet'!$B$10,Paramètres!$A$1:$I$89,5,0)</f>
        <v>251.70912000000001</v>
      </c>
      <c r="AK84" s="14">
        <f t="shared" si="89"/>
        <v>60.951777927910598</v>
      </c>
      <c r="AL84" s="22">
        <f t="shared" si="58"/>
        <v>544.55106389111097</v>
      </c>
      <c r="AM84" s="62">
        <f t="shared" si="59"/>
        <v>815.67181691461246</v>
      </c>
      <c r="AN84" s="62">
        <f ca="1">AVERAGE(OFFSET($AM$3,0,0,'Données projet'!$E$10+1,1))-AVERAGE(OFFSET($H$3,0,0,'Données projet'!$E$10+1,1))</f>
        <v>445.02659128831181</v>
      </c>
      <c r="AO84" s="62">
        <f t="shared" si="90"/>
        <v>281.06176764290592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1.7000304708834586</v>
      </c>
      <c r="AV84" s="23">
        <f>EXP(-LN(2)/25)*AV83+(1-EXP(-LN(2)/25))/(LN(2)/25)*Calculateur!AQ84*Calculateur!AS84*VLOOKUP('Données projet'!$B$10,Paramètres!$A$1:$I$89,3,0)*0.475*44/12</f>
        <v>0.27156725733064357</v>
      </c>
      <c r="AW84" s="23">
        <f>EXP(-LN(2)/2)*AW83+(1-EXP(-LN(2)/2))/(LN(2)/2)*AQ84*AT84*VLOOKUP('Données projet'!$B$10,Paramètres!$A$1:$I$89,3,0)*0.475*44/12</f>
        <v>3.9713266976460013E-7</v>
      </c>
      <c r="AX84" s="23">
        <f t="shared" si="60"/>
        <v>1.971598125346772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6.8</v>
      </c>
      <c r="BD84" s="13">
        <f>IF('Données projet'!$A$88&gt;35,BD83+BC84-BL83,IF(A84&lt;'Données projet'!$A$88,$BA$205^A84,IF(A84='Données projet'!$A$88,'Données projet'!$B$88,BD83+BC84-BL83)))</f>
        <v>298.8</v>
      </c>
      <c r="BE84" s="14">
        <f>BD84*VLOOKUP('Données projet'!$B$11,Paramètres!$A$1:$I$89,3,0)*VLOOKUP('Données projet'!$B$11,Paramètres!$A$1:$I$89,5,0)</f>
        <v>270.35424</v>
      </c>
      <c r="BF84" s="14">
        <f t="shared" si="91"/>
        <v>64.924442218534367</v>
      </c>
      <c r="BG84" s="22">
        <f t="shared" si="61"/>
        <v>583.94370486394735</v>
      </c>
      <c r="BH84" s="62">
        <f t="shared" si="62"/>
        <v>855.06445788744873</v>
      </c>
      <c r="BI84" s="62">
        <f ca="1">AVERAGE(OFFSET($BH$3,0,0,'Données projet'!$E$11+1,1))-AVERAGE(OFFSET($H$3,0,0,'Données projet'!$E$11+1,1))</f>
        <v>472.46893084347687</v>
      </c>
      <c r="BJ84" s="62">
        <f t="shared" si="92"/>
        <v>297.32483725004136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1.8259586539118624</v>
      </c>
      <c r="BQ84" s="23">
        <f>EXP(-LN(2)/25)*BQ83+(1-EXP(-LN(2)/25))/(LN(2)/25)*Calculateur!BL84*Calculateur!BN84*VLOOKUP('Données projet'!$B$11,Paramètres!$A$1:$I$89,3,0)*0.475*44/12</f>
        <v>0.29168335046624672</v>
      </c>
      <c r="BR84" s="23">
        <f>EXP(-LN(2)/2)*BR83+(1-EXP(-LN(2)/2))/(LN(2)/2)*BL84*BO84*VLOOKUP('Données projet'!$B$11,Paramètres!$A$1:$I$89,3,0)*0.475*44/12</f>
        <v>4.2654990456197776E-7</v>
      </c>
      <c r="BS84" s="24">
        <f t="shared" si="63"/>
        <v>2.1176424309280137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17.5</v>
      </c>
      <c r="BY84" s="13">
        <f>IF('Données projet'!$A$114&gt;35,BY83+BX84-CG83,IF(A84&lt;'Données projet'!$A$114,$BV$205^A84,IF(A84='Données projet'!$A$114,'Données projet'!$B$114,BY83+BX84-CG83)))</f>
        <v>515.49999999999989</v>
      </c>
      <c r="BZ84" s="14">
        <f>BY84*VLOOKUP('Données projet'!$B$12,Paramètres!$A$1:$I$89,3,0)*VLOOKUP('Données projet'!$B$12,Paramètres!$A$1:$I$89,5,0)</f>
        <v>241.25399999999996</v>
      </c>
      <c r="CA84" s="14">
        <f t="shared" si="93"/>
        <v>58.70925280391986</v>
      </c>
      <c r="CB84" s="22">
        <f t="shared" si="64"/>
        <v>522.43599863349357</v>
      </c>
      <c r="CC84" s="62">
        <f t="shared" si="65"/>
        <v>793.55675165699495</v>
      </c>
      <c r="CD84" s="62">
        <f ca="1">AVERAGE(OFFSET($CC$3,0,0,'Données projet'!$E$12+1,1))-AVERAGE(OFFSET($H$3,0,0,'Données projet'!$E$12+1,1))</f>
        <v>426.87921482911719</v>
      </c>
      <c r="CE84" s="62">
        <f t="shared" si="94"/>
        <v>313.49594674441835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-1.1368683772161603E-13</v>
      </c>
      <c r="CU84" s="18">
        <f>CT84*VLOOKUP('Données projet'!$B$13,Paramètres!$A$1:$I$89,3,0)*VLOOKUP('Données projet'!$B$13,Paramètres!$A$1:$I$89,5,0)</f>
        <v>-6.7984728957526396E-14</v>
      </c>
      <c r="CV84" s="14" t="e">
        <f t="shared" si="95"/>
        <v>#NUM!</v>
      </c>
      <c r="CW84" s="22" t="e">
        <f t="shared" si="67"/>
        <v>#NUM!</v>
      </c>
      <c r="CX84" s="62" t="e">
        <f t="shared" si="68"/>
        <v>#NUM!</v>
      </c>
      <c r="CY84" s="62">
        <f ca="1">AVERAGE(OFFSET($CX$3,0,0,'Données projet'!$E$13+1,1))-AVERAGE(OFFSET($H$3,0,0,'Données projet'!$E$13+1,1))</f>
        <v>367.11994336501527</v>
      </c>
      <c r="CZ84" s="62">
        <f t="shared" si="96"/>
        <v>390.81417197867484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12.620135196113866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9.701989697533599E-8</v>
      </c>
      <c r="DI84" s="24">
        <f t="shared" si="69"/>
        <v>12.620135293133762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1.9895196601282805E-13</v>
      </c>
      <c r="O85" s="14">
        <f>N85*VLOOKUP('Données projet'!$B$9,Paramètres!$A$1:$I$89,3,0)*VLOOKUP('Données projet'!$B$9,Paramètres!$A$1:$I$89,5,0)</f>
        <v>1.8001173884840681E-13</v>
      </c>
      <c r="P85" s="14">
        <f t="shared" si="87"/>
        <v>2.5254331426407198E-12</v>
      </c>
      <c r="Q85" s="22">
        <f t="shared" si="54"/>
        <v>4.7119831685935622E-12</v>
      </c>
      <c r="R85" s="62">
        <f t="shared" si="55"/>
        <v>271.50609163199175</v>
      </c>
      <c r="S85" s="62">
        <f ca="1">AVERAGE(OFFSET($R$3,0,0,'Données projet'!$E$9+1,1))-AVERAGE(OFFSET($H$3,0,0,'Données projet'!$E$9+1,1))</f>
        <v>312.43110610485337</v>
      </c>
      <c r="T85" s="62">
        <f t="shared" si="88"/>
        <v>442.54749157177571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0.19286299075394953</v>
      </c>
      <c r="AA85" s="23">
        <f>EXP(-LN(2)/25)*AA84+(1-EXP(-LN(2)/25))/(LN(2)/25)*Calculateur!V85*Calculateur!X85*VLOOKUP('Données projet'!$B$9,Paramètres!$A$1:$I$89,3,0)*0.475*44/12</f>
        <v>0.2226772051028264</v>
      </c>
      <c r="AB85" s="23">
        <f>EXP(-LN(2)/2)*AB84+(1-EXP(-LN(2)/2))/(LN(2)/2)*V85*Y85*VLOOKUP('Données projet'!$B$9,Paramètres!$A$1:$I$89,3,0)*0.475*44/12</f>
        <v>5.72452572808759E-8</v>
      </c>
      <c r="AC85" s="24">
        <f t="shared" si="57"/>
        <v>0.41554025310203319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6.8</v>
      </c>
      <c r="AI85" s="14">
        <f>IF('Données projet'!$A$62&gt;35,AI84+AH85-AQ84,IF(A85&lt;'Données projet'!$A$62,$AF$205^A85,IF(A85='Données projet'!$A$62,'Données projet'!$B$62,AI84+AH85-AQ84)))</f>
        <v>305.60000000000002</v>
      </c>
      <c r="AJ85" s="14">
        <f>AI85*VLOOKUP('Données projet'!$B$10,Paramètres!$A$1:$I$89,3,0)*VLOOKUP('Données projet'!$B$10,Paramètres!$A$1:$I$89,5,0)</f>
        <v>257.43744000000004</v>
      </c>
      <c r="AK85" s="14">
        <f t="shared" si="89"/>
        <v>62.175829233865038</v>
      </c>
      <c r="AL85" s="22">
        <f t="shared" si="58"/>
        <v>556.65977724898164</v>
      </c>
      <c r="AM85" s="62">
        <f t="shared" si="59"/>
        <v>828.16586888096867</v>
      </c>
      <c r="AN85" s="62">
        <f ca="1">AVERAGE(OFFSET($AM$3,0,0,'Données projet'!$E$10+1,1))-AVERAGE(OFFSET($H$3,0,0,'Données projet'!$E$10+1,1))</f>
        <v>445.02659128831181</v>
      </c>
      <c r="AO85" s="62">
        <f t="shared" si="90"/>
        <v>281.06176764290592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1.6666939102656342</v>
      </c>
      <c r="AV85" s="23">
        <f>EXP(-LN(2)/25)*AV84+(1-EXP(-LN(2)/25))/(LN(2)/25)*Calculateur!AQ85*Calculateur!AS85*VLOOKUP('Données projet'!$B$10,Paramètres!$A$1:$I$89,3,0)*0.475*44/12</f>
        <v>0.26414123639783577</v>
      </c>
      <c r="AW85" s="23">
        <f>EXP(-LN(2)/2)*AW84+(1-EXP(-LN(2)/2))/(LN(2)/2)*AQ85*AT85*VLOOKUP('Données projet'!$B$10,Paramètres!$A$1:$I$89,3,0)*0.475*44/12</f>
        <v>2.8081520382126653E-7</v>
      </c>
      <c r="AX85" s="23">
        <f t="shared" si="60"/>
        <v>1.9308354274786736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6.8</v>
      </c>
      <c r="BD85" s="13">
        <f>IF('Données projet'!$A$88&gt;35,BD84+BC85-BL84,IF(A85&lt;'Données projet'!$A$88,$BA$205^A85,IF(A85='Données projet'!$A$88,'Données projet'!$B$88,BD84+BC85-BL84)))</f>
        <v>305.60000000000002</v>
      </c>
      <c r="BE85" s="14">
        <f>BD85*VLOOKUP('Données projet'!$B$11,Paramètres!$A$1:$I$89,3,0)*VLOOKUP('Données projet'!$B$11,Paramètres!$A$1:$I$89,5,0)</f>
        <v>276.50687999999997</v>
      </c>
      <c r="BF85" s="14">
        <f t="shared" si="91"/>
        <v>66.228273722513677</v>
      </c>
      <c r="BG85" s="22">
        <f t="shared" si="61"/>
        <v>596.93039273337797</v>
      </c>
      <c r="BH85" s="62">
        <f t="shared" si="62"/>
        <v>868.436484365365</v>
      </c>
      <c r="BI85" s="62">
        <f ca="1">AVERAGE(OFFSET($BH$3,0,0,'Données projet'!$E$11+1,1))-AVERAGE(OFFSET($H$3,0,0,'Données projet'!$E$11+1,1))</f>
        <v>472.46893084347687</v>
      </c>
      <c r="BJ85" s="62">
        <f t="shared" si="92"/>
        <v>297.32483725004136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1.7901527184334585</v>
      </c>
      <c r="BQ85" s="23">
        <f>EXP(-LN(2)/25)*BQ84+(1-EXP(-LN(2)/25))/(LN(2)/25)*Calculateur!BL85*Calculateur!BN85*VLOOKUP('Données projet'!$B$11,Paramètres!$A$1:$I$89,3,0)*0.475*44/12</f>
        <v>0.28370725390878643</v>
      </c>
      <c r="BR85" s="23">
        <f>EXP(-LN(2)/2)*BR84+(1-EXP(-LN(2)/2))/(LN(2)/2)*BL85*BO85*VLOOKUP('Données projet'!$B$11,Paramètres!$A$1:$I$89,3,0)*0.475*44/12</f>
        <v>3.0161633003024913E-7</v>
      </c>
      <c r="BS85" s="24">
        <f t="shared" si="63"/>
        <v>2.0738602739585752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17.5</v>
      </c>
      <c r="BY85" s="13">
        <f>IF('Données projet'!$A$114&gt;35,BY84+BX85-CG84,IF(A85&lt;'Données projet'!$A$114,$BV$205^A85,IF(A85='Données projet'!$A$114,'Données projet'!$B$114,BY84+BX85-CG84)))</f>
        <v>532.99999999999989</v>
      </c>
      <c r="BZ85" s="14">
        <f>BY85*VLOOKUP('Données projet'!$B$12,Paramètres!$A$1:$I$89,3,0)*VLOOKUP('Données projet'!$B$12,Paramètres!$A$1:$I$89,5,0)</f>
        <v>249.44399999999993</v>
      </c>
      <c r="CA85" s="14">
        <f t="shared" si="93"/>
        <v>60.466866397117599</v>
      </c>
      <c r="CB85" s="22">
        <f t="shared" si="64"/>
        <v>539.76142564164627</v>
      </c>
      <c r="CC85" s="62">
        <f t="shared" si="65"/>
        <v>811.2675172736333</v>
      </c>
      <c r="CD85" s="62">
        <f ca="1">AVERAGE(OFFSET($CC$3,0,0,'Données projet'!$E$12+1,1))-AVERAGE(OFFSET($H$3,0,0,'Données projet'!$E$12+1,1))</f>
        <v>426.87921482911719</v>
      </c>
      <c r="CE85" s="62">
        <f t="shared" si="94"/>
        <v>313.49594674441835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-1.1368683772161603E-13</v>
      </c>
      <c r="CU85" s="18">
        <f>CT85*VLOOKUP('Données projet'!$B$13,Paramètres!$A$1:$I$89,3,0)*VLOOKUP('Données projet'!$B$13,Paramètres!$A$1:$I$89,5,0)</f>
        <v>-6.7984728957526396E-14</v>
      </c>
      <c r="CV85" s="14" t="e">
        <f t="shared" si="95"/>
        <v>#NUM!</v>
      </c>
      <c r="CW85" s="22" t="e">
        <f t="shared" si="67"/>
        <v>#NUM!</v>
      </c>
      <c r="CX85" s="62" t="e">
        <f t="shared" si="68"/>
        <v>#NUM!</v>
      </c>
      <c r="CY85" s="62">
        <f ca="1">AVERAGE(OFFSET($CX$3,0,0,'Données projet'!$E$13+1,1))-AVERAGE(OFFSET($H$3,0,0,'Données projet'!$E$13+1,1))</f>
        <v>367.11994336501527</v>
      </c>
      <c r="CZ85" s="62">
        <f t="shared" si="96"/>
        <v>390.81417197867484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12.372662042440476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6.8603427061280289E-8</v>
      </c>
      <c r="DI85" s="24">
        <f t="shared" si="69"/>
        <v>12.372662111043903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1.9895196601282805E-13</v>
      </c>
      <c r="O86" s="14">
        <f>N86*VLOOKUP('Données projet'!$B$9,Paramètres!$A$1:$I$89,3,0)*VLOOKUP('Données projet'!$B$9,Paramètres!$A$1:$I$89,5,0)</f>
        <v>1.8001173884840681E-13</v>
      </c>
      <c r="P86" s="14">
        <f t="shared" si="87"/>
        <v>2.5254331426407198E-12</v>
      </c>
      <c r="Q86" s="22">
        <f t="shared" si="54"/>
        <v>4.7119831685935622E-12</v>
      </c>
      <c r="R86" s="62">
        <f t="shared" si="55"/>
        <v>271.8847454771082</v>
      </c>
      <c r="S86" s="62">
        <f ca="1">AVERAGE(OFFSET($R$3,0,0,'Données projet'!$E$9+1,1))-AVERAGE(OFFSET($H$3,0,0,'Données projet'!$E$9+1,1))</f>
        <v>312.43110610485337</v>
      </c>
      <c r="T86" s="62">
        <f t="shared" si="88"/>
        <v>442.54749157177571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0.18908106514007347</v>
      </c>
      <c r="AA86" s="23">
        <f>EXP(-LN(2)/25)*AA85+(1-EXP(-LN(2)/25))/(LN(2)/25)*Calculateur!V86*Calculateur!X86*VLOOKUP('Données projet'!$B$9,Paramètres!$A$1:$I$89,3,0)*0.475*44/12</f>
        <v>0.21658808521920433</v>
      </c>
      <c r="AB86" s="23">
        <f>EXP(-LN(2)/2)*AB85+(1-EXP(-LN(2)/2))/(LN(2)/2)*V86*Y86*VLOOKUP('Données projet'!$B$9,Paramètres!$A$1:$I$89,3,0)*0.475*44/12</f>
        <v>4.0478509614075931E-8</v>
      </c>
      <c r="AC86" s="24">
        <f t="shared" si="57"/>
        <v>0.40566919083778741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6.8</v>
      </c>
      <c r="AI86" s="14">
        <f>IF('Données projet'!$A$62&gt;35,AI85+AH86-AQ85,IF(A86&lt;'Données projet'!$A$62,$AF$205^A86,IF(A86='Données projet'!$A$62,'Données projet'!$B$62,AI85+AH86-AQ85)))</f>
        <v>312.40000000000003</v>
      </c>
      <c r="AJ86" s="14">
        <f>AI86*VLOOKUP('Données projet'!$B$10,Paramètres!$A$1:$I$89,3,0)*VLOOKUP('Données projet'!$B$10,Paramètres!$A$1:$I$89,5,0)</f>
        <v>263.16576000000003</v>
      </c>
      <c r="AK86" s="14">
        <f t="shared" si="89"/>
        <v>63.396714008817959</v>
      </c>
      <c r="AL86" s="22">
        <f t="shared" si="58"/>
        <v>568.76297556535803</v>
      </c>
      <c r="AM86" s="62">
        <f t="shared" si="59"/>
        <v>840.64772104246151</v>
      </c>
      <c r="AN86" s="62">
        <f ca="1">AVERAGE(OFFSET($AM$3,0,0,'Données projet'!$E$10+1,1))-AVERAGE(OFFSET($H$3,0,0,'Données projet'!$E$10+1,1))</f>
        <v>445.02659128831181</v>
      </c>
      <c r="AO86" s="62">
        <f t="shared" si="90"/>
        <v>281.06176764290592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1.6340110592682311</v>
      </c>
      <c r="AV86" s="23">
        <f>EXP(-LN(2)/25)*AV85+(1-EXP(-LN(2)/25))/(LN(2)/25)*Calculateur!AQ86*Calculateur!AS86*VLOOKUP('Données projet'!$B$10,Paramètres!$A$1:$I$89,3,0)*0.475*44/12</f>
        <v>0.256918280397953</v>
      </c>
      <c r="AW86" s="23">
        <f>EXP(-LN(2)/2)*AW85+(1-EXP(-LN(2)/2))/(LN(2)/2)*AQ86*AT86*VLOOKUP('Données projet'!$B$10,Paramètres!$A$1:$I$89,3,0)*0.475*44/12</f>
        <v>1.9856633488230006E-7</v>
      </c>
      <c r="AX86" s="23">
        <f t="shared" si="60"/>
        <v>1.8909295382325191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6.8</v>
      </c>
      <c r="BD86" s="13">
        <f>IF('Données projet'!$A$88&gt;35,BD85+BC86-BL85,IF(A86&lt;'Données projet'!$A$88,$BA$205^A86,IF(A86='Données projet'!$A$88,'Données projet'!$B$88,BD85+BC86-BL85)))</f>
        <v>312.40000000000003</v>
      </c>
      <c r="BE86" s="14">
        <f>BD86*VLOOKUP('Données projet'!$B$11,Paramètres!$A$1:$I$89,3,0)*VLOOKUP('Données projet'!$B$11,Paramètres!$A$1:$I$89,5,0)</f>
        <v>282.65952000000004</v>
      </c>
      <c r="BF86" s="14">
        <f t="shared" si="91"/>
        <v>67.528732309967324</v>
      </c>
      <c r="BG86" s="22">
        <f t="shared" si="61"/>
        <v>609.91120610652649</v>
      </c>
      <c r="BH86" s="62">
        <f t="shared" si="62"/>
        <v>881.79595158362997</v>
      </c>
      <c r="BI86" s="62">
        <f ca="1">AVERAGE(OFFSET($BH$3,0,0,'Données projet'!$E$11+1,1))-AVERAGE(OFFSET($H$3,0,0,'Données projet'!$E$11+1,1))</f>
        <v>472.46893084347687</v>
      </c>
      <c r="BJ86" s="62">
        <f t="shared" si="92"/>
        <v>297.32483725004136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1.7550489155103219</v>
      </c>
      <c r="BQ86" s="23">
        <f>EXP(-LN(2)/25)*BQ85+(1-EXP(-LN(2)/25))/(LN(2)/25)*Calculateur!BL86*Calculateur!BN86*VLOOKUP('Données projet'!$B$11,Paramètres!$A$1:$I$89,3,0)*0.475*44/12</f>
        <v>0.27594926413113458</v>
      </c>
      <c r="BR86" s="23">
        <f>EXP(-LN(2)/2)*BR85+(1-EXP(-LN(2)/2))/(LN(2)/2)*BL86*BO86*VLOOKUP('Données projet'!$B$11,Paramètres!$A$1:$I$89,3,0)*0.475*44/12</f>
        <v>2.1327495228098888E-7</v>
      </c>
      <c r="BS86" s="24">
        <f t="shared" si="63"/>
        <v>2.030998392916409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17.5</v>
      </c>
      <c r="BY86" s="13">
        <f>IF('Données projet'!$A$114&gt;35,BY85+BX86-CG85,IF(A86&lt;'Données projet'!$A$114,$BV$205^A86,IF(A86='Données projet'!$A$114,'Données projet'!$B$114,BY85+BX86-CG85)))</f>
        <v>550.49999999999989</v>
      </c>
      <c r="BZ86" s="14">
        <f>BY86*VLOOKUP('Données projet'!$B$12,Paramètres!$A$1:$I$89,3,0)*VLOOKUP('Données projet'!$B$12,Paramètres!$A$1:$I$89,5,0)</f>
        <v>257.63399999999996</v>
      </c>
      <c r="CA86" s="14">
        <f t="shared" si="93"/>
        <v>62.217774353261795</v>
      </c>
      <c r="CB86" s="22">
        <f t="shared" si="64"/>
        <v>557.07517366526417</v>
      </c>
      <c r="CC86" s="62">
        <f t="shared" si="65"/>
        <v>828.95991914236765</v>
      </c>
      <c r="CD86" s="62">
        <f ca="1">AVERAGE(OFFSET($CC$3,0,0,'Données projet'!$E$12+1,1))-AVERAGE(OFFSET($H$3,0,0,'Données projet'!$E$12+1,1))</f>
        <v>426.87921482911719</v>
      </c>
      <c r="CE86" s="62">
        <f t="shared" si="94"/>
        <v>313.49594674441835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-1.1368683772161603E-13</v>
      </c>
      <c r="CU86" s="18">
        <f>CT86*VLOOKUP('Données projet'!$B$13,Paramètres!$A$1:$I$89,3,0)*VLOOKUP('Données projet'!$B$13,Paramètres!$A$1:$I$89,5,0)</f>
        <v>-6.7984728957526396E-14</v>
      </c>
      <c r="CV86" s="14" t="e">
        <f t="shared" si="95"/>
        <v>#NUM!</v>
      </c>
      <c r="CW86" s="22" t="e">
        <f t="shared" si="67"/>
        <v>#NUM!</v>
      </c>
      <c r="CX86" s="62" t="e">
        <f t="shared" si="68"/>
        <v>#NUM!</v>
      </c>
      <c r="CY86" s="62">
        <f ca="1">AVERAGE(OFFSET($CX$3,0,0,'Données projet'!$E$13+1,1))-AVERAGE(OFFSET($H$3,0,0,'Données projet'!$E$13+1,1))</f>
        <v>367.11994336501527</v>
      </c>
      <c r="CZ86" s="62">
        <f t="shared" si="96"/>
        <v>390.81417197867484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12.130041686366901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4.8509948487667995E-8</v>
      </c>
      <c r="DI86" s="24">
        <f t="shared" si="69"/>
        <v>12.130041734876849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1.9895196601282805E-13</v>
      </c>
      <c r="O87" s="14">
        <f>N87*VLOOKUP('Données projet'!$B$9,Paramètres!$A$1:$I$89,3,0)*VLOOKUP('Données projet'!$B$9,Paramètres!$A$1:$I$89,5,0)</f>
        <v>1.8001173884840681E-13</v>
      </c>
      <c r="P87" s="14">
        <f t="shared" si="87"/>
        <v>2.5254331426407198E-12</v>
      </c>
      <c r="Q87" s="22">
        <f t="shared" si="54"/>
        <v>4.7119831685935622E-12</v>
      </c>
      <c r="R87" s="62">
        <f t="shared" si="55"/>
        <v>272.25683052455503</v>
      </c>
      <c r="S87" s="62">
        <f ca="1">AVERAGE(OFFSET($R$3,0,0,'Données projet'!$E$9+1,1))-AVERAGE(OFFSET($H$3,0,0,'Données projet'!$E$9+1,1))</f>
        <v>312.43110610485337</v>
      </c>
      <c r="T87" s="62">
        <f t="shared" si="88"/>
        <v>442.54749157177571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0.18537330078073866</v>
      </c>
      <c r="AA87" s="23">
        <f>EXP(-LN(2)/25)*AA86+(1-EXP(-LN(2)/25))/(LN(2)/25)*Calculateur!V87*Calculateur!X87*VLOOKUP('Données projet'!$B$9,Paramètres!$A$1:$I$89,3,0)*0.475*44/12</f>
        <v>0.21066547263901281</v>
      </c>
      <c r="AB87" s="23">
        <f>EXP(-LN(2)/2)*AB86+(1-EXP(-LN(2)/2))/(LN(2)/2)*V87*Y87*VLOOKUP('Données projet'!$B$9,Paramètres!$A$1:$I$89,3,0)*0.475*44/12</f>
        <v>2.862262864043795E-8</v>
      </c>
      <c r="AC87" s="24">
        <f t="shared" si="57"/>
        <v>0.39603880204238012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6.8</v>
      </c>
      <c r="AI87" s="14">
        <f>IF('Données projet'!$A$62&gt;35,AI86+AH87-AQ86,IF(A87&lt;'Données projet'!$A$62,$AF$205^A87,IF(A87='Données projet'!$A$62,'Données projet'!$B$62,AI86+AH87-AQ86)))</f>
        <v>319.20000000000005</v>
      </c>
      <c r="AJ87" s="14">
        <f>AI87*VLOOKUP('Données projet'!$B$10,Paramètres!$A$1:$I$89,3,0)*VLOOKUP('Données projet'!$B$10,Paramètres!$A$1:$I$89,5,0)</f>
        <v>268.89408000000003</v>
      </c>
      <c r="AK87" s="14">
        <f t="shared" si="89"/>
        <v>64.614509116360949</v>
      </c>
      <c r="AL87" s="22">
        <f t="shared" si="58"/>
        <v>580.86079271099538</v>
      </c>
      <c r="AM87" s="62">
        <f t="shared" si="59"/>
        <v>853.11762323554569</v>
      </c>
      <c r="AN87" s="62">
        <f ca="1">AVERAGE(OFFSET($AM$3,0,0,'Données projet'!$E$10+1,1))-AVERAGE(OFFSET($H$3,0,0,'Données projet'!$E$10+1,1))</f>
        <v>445.02659128831181</v>
      </c>
      <c r="AO87" s="62">
        <f t="shared" si="90"/>
        <v>281.06176764290592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1.6019690990443163</v>
      </c>
      <c r="AV87" s="23">
        <f>EXP(-LN(2)/25)*AV86+(1-EXP(-LN(2)/25))/(LN(2)/25)*Calculateur!AQ87*Calculateur!AS87*VLOOKUP('Données projet'!$B$10,Paramètres!$A$1:$I$89,3,0)*0.475*44/12</f>
        <v>0.2498928365097258</v>
      </c>
      <c r="AW87" s="23">
        <f>EXP(-LN(2)/2)*AW86+(1-EXP(-LN(2)/2))/(LN(2)/2)*AQ87*AT87*VLOOKUP('Données projet'!$B$10,Paramètres!$A$1:$I$89,3,0)*0.475*44/12</f>
        <v>1.4040760191063327E-7</v>
      </c>
      <c r="AX87" s="23">
        <f t="shared" si="60"/>
        <v>1.851862075961644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6.8</v>
      </c>
      <c r="BD87" s="13">
        <f>IF('Données projet'!$A$88&gt;35,BD86+BC87-BL86,IF(A87&lt;'Données projet'!$A$88,$BA$205^A87,IF(A87='Données projet'!$A$88,'Données projet'!$B$88,BD86+BC87-BL86)))</f>
        <v>319.20000000000005</v>
      </c>
      <c r="BE87" s="14">
        <f>BD87*VLOOKUP('Données projet'!$B$11,Paramètres!$A$1:$I$89,3,0)*VLOOKUP('Données projet'!$B$11,Paramètres!$A$1:$I$89,5,0)</f>
        <v>288.81216000000006</v>
      </c>
      <c r="BF87" s="14">
        <f t="shared" si="91"/>
        <v>68.825899854238159</v>
      </c>
      <c r="BG87" s="22">
        <f t="shared" si="61"/>
        <v>622.88628757946492</v>
      </c>
      <c r="BH87" s="62">
        <f t="shared" si="62"/>
        <v>895.14311810401523</v>
      </c>
      <c r="BI87" s="62">
        <f ca="1">AVERAGE(OFFSET($BH$3,0,0,'Données projet'!$E$11+1,1))-AVERAGE(OFFSET($H$3,0,0,'Données projet'!$E$11+1,1))</f>
        <v>472.46893084347687</v>
      </c>
      <c r="BJ87" s="62">
        <f t="shared" si="92"/>
        <v>297.32483725004136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1.7206334767513025</v>
      </c>
      <c r="BQ87" s="23">
        <f>EXP(-LN(2)/25)*BQ86+(1-EXP(-LN(2)/25))/(LN(2)/25)*Calculateur!BL87*Calculateur!BN87*VLOOKUP('Données projet'!$B$11,Paramètres!$A$1:$I$89,3,0)*0.475*44/12</f>
        <v>0.2684034169919276</v>
      </c>
      <c r="BR87" s="23">
        <f>EXP(-LN(2)/2)*BR86+(1-EXP(-LN(2)/2))/(LN(2)/2)*BL87*BO87*VLOOKUP('Données projet'!$B$11,Paramètres!$A$1:$I$89,3,0)*0.475*44/12</f>
        <v>1.5080816501512457E-7</v>
      </c>
      <c r="BS87" s="24">
        <f t="shared" si="63"/>
        <v>1.9890370445513952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17.5</v>
      </c>
      <c r="BY87" s="13">
        <f>IF('Données projet'!$A$114&gt;35,BY86+BX87-CG86,IF(A87&lt;'Données projet'!$A$114,$BV$205^A87,IF(A87='Données projet'!$A$114,'Données projet'!$B$114,BY86+BX87-CG86)))</f>
        <v>567.99999999999989</v>
      </c>
      <c r="BZ87" s="14">
        <f>BY87*VLOOKUP('Données projet'!$B$12,Paramètres!$A$1:$I$89,3,0)*VLOOKUP('Données projet'!$B$12,Paramètres!$A$1:$I$89,5,0)</f>
        <v>265.82399999999996</v>
      </c>
      <c r="CA87" s="14">
        <f t="shared" si="93"/>
        <v>63.962214293903529</v>
      </c>
      <c r="CB87" s="22">
        <f t="shared" si="64"/>
        <v>574.37765656188185</v>
      </c>
      <c r="CC87" s="62">
        <f t="shared" si="65"/>
        <v>846.63448708643216</v>
      </c>
      <c r="CD87" s="62">
        <f ca="1">AVERAGE(OFFSET($CC$3,0,0,'Données projet'!$E$12+1,1))-AVERAGE(OFFSET($H$3,0,0,'Données projet'!$E$12+1,1))</f>
        <v>426.87921482911719</v>
      </c>
      <c r="CE87" s="62">
        <f t="shared" si="94"/>
        <v>313.49594674441835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-1.1368683772161603E-13</v>
      </c>
      <c r="CU87" s="18">
        <f>CT87*VLOOKUP('Données projet'!$B$13,Paramètres!$A$1:$I$89,3,0)*VLOOKUP('Données projet'!$B$13,Paramètres!$A$1:$I$89,5,0)</f>
        <v>-6.7984728957526396E-14</v>
      </c>
      <c r="CV87" s="14" t="e">
        <f t="shared" si="95"/>
        <v>#NUM!</v>
      </c>
      <c r="CW87" s="22" t="e">
        <f t="shared" si="67"/>
        <v>#NUM!</v>
      </c>
      <c r="CX87" s="62" t="e">
        <f t="shared" si="68"/>
        <v>#NUM!</v>
      </c>
      <c r="CY87" s="62">
        <f ca="1">AVERAGE(OFFSET($CX$3,0,0,'Données projet'!$E$13+1,1))-AVERAGE(OFFSET($H$3,0,0,'Données projet'!$E$13+1,1))</f>
        <v>367.11994336501527</v>
      </c>
      <c r="CZ87" s="62">
        <f t="shared" si="96"/>
        <v>390.81417197867484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11.892178967492125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3.4301713530640144E-8</v>
      </c>
      <c r="DI87" s="24">
        <f t="shared" si="69"/>
        <v>11.892179001793838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1.9895196601282805E-13</v>
      </c>
      <c r="O88" s="14">
        <f>N88*VLOOKUP('Données projet'!$B$9,Paramètres!$A$1:$I$89,3,0)*VLOOKUP('Données projet'!$B$9,Paramètres!$A$1:$I$89,5,0)</f>
        <v>1.8001173884840681E-13</v>
      </c>
      <c r="P88" s="14">
        <f t="shared" si="87"/>
        <v>2.5254331426407198E-12</v>
      </c>
      <c r="Q88" s="22">
        <f t="shared" si="54"/>
        <v>4.7119831685935622E-12</v>
      </c>
      <c r="R88" s="62">
        <f t="shared" si="55"/>
        <v>272.62246072828623</v>
      </c>
      <c r="S88" s="62">
        <f ca="1">AVERAGE(OFFSET($R$3,0,0,'Données projet'!$E$9+1,1))-AVERAGE(OFFSET($H$3,0,0,'Données projet'!$E$9+1,1))</f>
        <v>312.43110610485337</v>
      </c>
      <c r="T88" s="62">
        <f t="shared" si="88"/>
        <v>442.54749157177571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0.18173824341897746</v>
      </c>
      <c r="AA88" s="23">
        <f>EXP(-LN(2)/25)*AA87+(1-EXP(-LN(2)/25))/(LN(2)/25)*Calculateur!V88*Calculateur!X88*VLOOKUP('Données projet'!$B$9,Paramètres!$A$1:$I$89,3,0)*0.475*44/12</f>
        <v>0.20490481421128329</v>
      </c>
      <c r="AB88" s="23">
        <f>EXP(-LN(2)/2)*AB87+(1-EXP(-LN(2)/2))/(LN(2)/2)*V88*Y88*VLOOKUP('Données projet'!$B$9,Paramètres!$A$1:$I$89,3,0)*0.475*44/12</f>
        <v>2.0239254807037966E-8</v>
      </c>
      <c r="AC88" s="24">
        <f t="shared" si="57"/>
        <v>0.38664307786951557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326</v>
      </c>
      <c r="AG88" s="13">
        <f>VLOOKUP(A88,'Données projet'!$A$61:$I$81,9,0)</f>
        <v>6.8</v>
      </c>
      <c r="AH88" s="13">
        <f t="array" ref="AH88">INDEX(AG:AG,MIN(IF(ISNUMBER(AG88:AG284),ROW(AG88:AG284),"")))</f>
        <v>6.8</v>
      </c>
      <c r="AI88" s="14">
        <f>IF('Données projet'!$A$62&gt;35,AI87+AH88-AQ87,IF(A88&lt;'Données projet'!$A$62,$AF$205^A88,IF(A88='Données projet'!$A$62,'Données projet'!$B$62,AI87+AH88-AQ87)))</f>
        <v>326.00000000000006</v>
      </c>
      <c r="AJ88" s="14">
        <f>AI88*VLOOKUP('Données projet'!$B$10,Paramètres!$A$1:$I$89,3,0)*VLOOKUP('Données projet'!$B$10,Paramètres!$A$1:$I$89,5,0)</f>
        <v>274.62240000000008</v>
      </c>
      <c r="AK88" s="14">
        <f t="shared" si="89"/>
        <v>65.829287958103762</v>
      </c>
      <c r="AL88" s="22">
        <f t="shared" si="58"/>
        <v>592.95335652703079</v>
      </c>
      <c r="AM88" s="62">
        <f t="shared" si="59"/>
        <v>865.57581725531236</v>
      </c>
      <c r="AN88" s="62">
        <f ca="1">AVERAGE(OFFSET($AM$3,0,0,'Données projet'!$E$10+1,1))-AVERAGE(OFFSET($H$3,0,0,'Données projet'!$E$10+1,1))</f>
        <v>445.02659128831181</v>
      </c>
      <c r="AO88" s="62">
        <f t="shared" si="90"/>
        <v>281.06176764290592</v>
      </c>
      <c r="AP88" s="16">
        <f>IF(ISNA(VLOOKUP(A88,'Données projet'!$A$61:$I$81,3,0)),0,VLOOKUP(A88,'Données projet'!$A$61:$I$81,3,0))</f>
        <v>14</v>
      </c>
      <c r="AQ88" s="16">
        <f>IF(ISNA(VLOOKUP(A88,'Données projet'!$A$61:$I$81,4,0)),0,VLOOKUP(A88,'Données projet'!$A$61:$I$81,4,0))</f>
        <v>28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1.5705554621167266</v>
      </c>
      <c r="AV88" s="23">
        <f>EXP(-LN(2)/25)*AV87+(1-EXP(-LN(2)/25))/(LN(2)/25)*Calculateur!AQ88*Calculateur!AS88*VLOOKUP('Données projet'!$B$10,Paramètres!$A$1:$I$89,3,0)*0.475*44/12</f>
        <v>0.2430595037540742</v>
      </c>
      <c r="AW88" s="23">
        <f>EXP(-LN(2)/2)*AW87+(1-EXP(-LN(2)/2))/(LN(2)/2)*AQ88*AT88*VLOOKUP('Données projet'!$B$10,Paramètres!$A$1:$I$89,3,0)*0.475*44/12</f>
        <v>9.9283167441150032E-8</v>
      </c>
      <c r="AX88" s="23">
        <f t="shared" si="60"/>
        <v>1.8136150651539682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326</v>
      </c>
      <c r="BB88" s="13">
        <f>VLOOKUP(A88,'Données projet'!$A$87:$I$107,9,0)</f>
        <v>6.8</v>
      </c>
      <c r="BC88" s="13">
        <f t="array" ref="BC88">INDEX(BB:BB,MIN(IF(ISNUMBER(BB88:BB284),ROW(BB88:BB284),"")))</f>
        <v>6.8</v>
      </c>
      <c r="BD88" s="13">
        <f>IF('Données projet'!$A$88&gt;35,BD87+BC88-BL87,IF(A88&lt;'Données projet'!$A$88,$BA$205^A88,IF(A88='Données projet'!$A$88,'Données projet'!$B$88,BD87+BC88-BL87)))</f>
        <v>326.00000000000006</v>
      </c>
      <c r="BE88" s="14">
        <f>BD88*VLOOKUP('Données projet'!$B$11,Paramètres!$A$1:$I$89,3,0)*VLOOKUP('Données projet'!$B$11,Paramètres!$A$1:$I$89,5,0)</f>
        <v>294.96480000000003</v>
      </c>
      <c r="BF88" s="14">
        <f t="shared" si="91"/>
        <v>70.119854541045001</v>
      </c>
      <c r="BG88" s="22">
        <f t="shared" si="61"/>
        <v>635.85577332565333</v>
      </c>
      <c r="BH88" s="62">
        <f t="shared" si="62"/>
        <v>908.47823405393478</v>
      </c>
      <c r="BI88" s="62">
        <f ca="1">AVERAGE(OFFSET($BH$3,0,0,'Données projet'!$E$11+1,1))-AVERAGE(OFFSET($H$3,0,0,'Données projet'!$E$11+1,1))</f>
        <v>472.46893084347687</v>
      </c>
      <c r="BJ88" s="62">
        <f t="shared" si="92"/>
        <v>297.32483725004136</v>
      </c>
      <c r="BK88" s="16">
        <f>IF(ISNA(VLOOKUP(A88,'Données projet'!$A$87:$I$107,3,0)),0,VLOOKUP(A88,'Données projet'!$A$87:$I$107,3,0))</f>
        <v>14</v>
      </c>
      <c r="BL88" s="16">
        <f>IF(ISNA(VLOOKUP(A88,'Données projet'!$A$87:$I$107,4,0)),0,VLOOKUP(A88,'Données projet'!$A$87:$I$107,4,0))</f>
        <v>28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1.6868929037550024</v>
      </c>
      <c r="BQ88" s="23">
        <f>EXP(-LN(2)/25)*BQ87+(1-EXP(-LN(2)/25))/(LN(2)/25)*Calculateur!BL88*Calculateur!BN88*VLOOKUP('Données projet'!$B$11,Paramètres!$A$1:$I$89,3,0)*0.475*44/12</f>
        <v>0.26106391143956109</v>
      </c>
      <c r="BR88" s="23">
        <f>EXP(-LN(2)/2)*BR87+(1-EXP(-LN(2)/2))/(LN(2)/2)*BL88*BO88*VLOOKUP('Données projet'!$B$11,Paramètres!$A$1:$I$89,3,0)*0.475*44/12</f>
        <v>1.0663747614049444E-7</v>
      </c>
      <c r="BS88" s="24">
        <f t="shared" si="63"/>
        <v>1.9479569218320396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17.5</v>
      </c>
      <c r="BY88" s="13">
        <f>IF('Données projet'!$A$114&gt;35,BY87+BX88-CG87,IF(A88&lt;'Données projet'!$A$114,$BV$205^A88,IF(A88='Données projet'!$A$114,'Données projet'!$B$114,BY87+BX88-CG87)))</f>
        <v>585.49999999999989</v>
      </c>
      <c r="BZ88" s="14">
        <f>BY88*VLOOKUP('Données projet'!$B$12,Paramètres!$A$1:$I$89,3,0)*VLOOKUP('Données projet'!$B$12,Paramètres!$A$1:$I$89,5,0)</f>
        <v>274.01399999999995</v>
      </c>
      <c r="CA88" s="14">
        <f t="shared" si="93"/>
        <v>65.700408366571935</v>
      </c>
      <c r="CB88" s="22">
        <f t="shared" si="64"/>
        <v>591.66926123844598</v>
      </c>
      <c r="CC88" s="62">
        <f t="shared" si="65"/>
        <v>864.29172196672744</v>
      </c>
      <c r="CD88" s="62">
        <f ca="1">AVERAGE(OFFSET($CC$3,0,0,'Données projet'!$E$12+1,1))-AVERAGE(OFFSET($H$3,0,0,'Données projet'!$E$12+1,1))</f>
        <v>426.87921482911719</v>
      </c>
      <c r="CE88" s="62">
        <f t="shared" si="94"/>
        <v>313.49594674441835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-1.1368683772161603E-13</v>
      </c>
      <c r="CU88" s="18">
        <f>CT88*VLOOKUP('Données projet'!$B$13,Paramètres!$A$1:$I$89,3,0)*VLOOKUP('Données projet'!$B$13,Paramètres!$A$1:$I$89,5,0)</f>
        <v>-6.7984728957526396E-14</v>
      </c>
      <c r="CV88" s="14" t="e">
        <f t="shared" si="95"/>
        <v>#NUM!</v>
      </c>
      <c r="CW88" s="22" t="e">
        <f t="shared" si="67"/>
        <v>#NUM!</v>
      </c>
      <c r="CX88" s="62" t="e">
        <f t="shared" si="68"/>
        <v>#NUM!</v>
      </c>
      <c r="CY88" s="62">
        <f ca="1">AVERAGE(OFFSET($CX$3,0,0,'Données projet'!$E$13+1,1))-AVERAGE(OFFSET($H$3,0,0,'Données projet'!$E$13+1,1))</f>
        <v>367.11994336501527</v>
      </c>
      <c r="CZ88" s="62">
        <f t="shared" si="96"/>
        <v>390.81417197867484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11.658980591452549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2.4254974243833998E-8</v>
      </c>
      <c r="DI88" s="24">
        <f t="shared" si="69"/>
        <v>11.658980615707524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1.9895196601282805E-13</v>
      </c>
      <c r="O89" s="14">
        <f>N89*VLOOKUP('Données projet'!$B$9,Paramètres!$A$1:$I$89,3,0)*VLOOKUP('Données projet'!$B$9,Paramètres!$A$1:$I$89,5,0)</f>
        <v>1.8001173884840681E-13</v>
      </c>
      <c r="P89" s="14">
        <f t="shared" si="87"/>
        <v>2.5254331426407198E-12</v>
      </c>
      <c r="Q89" s="22">
        <f t="shared" si="54"/>
        <v>4.7119831685935622E-12</v>
      </c>
      <c r="R89" s="62">
        <f t="shared" si="55"/>
        <v>272.98174806540942</v>
      </c>
      <c r="S89" s="62">
        <f ca="1">AVERAGE(OFFSET($R$3,0,0,'Données projet'!$E$9+1,1))-AVERAGE(OFFSET($H$3,0,0,'Données projet'!$E$9+1,1))</f>
        <v>312.43110610485337</v>
      </c>
      <c r="T89" s="62">
        <f t="shared" si="88"/>
        <v>442.54749157177571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0.17817446731491432</v>
      </c>
      <c r="AA89" s="23">
        <f>EXP(-LN(2)/25)*AA88+(1-EXP(-LN(2)/25))/(LN(2)/25)*Calculateur!V89*Calculateur!X89*VLOOKUP('Données projet'!$B$9,Paramètres!$A$1:$I$89,3,0)*0.475*44/12</f>
        <v>0.19930168129119988</v>
      </c>
      <c r="AB89" s="23">
        <f>EXP(-LN(2)/2)*AB88+(1-EXP(-LN(2)/2))/(LN(2)/2)*V89*Y89*VLOOKUP('Données projet'!$B$9,Paramètres!$A$1:$I$89,3,0)*0.475*44/12</f>
        <v>1.4311314320218975E-8</v>
      </c>
      <c r="AC89" s="24">
        <f t="shared" si="57"/>
        <v>0.37747616291742853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6.4</v>
      </c>
      <c r="AI89" s="14">
        <f>IF('Données projet'!$A$62&gt;35,AI88+AH89-AQ88,IF(A89&lt;'Données projet'!$A$62,$AF$205^A89,IF(A89='Données projet'!$A$62,'Données projet'!$B$62,AI88+AH89-AQ88)))</f>
        <v>304.40000000000003</v>
      </c>
      <c r="AJ89" s="14">
        <f>AI89*VLOOKUP('Données projet'!$B$10,Paramètres!$A$1:$I$89,3,0)*VLOOKUP('Données projet'!$B$10,Paramètres!$A$1:$I$89,5,0)</f>
        <v>256.42656000000005</v>
      </c>
      <c r="AK89" s="14">
        <f t="shared" si="89"/>
        <v>61.960052520146306</v>
      </c>
      <c r="AL89" s="22">
        <f t="shared" si="58"/>
        <v>554.52335013925483</v>
      </c>
      <c r="AM89" s="62">
        <f t="shared" si="59"/>
        <v>827.50509820465959</v>
      </c>
      <c r="AN89" s="62">
        <f ca="1">AVERAGE(OFFSET($AM$3,0,0,'Données projet'!$E$10+1,1))-AVERAGE(OFFSET($H$3,0,0,'Données projet'!$E$10+1,1))</f>
        <v>445.02659128831181</v>
      </c>
      <c r="AO89" s="62">
        <f t="shared" si="90"/>
        <v>281.06176764290592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1.5397578274488604</v>
      </c>
      <c r="AV89" s="23">
        <f>EXP(-LN(2)/25)*AV88+(1-EXP(-LN(2)/25))/(LN(2)/25)*Calculateur!AQ89*Calculateur!AS89*VLOOKUP('Données projet'!$B$10,Paramètres!$A$1:$I$89,3,0)*0.475*44/12</f>
        <v>0.23641302884197526</v>
      </c>
      <c r="AW89" s="23">
        <f>EXP(-LN(2)/2)*AW88+(1-EXP(-LN(2)/2))/(LN(2)/2)*AQ89*AT89*VLOOKUP('Données projet'!$B$10,Paramètres!$A$1:$I$89,3,0)*0.475*44/12</f>
        <v>7.0203800955316634E-8</v>
      </c>
      <c r="AX89" s="23">
        <f t="shared" si="60"/>
        <v>1.7761709264946366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6.4</v>
      </c>
      <c r="BD89" s="13">
        <f>IF('Données projet'!$A$88&gt;35,BD88+BC89-BL88,IF(A89&lt;'Données projet'!$A$88,$BA$205^A89,IF(A89='Données projet'!$A$88,'Données projet'!$B$88,BD88+BC89-BL88)))</f>
        <v>304.40000000000003</v>
      </c>
      <c r="BE89" s="14">
        <f>BD89*VLOOKUP('Données projet'!$B$11,Paramètres!$A$1:$I$89,3,0)*VLOOKUP('Données projet'!$B$11,Paramètres!$A$1:$I$89,5,0)</f>
        <v>275.42112000000003</v>
      </c>
      <c r="BF89" s="14">
        <f t="shared" si="91"/>
        <v>65.998433293601067</v>
      </c>
      <c r="BG89" s="22">
        <f t="shared" si="61"/>
        <v>594.63905531968851</v>
      </c>
      <c r="BH89" s="62">
        <f t="shared" si="62"/>
        <v>867.62080338509327</v>
      </c>
      <c r="BI89" s="62">
        <f ca="1">AVERAGE(OFFSET($BH$3,0,0,'Données projet'!$E$11+1,1))-AVERAGE(OFFSET($H$3,0,0,'Données projet'!$E$11+1,1))</f>
        <v>472.46893084347687</v>
      </c>
      <c r="BJ89" s="62">
        <f t="shared" si="92"/>
        <v>297.32483725004136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1.6538139628154425</v>
      </c>
      <c r="BQ89" s="23">
        <f>EXP(-LN(2)/25)*BQ88+(1-EXP(-LN(2)/25))/(LN(2)/25)*Calculateur!BL89*Calculateur!BN89*VLOOKUP('Données projet'!$B$11,Paramètres!$A$1:$I$89,3,0)*0.475*44/12</f>
        <v>0.25392510505249188</v>
      </c>
      <c r="BR89" s="23">
        <f>EXP(-LN(2)/2)*BR88+(1-EXP(-LN(2)/2))/(LN(2)/2)*BL89*BO89*VLOOKUP('Données projet'!$B$11,Paramètres!$A$1:$I$89,3,0)*0.475*44/12</f>
        <v>7.5404082507562283E-8</v>
      </c>
      <c r="BS89" s="24">
        <f t="shared" si="63"/>
        <v>1.9077391432720168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17.5</v>
      </c>
      <c r="BY89" s="13">
        <f>IF('Données projet'!$A$114&gt;35,BY88+BX89-CG88,IF(A89&lt;'Données projet'!$A$114,$BV$205^A89,IF(A89='Données projet'!$A$114,'Données projet'!$B$114,BY88+BX89-CG88)))</f>
        <v>602.99999999999989</v>
      </c>
      <c r="BZ89" s="14">
        <f>BY89*VLOOKUP('Données projet'!$B$12,Paramètres!$A$1:$I$89,3,0)*VLOOKUP('Données projet'!$B$12,Paramètres!$A$1:$I$89,5,0)</f>
        <v>282.20399999999995</v>
      </c>
      <c r="CA89" s="14">
        <f t="shared" si="93"/>
        <v>67.432564684485186</v>
      </c>
      <c r="CB89" s="22">
        <f t="shared" si="64"/>
        <v>608.9503501588116</v>
      </c>
      <c r="CC89" s="62">
        <f t="shared" si="65"/>
        <v>881.93209822421636</v>
      </c>
      <c r="CD89" s="62">
        <f ca="1">AVERAGE(OFFSET($CC$3,0,0,'Données projet'!$E$12+1,1))-AVERAGE(OFFSET($H$3,0,0,'Données projet'!$E$12+1,1))</f>
        <v>426.87921482911719</v>
      </c>
      <c r="CE89" s="62">
        <f t="shared" si="94"/>
        <v>313.49594674441835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-1.1368683772161603E-13</v>
      </c>
      <c r="CU89" s="18">
        <f>CT89*VLOOKUP('Données projet'!$B$13,Paramètres!$A$1:$I$89,3,0)*VLOOKUP('Données projet'!$B$13,Paramètres!$A$1:$I$89,5,0)</f>
        <v>-6.7984728957526396E-14</v>
      </c>
      <c r="CV89" s="14" t="e">
        <f t="shared" si="95"/>
        <v>#NUM!</v>
      </c>
      <c r="CW89" s="22" t="e">
        <f t="shared" si="67"/>
        <v>#NUM!</v>
      </c>
      <c r="CX89" s="62" t="e">
        <f t="shared" si="68"/>
        <v>#NUM!</v>
      </c>
      <c r="CY89" s="62">
        <f ca="1">AVERAGE(OFFSET($CX$3,0,0,'Données projet'!$E$13+1,1))-AVERAGE(OFFSET($H$3,0,0,'Données projet'!$E$13+1,1))</f>
        <v>367.11994336501527</v>
      </c>
      <c r="CZ89" s="62">
        <f t="shared" si="96"/>
        <v>390.81417197867484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11.430355093330144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1.7150856765320072E-8</v>
      </c>
      <c r="DI89" s="24">
        <f t="shared" si="69"/>
        <v>11.430355110481001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1.9895196601282805E-13</v>
      </c>
      <c r="O90" s="14">
        <f>N90*VLOOKUP('Données projet'!$B$9,Paramètres!$A$1:$I$89,3,0)*VLOOKUP('Données projet'!$B$9,Paramètres!$A$1:$I$89,5,0)</f>
        <v>1.8001173884840681E-13</v>
      </c>
      <c r="P90" s="14">
        <f t="shared" si="87"/>
        <v>2.5254331426407198E-12</v>
      </c>
      <c r="Q90" s="22">
        <f t="shared" si="54"/>
        <v>4.7119831685935622E-12</v>
      </c>
      <c r="R90" s="62">
        <f t="shared" si="55"/>
        <v>273.33480257047955</v>
      </c>
      <c r="S90" s="62">
        <f ca="1">AVERAGE(OFFSET($R$3,0,0,'Données projet'!$E$9+1,1))-AVERAGE(OFFSET($H$3,0,0,'Données projet'!$E$9+1,1))</f>
        <v>312.43110610485337</v>
      </c>
      <c r="T90" s="62">
        <f t="shared" si="88"/>
        <v>442.54749157177571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0.17468057468656309</v>
      </c>
      <c r="AA90" s="23">
        <f>EXP(-LN(2)/25)*AA89+(1-EXP(-LN(2)/25))/(LN(2)/25)*Calculateur!V90*Calculateur!X90*VLOOKUP('Données projet'!$B$9,Paramètres!$A$1:$I$89,3,0)*0.475*44/12</f>
        <v>0.1938517663354721</v>
      </c>
      <c r="AB90" s="23">
        <f>EXP(-LN(2)/2)*AB89+(1-EXP(-LN(2)/2))/(LN(2)/2)*V90*Y90*VLOOKUP('Données projet'!$B$9,Paramètres!$A$1:$I$89,3,0)*0.475*44/12</f>
        <v>1.0119627403518983E-8</v>
      </c>
      <c r="AC90" s="24">
        <f t="shared" si="57"/>
        <v>0.36853235114166261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6.4</v>
      </c>
      <c r="AI90" s="14">
        <f>IF('Données projet'!$A$62&gt;35,AI89+AH90-AQ89,IF(A90&lt;'Données projet'!$A$62,$AF$205^A90,IF(A90='Données projet'!$A$62,'Données projet'!$B$62,AI89+AH90-AQ89)))</f>
        <v>310.8</v>
      </c>
      <c r="AJ90" s="14">
        <f>AI90*VLOOKUP('Données projet'!$B$10,Paramètres!$A$1:$I$89,3,0)*VLOOKUP('Données projet'!$B$10,Paramètres!$A$1:$I$89,5,0)</f>
        <v>261.81792000000002</v>
      </c>
      <c r="AK90" s="14">
        <f t="shared" si="89"/>
        <v>63.109727755181751</v>
      </c>
      <c r="AL90" s="22">
        <f t="shared" si="58"/>
        <v>565.91565317360812</v>
      </c>
      <c r="AM90" s="62">
        <f t="shared" si="59"/>
        <v>839.25045574408296</v>
      </c>
      <c r="AN90" s="62">
        <f ca="1">AVERAGE(OFFSET($AM$3,0,0,'Données projet'!$E$10+1,1))-AVERAGE(OFFSET($H$3,0,0,'Données projet'!$E$10+1,1))</f>
        <v>445.02659128831181</v>
      </c>
      <c r="AO90" s="62">
        <f t="shared" si="90"/>
        <v>281.06176764290592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1.5095641156121287</v>
      </c>
      <c r="AV90" s="23">
        <f>EXP(-LN(2)/25)*AV89+(1-EXP(-LN(2)/25))/(LN(2)/25)*Calculateur!AQ90*Calculateur!AS90*VLOOKUP('Données projet'!$B$10,Paramètres!$A$1:$I$89,3,0)*0.475*44/12</f>
        <v>0.22994830213587059</v>
      </c>
      <c r="AW90" s="23">
        <f>EXP(-LN(2)/2)*AW89+(1-EXP(-LN(2)/2))/(LN(2)/2)*AQ90*AT90*VLOOKUP('Données projet'!$B$10,Paramètres!$A$1:$I$89,3,0)*0.475*44/12</f>
        <v>4.9641583720575016E-8</v>
      </c>
      <c r="AX90" s="23">
        <f t="shared" si="60"/>
        <v>1.739512467389583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6.4</v>
      </c>
      <c r="BD90" s="13">
        <f>IF('Données projet'!$A$88&gt;35,BD89+BC90-BL89,IF(A90&lt;'Données projet'!$A$88,$BA$205^A90,IF(A90='Données projet'!$A$88,'Données projet'!$B$88,BD89+BC90-BL89)))</f>
        <v>310.8</v>
      </c>
      <c r="BE90" s="14">
        <f>BD90*VLOOKUP('Données projet'!$B$11,Paramètres!$A$1:$I$89,3,0)*VLOOKUP('Données projet'!$B$11,Paramètres!$A$1:$I$89,5,0)</f>
        <v>281.21184</v>
      </c>
      <c r="BF90" s="14">
        <f t="shared" si="91"/>
        <v>67.22304110496664</v>
      </c>
      <c r="BG90" s="22">
        <f t="shared" si="61"/>
        <v>606.85741792448357</v>
      </c>
      <c r="BH90" s="62">
        <f t="shared" si="62"/>
        <v>880.19222049495841</v>
      </c>
      <c r="BI90" s="62">
        <f ca="1">AVERAGE(OFFSET($BH$3,0,0,'Données projet'!$E$11+1,1))-AVERAGE(OFFSET($H$3,0,0,'Données projet'!$E$11+1,1))</f>
        <v>472.46893084347687</v>
      </c>
      <c r="BJ90" s="62">
        <f t="shared" si="92"/>
        <v>297.32483725004136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1.6213836797315455</v>
      </c>
      <c r="BQ90" s="23">
        <f>EXP(-LN(2)/25)*BQ89+(1-EXP(-LN(2)/25))/(LN(2)/25)*Calculateur!BL90*Calculateur!BN90*VLOOKUP('Données projet'!$B$11,Paramètres!$A$1:$I$89,3,0)*0.475*44/12</f>
        <v>0.24698150970149058</v>
      </c>
      <c r="BR90" s="23">
        <f>EXP(-LN(2)/2)*BR89+(1-EXP(-LN(2)/2))/(LN(2)/2)*BL90*BO90*VLOOKUP('Données projet'!$B$11,Paramètres!$A$1:$I$89,3,0)*0.475*44/12</f>
        <v>5.331873807024722E-8</v>
      </c>
      <c r="BS90" s="24">
        <f t="shared" si="63"/>
        <v>1.8683652427517743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17.5</v>
      </c>
      <c r="BY90" s="13">
        <f>IF('Données projet'!$A$114&gt;35,BY89+BX90-CG89,IF(A90&lt;'Données projet'!$A$114,$BV$205^A90,IF(A90='Données projet'!$A$114,'Données projet'!$B$114,BY89+BX90-CG89)))</f>
        <v>620.49999999999989</v>
      </c>
      <c r="BZ90" s="14">
        <f>BY90*VLOOKUP('Données projet'!$B$12,Paramètres!$A$1:$I$89,3,0)*VLOOKUP('Données projet'!$B$12,Paramètres!$A$1:$I$89,5,0)</f>
        <v>290.39399999999995</v>
      </c>
      <c r="CA90" s="14">
        <f t="shared" si="93"/>
        <v>69.158878594433091</v>
      </c>
      <c r="CB90" s="22">
        <f t="shared" si="64"/>
        <v>626.22126355197076</v>
      </c>
      <c r="CC90" s="62">
        <f t="shared" si="65"/>
        <v>899.5560661224456</v>
      </c>
      <c r="CD90" s="62">
        <f ca="1">AVERAGE(OFFSET($CC$3,0,0,'Données projet'!$E$12+1,1))-AVERAGE(OFFSET($H$3,0,0,'Données projet'!$E$12+1,1))</f>
        <v>426.87921482911719</v>
      </c>
      <c r="CE90" s="62">
        <f t="shared" si="94"/>
        <v>313.49594674441835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-1.1368683772161603E-13</v>
      </c>
      <c r="CU90" s="18">
        <f>CT90*VLOOKUP('Données projet'!$B$13,Paramètres!$A$1:$I$89,3,0)*VLOOKUP('Données projet'!$B$13,Paramètres!$A$1:$I$89,5,0)</f>
        <v>-6.7984728957526396E-14</v>
      </c>
      <c r="CV90" s="14" t="e">
        <f t="shared" si="95"/>
        <v>#NUM!</v>
      </c>
      <c r="CW90" s="22" t="e">
        <f t="shared" si="67"/>
        <v>#NUM!</v>
      </c>
      <c r="CX90" s="62" t="e">
        <f t="shared" si="68"/>
        <v>#NUM!</v>
      </c>
      <c r="CY90" s="62">
        <f ca="1">AVERAGE(OFFSET($CX$3,0,0,'Données projet'!$E$13+1,1))-AVERAGE(OFFSET($H$3,0,0,'Données projet'!$E$13+1,1))</f>
        <v>367.11994336501527</v>
      </c>
      <c r="CZ90" s="62">
        <f t="shared" si="96"/>
        <v>390.81417197867484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11.206212801778136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1.2127487121916999E-8</v>
      </c>
      <c r="DI90" s="24">
        <f t="shared" si="69"/>
        <v>11.206212813905623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1.9895196601282805E-13</v>
      </c>
      <c r="O91" s="14">
        <f>N91*VLOOKUP('Données projet'!$B$9,Paramètres!$A$1:$I$89,3,0)*VLOOKUP('Données projet'!$B$9,Paramètres!$A$1:$I$89,5,0)</f>
        <v>1.8001173884840681E-13</v>
      </c>
      <c r="P91" s="14">
        <f t="shared" si="87"/>
        <v>2.5254331426407198E-12</v>
      </c>
      <c r="Q91" s="22">
        <f t="shared" si="54"/>
        <v>4.7119831685935622E-12</v>
      </c>
      <c r="R91" s="62">
        <f t="shared" si="55"/>
        <v>273.68173236919841</v>
      </c>
      <c r="S91" s="62">
        <f ca="1">AVERAGE(OFFSET($R$3,0,0,'Données projet'!$E$9+1,1))-AVERAGE(OFFSET($H$3,0,0,'Données projet'!$E$9+1,1))</f>
        <v>312.43110610485337</v>
      </c>
      <c r="T91" s="62">
        <f t="shared" si="88"/>
        <v>442.54749157177571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0.17125519516158974</v>
      </c>
      <c r="AA91" s="23">
        <f>EXP(-LN(2)/25)*AA90+(1-EXP(-LN(2)/25))/(LN(2)/25)*Calculateur!V91*Calculateur!X91*VLOOKUP('Données projet'!$B$9,Paramètres!$A$1:$I$89,3,0)*0.475*44/12</f>
        <v>0.18855087959080727</v>
      </c>
      <c r="AB91" s="23">
        <f>EXP(-LN(2)/2)*AB90+(1-EXP(-LN(2)/2))/(LN(2)/2)*V91*Y91*VLOOKUP('Données projet'!$B$9,Paramètres!$A$1:$I$89,3,0)*0.475*44/12</f>
        <v>7.1556571601094875E-9</v>
      </c>
      <c r="AC91" s="24">
        <f t="shared" si="57"/>
        <v>0.35980608190805419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6.4</v>
      </c>
      <c r="AI91" s="14">
        <f>IF('Données projet'!$A$62&gt;35,AI90+AH91-AQ90,IF(A91&lt;'Données projet'!$A$62,$AF$205^A91,IF(A91='Données projet'!$A$62,'Données projet'!$B$62,AI90+AH91-AQ90)))</f>
        <v>317.2</v>
      </c>
      <c r="AJ91" s="14">
        <f>AI91*VLOOKUP('Données projet'!$B$10,Paramètres!$A$1:$I$89,3,0)*VLOOKUP('Données projet'!$B$10,Paramètres!$A$1:$I$89,5,0)</f>
        <v>267.20928000000004</v>
      </c>
      <c r="AK91" s="14">
        <f t="shared" si="89"/>
        <v>64.256650415058076</v>
      </c>
      <c r="AL91" s="22">
        <f t="shared" si="58"/>
        <v>577.3031621395595</v>
      </c>
      <c r="AM91" s="62">
        <f t="shared" si="59"/>
        <v>850.9848945087532</v>
      </c>
      <c r="AN91" s="62">
        <f ca="1">AVERAGE(OFFSET($AM$3,0,0,'Données projet'!$E$10+1,1))-AVERAGE(OFFSET($H$3,0,0,'Données projet'!$E$10+1,1))</f>
        <v>445.02659128831181</v>
      </c>
      <c r="AO91" s="62">
        <f t="shared" si="90"/>
        <v>281.06176764290592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1.4799624840481695</v>
      </c>
      <c r="AV91" s="23">
        <f>EXP(-LN(2)/25)*AV90+(1-EXP(-LN(2)/25))/(LN(2)/25)*Calculateur!AQ91*Calculateur!AS91*VLOOKUP('Données projet'!$B$10,Paramètres!$A$1:$I$89,3,0)*0.475*44/12</f>
        <v>0.22366035372150955</v>
      </c>
      <c r="AW91" s="23">
        <f>EXP(-LN(2)/2)*AW90+(1-EXP(-LN(2)/2))/(LN(2)/2)*AQ91*AT91*VLOOKUP('Données projet'!$B$10,Paramètres!$A$1:$I$89,3,0)*0.475*44/12</f>
        <v>3.5101900477658317E-8</v>
      </c>
      <c r="AX91" s="23">
        <f t="shared" si="60"/>
        <v>1.7036228728715797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6.4</v>
      </c>
      <c r="BD91" s="13">
        <f>IF('Données projet'!$A$88&gt;35,BD90+BC91-BL90,IF(A91&lt;'Données projet'!$A$88,$BA$205^A91,IF(A91='Données projet'!$A$88,'Données projet'!$B$88,BD90+BC91-BL90)))</f>
        <v>317.2</v>
      </c>
      <c r="BE91" s="14">
        <f>BD91*VLOOKUP('Données projet'!$B$11,Paramètres!$A$1:$I$89,3,0)*VLOOKUP('Données projet'!$B$11,Paramètres!$A$1:$I$89,5,0)</f>
        <v>287.00255999999996</v>
      </c>
      <c r="BF91" s="14">
        <f t="shared" si="91"/>
        <v>68.444716936118553</v>
      </c>
      <c r="BG91" s="22">
        <f t="shared" si="61"/>
        <v>619.07067399707296</v>
      </c>
      <c r="BH91" s="62">
        <f t="shared" si="62"/>
        <v>892.75240636626665</v>
      </c>
      <c r="BI91" s="62">
        <f ca="1">AVERAGE(OFFSET($BH$3,0,0,'Données projet'!$E$11+1,1))-AVERAGE(OFFSET($H$3,0,0,'Données projet'!$E$11+1,1))</f>
        <v>472.46893084347687</v>
      </c>
      <c r="BJ91" s="62">
        <f t="shared" si="92"/>
        <v>297.32483725004136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1.5895893347184042</v>
      </c>
      <c r="BQ91" s="23">
        <f>EXP(-LN(2)/25)*BQ90+(1-EXP(-LN(2)/25))/(LN(2)/25)*Calculateur!BL91*Calculateur!BN91*VLOOKUP('Données projet'!$B$11,Paramètres!$A$1:$I$89,3,0)*0.475*44/12</f>
        <v>0.2402277873305102</v>
      </c>
      <c r="BR91" s="23">
        <f>EXP(-LN(2)/2)*BR90+(1-EXP(-LN(2)/2))/(LN(2)/2)*BL91*BO91*VLOOKUP('Données projet'!$B$11,Paramètres!$A$1:$I$89,3,0)*0.475*44/12</f>
        <v>3.7702041253781142E-8</v>
      </c>
      <c r="BS91" s="24">
        <f t="shared" si="63"/>
        <v>1.8298171597509556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17.5</v>
      </c>
      <c r="BY91" s="13">
        <f>IF('Données projet'!$A$114&gt;35,BY90+BX91-CG90,IF(A91&lt;'Données projet'!$A$114,$BV$205^A91,IF(A91='Données projet'!$A$114,'Données projet'!$B$114,BY90+BX91-CG90)))</f>
        <v>637.99999999999989</v>
      </c>
      <c r="BZ91" s="14">
        <f>BY91*VLOOKUP('Données projet'!$B$12,Paramètres!$A$1:$I$89,3,0)*VLOOKUP('Données projet'!$B$12,Paramètres!$A$1:$I$89,5,0)</f>
        <v>298.58399999999995</v>
      </c>
      <c r="CA91" s="14">
        <f t="shared" si="93"/>
        <v>70.879533797607607</v>
      </c>
      <c r="CB91" s="22">
        <f t="shared" si="64"/>
        <v>643.48232136416652</v>
      </c>
      <c r="CC91" s="62">
        <f t="shared" si="65"/>
        <v>917.16405373336022</v>
      </c>
      <c r="CD91" s="62">
        <f ca="1">AVERAGE(OFFSET($CC$3,0,0,'Données projet'!$E$12+1,1))-AVERAGE(OFFSET($H$3,0,0,'Données projet'!$E$12+1,1))</f>
        <v>426.87921482911719</v>
      </c>
      <c r="CE91" s="62">
        <f t="shared" si="94"/>
        <v>313.49594674441835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-1.1368683772161603E-13</v>
      </c>
      <c r="CU91" s="18">
        <f>CT91*VLOOKUP('Données projet'!$B$13,Paramètres!$A$1:$I$89,3,0)*VLOOKUP('Données projet'!$B$13,Paramètres!$A$1:$I$89,5,0)</f>
        <v>-6.7984728957526396E-14</v>
      </c>
      <c r="CV91" s="14" t="e">
        <f t="shared" si="95"/>
        <v>#NUM!</v>
      </c>
      <c r="CW91" s="22" t="e">
        <f t="shared" si="67"/>
        <v>#NUM!</v>
      </c>
      <c r="CX91" s="62" t="e">
        <f t="shared" si="68"/>
        <v>#NUM!</v>
      </c>
      <c r="CY91" s="62">
        <f ca="1">AVERAGE(OFFSET($CX$3,0,0,'Données projet'!$E$13+1,1))-AVERAGE(OFFSET($H$3,0,0,'Données projet'!$E$13+1,1))</f>
        <v>367.11994336501527</v>
      </c>
      <c r="CZ91" s="62">
        <f t="shared" si="96"/>
        <v>390.81417197867484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10.986465803850164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8.5754283826600361E-9</v>
      </c>
      <c r="DI91" s="24">
        <f t="shared" si="69"/>
        <v>10.986465812425593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1.9895196601282805E-13</v>
      </c>
      <c r="O92" s="14">
        <f>N92*VLOOKUP('Données projet'!$B$9,Paramètres!$A$1:$I$89,3,0)*VLOOKUP('Données projet'!$B$9,Paramètres!$A$1:$I$89,5,0)</f>
        <v>1.8001173884840681E-13</v>
      </c>
      <c r="P92" s="14">
        <f t="shared" si="87"/>
        <v>2.5254331426407198E-12</v>
      </c>
      <c r="Q92" s="22">
        <f t="shared" si="54"/>
        <v>4.7119831685935622E-12</v>
      </c>
      <c r="R92" s="62">
        <f t="shared" si="55"/>
        <v>274.0226437115283</v>
      </c>
      <c r="S92" s="62">
        <f ca="1">AVERAGE(OFFSET($R$3,0,0,'Données projet'!$E$9+1,1))-AVERAGE(OFFSET($H$3,0,0,'Données projet'!$E$9+1,1))</f>
        <v>312.43110610485337</v>
      </c>
      <c r="T92" s="62">
        <f t="shared" si="88"/>
        <v>442.54749157177571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0.16789698523982591</v>
      </c>
      <c r="AA92" s="23">
        <f>EXP(-LN(2)/25)*AA91+(1-EXP(-LN(2)/25))/(LN(2)/25)*Calculateur!V92*Calculateur!X92*VLOOKUP('Données projet'!$B$9,Paramètres!$A$1:$I$89,3,0)*0.475*44/12</f>
        <v>0.18339494587293684</v>
      </c>
      <c r="AB92" s="23">
        <f>EXP(-LN(2)/2)*AB91+(1-EXP(-LN(2)/2))/(LN(2)/2)*V92*Y92*VLOOKUP('Données projet'!$B$9,Paramètres!$A$1:$I$89,3,0)*0.475*44/12</f>
        <v>5.0598137017594914E-9</v>
      </c>
      <c r="AC92" s="24">
        <f t="shared" si="57"/>
        <v>0.35129193617257642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6.4</v>
      </c>
      <c r="AI92" s="14">
        <f>IF('Données projet'!$A$62&gt;35,AI91+AH92-AQ91,IF(A92&lt;'Données projet'!$A$62,$AF$205^A92,IF(A92='Données projet'!$A$62,'Données projet'!$B$62,AI91+AH92-AQ91)))</f>
        <v>323.59999999999997</v>
      </c>
      <c r="AJ92" s="14">
        <f>AI92*VLOOKUP('Données projet'!$B$10,Paramètres!$A$1:$I$89,3,0)*VLOOKUP('Données projet'!$B$10,Paramètres!$A$1:$I$89,5,0)</f>
        <v>272.60064</v>
      </c>
      <c r="AK92" s="14">
        <f t="shared" si="89"/>
        <v>65.400882437522853</v>
      </c>
      <c r="AL92" s="22">
        <f t="shared" si="58"/>
        <v>588.68598491201885</v>
      </c>
      <c r="AM92" s="62">
        <f t="shared" si="59"/>
        <v>862.70862862354238</v>
      </c>
      <c r="AN92" s="62">
        <f ca="1">AVERAGE(OFFSET($AM$3,0,0,'Données projet'!$E$10+1,1))-AVERAGE(OFFSET($H$3,0,0,'Données projet'!$E$10+1,1))</f>
        <v>445.02659128831181</v>
      </c>
      <c r="AO92" s="62">
        <f t="shared" si="90"/>
        <v>281.06176764290592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1.4509413224239671</v>
      </c>
      <c r="AV92" s="23">
        <f>EXP(-LN(2)/25)*AV91+(1-EXP(-LN(2)/25))/(LN(2)/25)*Calculateur!AQ92*Calculateur!AS92*VLOOKUP('Données projet'!$B$10,Paramètres!$A$1:$I$89,3,0)*0.475*44/12</f>
        <v>0.21754434958720806</v>
      </c>
      <c r="AW92" s="23">
        <f>EXP(-LN(2)/2)*AW91+(1-EXP(-LN(2)/2))/(LN(2)/2)*AQ92*AT92*VLOOKUP('Données projet'!$B$10,Paramètres!$A$1:$I$89,3,0)*0.475*44/12</f>
        <v>2.4820791860287508E-8</v>
      </c>
      <c r="AX92" s="23">
        <f t="shared" si="60"/>
        <v>1.668485696831967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6.4</v>
      </c>
      <c r="BD92" s="13">
        <f>IF('Données projet'!$A$88&gt;35,BD91+BC92-BL91,IF(A92&lt;'Données projet'!$A$88,$BA$205^A92,IF(A92='Données projet'!$A$88,'Données projet'!$B$88,BD91+BC92-BL91)))</f>
        <v>323.59999999999997</v>
      </c>
      <c r="BE92" s="14">
        <f>BD92*VLOOKUP('Données projet'!$B$11,Paramètres!$A$1:$I$89,3,0)*VLOOKUP('Données projet'!$B$11,Paramètres!$A$1:$I$89,5,0)</f>
        <v>292.79327999999992</v>
      </c>
      <c r="BF92" s="14">
        <f t="shared" si="91"/>
        <v>69.663526761731433</v>
      </c>
      <c r="BG92" s="22">
        <f t="shared" si="61"/>
        <v>631.27893844334869</v>
      </c>
      <c r="BH92" s="62">
        <f t="shared" si="62"/>
        <v>905.30158215487222</v>
      </c>
      <c r="BI92" s="62">
        <f ca="1">AVERAGE(OFFSET($BH$3,0,0,'Données projet'!$E$11+1,1))-AVERAGE(OFFSET($H$3,0,0,'Données projet'!$E$11+1,1))</f>
        <v>472.46893084347687</v>
      </c>
      <c r="BJ92" s="62">
        <f t="shared" si="92"/>
        <v>297.32483725004136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1.5584184574183351</v>
      </c>
      <c r="BQ92" s="23">
        <f>EXP(-LN(2)/25)*BQ91+(1-EXP(-LN(2)/25))/(LN(2)/25)*Calculateur!BL92*Calculateur!BN92*VLOOKUP('Données projet'!$B$11,Paramètres!$A$1:$I$89,3,0)*0.475*44/12</f>
        <v>0.23365874585292712</v>
      </c>
      <c r="BR92" s="23">
        <f>EXP(-LN(2)/2)*BR91+(1-EXP(-LN(2)/2))/(LN(2)/2)*BL92*BO92*VLOOKUP('Données projet'!$B$11,Paramètres!$A$1:$I$89,3,0)*0.475*44/12</f>
        <v>2.665936903512361E-8</v>
      </c>
      <c r="BS92" s="24">
        <f t="shared" si="63"/>
        <v>1.7920772299306311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17.5</v>
      </c>
      <c r="BY92" s="13">
        <f>IF('Données projet'!$A$114&gt;35,BY91+BX92-CG91,IF(A92&lt;'Données projet'!$A$114,$BV$205^A92,IF(A92='Données projet'!$A$114,'Données projet'!$B$114,BY91+BX92-CG91)))</f>
        <v>655.49999999999989</v>
      </c>
      <c r="BZ92" s="14">
        <f>BY92*VLOOKUP('Données projet'!$B$12,Paramètres!$A$1:$I$89,3,0)*VLOOKUP('Données projet'!$B$12,Paramètres!$A$1:$I$89,5,0)</f>
        <v>306.77399999999994</v>
      </c>
      <c r="CA92" s="14">
        <f t="shared" si="93"/>
        <v>72.594703343999058</v>
      </c>
      <c r="CB92" s="22">
        <f t="shared" si="64"/>
        <v>660.73382499079833</v>
      </c>
      <c r="CC92" s="62">
        <f t="shared" si="65"/>
        <v>934.75646870232185</v>
      </c>
      <c r="CD92" s="62">
        <f ca="1">AVERAGE(OFFSET($CC$3,0,0,'Données projet'!$E$12+1,1))-AVERAGE(OFFSET($H$3,0,0,'Données projet'!$E$12+1,1))</f>
        <v>426.87921482911719</v>
      </c>
      <c r="CE92" s="62">
        <f t="shared" si="94"/>
        <v>313.49594674441835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-1.1368683772161603E-13</v>
      </c>
      <c r="CU92" s="18">
        <f>CT92*VLOOKUP('Données projet'!$B$13,Paramètres!$A$1:$I$89,3,0)*VLOOKUP('Données projet'!$B$13,Paramètres!$A$1:$I$89,5,0)</f>
        <v>-6.7984728957526396E-14</v>
      </c>
      <c r="CV92" s="14" t="e">
        <f t="shared" si="95"/>
        <v>#NUM!</v>
      </c>
      <c r="CW92" s="22" t="e">
        <f t="shared" si="67"/>
        <v>#NUM!</v>
      </c>
      <c r="CX92" s="62" t="e">
        <f t="shared" si="68"/>
        <v>#NUM!</v>
      </c>
      <c r="CY92" s="62">
        <f ca="1">AVERAGE(OFFSET($CX$3,0,0,'Données projet'!$E$13+1,1))-AVERAGE(OFFSET($H$3,0,0,'Données projet'!$E$13+1,1))</f>
        <v>367.11994336501527</v>
      </c>
      <c r="CZ92" s="62">
        <f t="shared" si="96"/>
        <v>390.81417197867484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10.771027910519125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6.0637435609584994E-9</v>
      </c>
      <c r="DI92" s="24">
        <f t="shared" si="69"/>
        <v>10.771027916582868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1.9895196601282805E-13</v>
      </c>
      <c r="O93" s="14">
        <f>N93*VLOOKUP('Données projet'!$B$9,Paramètres!$A$1:$I$89,3,0)*VLOOKUP('Données projet'!$B$9,Paramètres!$A$1:$I$89,5,0)</f>
        <v>1.8001173884840681E-13</v>
      </c>
      <c r="P93" s="14">
        <f t="shared" si="87"/>
        <v>2.5254331426407198E-12</v>
      </c>
      <c r="Q93" s="22">
        <f t="shared" si="54"/>
        <v>4.7119831685935622E-12</v>
      </c>
      <c r="R93" s="62">
        <f t="shared" si="55"/>
        <v>274.35764100423239</v>
      </c>
      <c r="S93" s="62">
        <f ca="1">AVERAGE(OFFSET($R$3,0,0,'Données projet'!$E$9+1,1))-AVERAGE(OFFSET($H$3,0,0,'Données projet'!$E$9+1,1))</f>
        <v>312.43110610485337</v>
      </c>
      <c r="T93" s="62">
        <f t="shared" si="88"/>
        <v>442.54749157177571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0.16460462776632206</v>
      </c>
      <c r="AA93" s="23">
        <f>EXP(-LN(2)/25)*AA92+(1-EXP(-LN(2)/25))/(LN(2)/25)*Calculateur!V93*Calculateur!X93*VLOOKUP('Données projet'!$B$9,Paramètres!$A$1:$I$89,3,0)*0.475*44/12</f>
        <v>0.17838000143372032</v>
      </c>
      <c r="AB93" s="23">
        <f>EXP(-LN(2)/2)*AB92+(1-EXP(-LN(2)/2))/(LN(2)/2)*V93*Y93*VLOOKUP('Données projet'!$B$9,Paramètres!$A$1:$I$89,3,0)*0.475*44/12</f>
        <v>3.5778285800547438E-9</v>
      </c>
      <c r="AC93" s="24">
        <f t="shared" si="57"/>
        <v>0.34298463277787095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330</v>
      </c>
      <c r="AG93" s="13">
        <f>VLOOKUP(A93,'Données projet'!$A$61:$I$81,9,0)</f>
        <v>6.4</v>
      </c>
      <c r="AH93" s="13">
        <f t="array" ref="AH93">INDEX(AG:AG,MIN(IF(ISNUMBER(AG93:AG289),ROW(AG93:AG289),"")))</f>
        <v>6.4</v>
      </c>
      <c r="AI93" s="14">
        <f>IF('Données projet'!$A$62&gt;35,AI92+AH93-AQ92,IF(A93&lt;'Données projet'!$A$62,$AF$205^A93,IF(A93='Données projet'!$A$62,'Données projet'!$B$62,AI92+AH93-AQ92)))</f>
        <v>329.99999999999994</v>
      </c>
      <c r="AJ93" s="14">
        <f>AI93*VLOOKUP('Données projet'!$B$10,Paramètres!$A$1:$I$89,3,0)*VLOOKUP('Données projet'!$B$10,Paramètres!$A$1:$I$89,5,0)</f>
        <v>277.99200000000002</v>
      </c>
      <c r="AK93" s="14">
        <f t="shared" si="89"/>
        <v>66.542483170264177</v>
      </c>
      <c r="AL93" s="22">
        <f t="shared" si="58"/>
        <v>600.06422485487678</v>
      </c>
      <c r="AM93" s="62">
        <f t="shared" si="59"/>
        <v>874.4218658591044</v>
      </c>
      <c r="AN93" s="62">
        <f ca="1">AVERAGE(OFFSET($AM$3,0,0,'Données projet'!$E$10+1,1))-AVERAGE(OFFSET($H$3,0,0,'Données projet'!$E$10+1,1))</f>
        <v>445.02659128831181</v>
      </c>
      <c r="AO93" s="62">
        <f t="shared" si="90"/>
        <v>281.06176764290592</v>
      </c>
      <c r="AP93" s="16">
        <f>IF(ISNA(VLOOKUP(A93,'Données projet'!$A$61:$I$81,3,0)),0,VLOOKUP(A93,'Données projet'!$A$61:$I$81,3,0))</f>
        <v>15</v>
      </c>
      <c r="AQ93" s="16">
        <f>IF(ISNA(VLOOKUP(A93,'Données projet'!$A$61:$I$81,4,0)),0,VLOOKUP(A93,'Données projet'!$A$61:$I$81,4,0))</f>
        <v>28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1.4224892480780547</v>
      </c>
      <c r="AV93" s="23">
        <f>EXP(-LN(2)/25)*AV92+(1-EXP(-LN(2)/25))/(LN(2)/25)*Calculateur!AQ93*Calculateur!AS93*VLOOKUP('Données projet'!$B$10,Paramètres!$A$1:$I$89,3,0)*0.475*44/12</f>
        <v>0.2115955879075857</v>
      </c>
      <c r="AW93" s="23">
        <f>EXP(-LN(2)/2)*AW92+(1-EXP(-LN(2)/2))/(LN(2)/2)*AQ93*AT93*VLOOKUP('Données projet'!$B$10,Paramètres!$A$1:$I$89,3,0)*0.475*44/12</f>
        <v>1.7550950238829158E-8</v>
      </c>
      <c r="AX93" s="23">
        <f t="shared" si="60"/>
        <v>1.6340848535365906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330</v>
      </c>
      <c r="BB93" s="13">
        <f>VLOOKUP(A93,'Données projet'!$A$87:$I$107,9,0)</f>
        <v>6.4</v>
      </c>
      <c r="BC93" s="13">
        <f t="array" ref="BC93">INDEX(BB:BB,MIN(IF(ISNUMBER(BB93:BB289),ROW(BB93:BB289),"")))</f>
        <v>6.4</v>
      </c>
      <c r="BD93" s="13">
        <f>IF('Données projet'!$A$88&gt;35,BD92+BC93-BL92,IF(A93&lt;'Données projet'!$A$88,$BA$205^A93,IF(A93='Données projet'!$A$88,'Données projet'!$B$88,BD92+BC93-BL92)))</f>
        <v>329.99999999999994</v>
      </c>
      <c r="BE93" s="14">
        <f>BD93*VLOOKUP('Données projet'!$B$11,Paramètres!$A$1:$I$89,3,0)*VLOOKUP('Données projet'!$B$11,Paramètres!$A$1:$I$89,5,0)</f>
        <v>298.58399999999995</v>
      </c>
      <c r="BF93" s="14">
        <f t="shared" si="91"/>
        <v>70.879533797607607</v>
      </c>
      <c r="BG93" s="22">
        <f t="shared" si="61"/>
        <v>643.48232136416652</v>
      </c>
      <c r="BH93" s="62">
        <f t="shared" si="62"/>
        <v>917.83996236839425</v>
      </c>
      <c r="BI93" s="62">
        <f ca="1">AVERAGE(OFFSET($BH$3,0,0,'Données projet'!$E$11+1,1))-AVERAGE(OFFSET($H$3,0,0,'Données projet'!$E$11+1,1))</f>
        <v>472.46893084347687</v>
      </c>
      <c r="BJ93" s="62">
        <f t="shared" si="92"/>
        <v>297.32483725004136</v>
      </c>
      <c r="BK93" s="16">
        <f>IF(ISNA(VLOOKUP(A93,'Données projet'!$A$87:$I$107,3,0)),0,VLOOKUP(A93,'Données projet'!$A$87:$I$107,3,0))</f>
        <v>15</v>
      </c>
      <c r="BL93" s="16">
        <f>IF(ISNA(VLOOKUP(A93,'Données projet'!$A$87:$I$107,4,0)),0,VLOOKUP(A93,'Données projet'!$A$87:$I$107,4,0))</f>
        <v>28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1.5278588220097624</v>
      </c>
      <c r="BQ93" s="23">
        <f>EXP(-LN(2)/25)*BQ92+(1-EXP(-LN(2)/25))/(LN(2)/25)*Calculateur!BL93*Calculateur!BN93*VLOOKUP('Données projet'!$B$11,Paramètres!$A$1:$I$89,3,0)*0.475*44/12</f>
        <v>0.22726933515999942</v>
      </c>
      <c r="BR93" s="23">
        <f>EXP(-LN(2)/2)*BR92+(1-EXP(-LN(2)/2))/(LN(2)/2)*BL93*BO93*VLOOKUP('Données projet'!$B$11,Paramètres!$A$1:$I$89,3,0)*0.475*44/12</f>
        <v>1.8851020626890571E-8</v>
      </c>
      <c r="BS93" s="24">
        <f t="shared" si="63"/>
        <v>1.7551281760207824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673</v>
      </c>
      <c r="BW93" s="13">
        <f>VLOOKUP(A93,'Données projet'!$A$113:$I$133,9,0)</f>
        <v>17.5</v>
      </c>
      <c r="BX93" s="13">
        <f t="array" ref="BX93">INDEX(BW:BW,MIN(IF(ISNUMBER(BW93:BW289),ROW(BW93:BW289),"")))</f>
        <v>17.5</v>
      </c>
      <c r="BY93" s="13">
        <f>IF('Données projet'!$A$114&gt;35,BY92+BX93-CG92,IF(A93&lt;'Données projet'!$A$114,$BV$205^A93,IF(A93='Données projet'!$A$114,'Données projet'!$B$114,BY92+BX93-CG92)))</f>
        <v>672.99999999999989</v>
      </c>
      <c r="BZ93" s="14">
        <f>BY93*VLOOKUP('Données projet'!$B$12,Paramètres!$A$1:$I$89,3,0)*VLOOKUP('Données projet'!$B$12,Paramètres!$A$1:$I$89,5,0)</f>
        <v>314.96399999999994</v>
      </c>
      <c r="CA93" s="14">
        <f t="shared" si="93"/>
        <v>74.304550517616548</v>
      </c>
      <c r="CB93" s="22">
        <f t="shared" si="64"/>
        <v>677.97605881818208</v>
      </c>
      <c r="CC93" s="62">
        <f t="shared" si="65"/>
        <v>952.3336998224097</v>
      </c>
      <c r="CD93" s="62">
        <f ca="1">AVERAGE(OFFSET($CC$3,0,0,'Données projet'!$E$12+1,1))-AVERAGE(OFFSET($H$3,0,0,'Données projet'!$E$12+1,1))</f>
        <v>426.87921482911719</v>
      </c>
      <c r="CE93" s="62">
        <f t="shared" si="94"/>
        <v>313.49594674441835</v>
      </c>
      <c r="CF93" s="16">
        <f>IF(ISNA(VLOOKUP(A93,'Données projet'!$A$113:$I$133,3,0)),0,VLOOKUP(A93,'Données projet'!$A$113:$I$133,3,0))</f>
        <v>8</v>
      </c>
      <c r="CG93" s="16">
        <f>IF(ISNA(VLOOKUP(A93,'Données projet'!$A$113:$I$133,4,0)),0,VLOOKUP(A93,'Données projet'!$A$113:$I$133,4,0))</f>
        <v>135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-1.1368683772161603E-13</v>
      </c>
      <c r="CU93" s="18">
        <f>CT93*VLOOKUP('Données projet'!$B$13,Paramètres!$A$1:$I$89,3,0)*VLOOKUP('Données projet'!$B$13,Paramètres!$A$1:$I$89,5,0)</f>
        <v>-6.7984728957526396E-14</v>
      </c>
      <c r="CV93" s="14" t="e">
        <f t="shared" si="95"/>
        <v>#NUM!</v>
      </c>
      <c r="CW93" s="22" t="e">
        <f t="shared" si="67"/>
        <v>#NUM!</v>
      </c>
      <c r="CX93" s="62" t="e">
        <f t="shared" si="68"/>
        <v>#NUM!</v>
      </c>
      <c r="CY93" s="62">
        <f ca="1">AVERAGE(OFFSET($CX$3,0,0,'Données projet'!$E$13+1,1))-AVERAGE(OFFSET($H$3,0,0,'Données projet'!$E$13+1,1))</f>
        <v>367.11994336501527</v>
      </c>
      <c r="CZ93" s="62">
        <f t="shared" si="96"/>
        <v>390.81417197867484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10.559814622872169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4.287714191330018E-9</v>
      </c>
      <c r="DI93" s="24">
        <f t="shared" si="69"/>
        <v>10.559814627159884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1.9895196601282805E-13</v>
      </c>
      <c r="O94" s="14">
        <f>N94*VLOOKUP('Données projet'!$B$9,Paramètres!$A$1:$I$89,3,0)*VLOOKUP('Données projet'!$B$9,Paramètres!$A$1:$I$89,5,0)</f>
        <v>1.8001173884840681E-13</v>
      </c>
      <c r="P94" s="14">
        <f t="shared" si="87"/>
        <v>2.5254331426407198E-12</v>
      </c>
      <c r="Q94" s="22">
        <f t="shared" si="54"/>
        <v>4.7119831685935622E-12</v>
      </c>
      <c r="R94" s="62">
        <f t="shared" si="55"/>
        <v>274.68682684284977</v>
      </c>
      <c r="S94" s="62">
        <f ca="1">AVERAGE(OFFSET($R$3,0,0,'Données projet'!$E$9+1,1))-AVERAGE(OFFSET($H$3,0,0,'Données projet'!$E$9+1,1))</f>
        <v>312.43110610485337</v>
      </c>
      <c r="T94" s="62">
        <f t="shared" si="88"/>
        <v>442.54749157177571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0.16137683141473386</v>
      </c>
      <c r="AA94" s="23">
        <f>EXP(-LN(2)/25)*AA93+(1-EXP(-LN(2)/25))/(LN(2)/25)*Calculateur!V94*Calculateur!X94*VLOOKUP('Données projet'!$B$9,Paramètres!$A$1:$I$89,3,0)*0.475*44/12</f>
        <v>0.17350219091391866</v>
      </c>
      <c r="AB94" s="23">
        <f>EXP(-LN(2)/2)*AB93+(1-EXP(-LN(2)/2))/(LN(2)/2)*V94*Y94*VLOOKUP('Données projet'!$B$9,Paramètres!$A$1:$I$89,3,0)*0.475*44/12</f>
        <v>2.5299068508797457E-9</v>
      </c>
      <c r="AC94" s="24">
        <f t="shared" si="57"/>
        <v>0.33487902485855936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6.2</v>
      </c>
      <c r="AI94" s="14">
        <f>IF('Données projet'!$A$62&gt;35,AI93+AH94-AQ93,IF(A94&lt;'Données projet'!$A$62,$AF$205^A94,IF(A94='Données projet'!$A$62,'Données projet'!$B$62,AI93+AH94-AQ93)))</f>
        <v>308.19999999999993</v>
      </c>
      <c r="AJ94" s="14">
        <f>AI94*VLOOKUP('Données projet'!$B$10,Paramètres!$A$1:$I$89,3,0)*VLOOKUP('Données projet'!$B$10,Paramètres!$A$1:$I$89,5,0)</f>
        <v>259.62767999999994</v>
      </c>
      <c r="AK94" s="14">
        <f t="shared" si="89"/>
        <v>62.643007760076095</v>
      </c>
      <c r="AL94" s="22">
        <f t="shared" si="58"/>
        <v>561.28811451546574</v>
      </c>
      <c r="AM94" s="62">
        <f t="shared" si="59"/>
        <v>835.97494135831084</v>
      </c>
      <c r="AN94" s="62">
        <f ca="1">AVERAGE(OFFSET($AM$3,0,0,'Données projet'!$E$10+1,1))-AVERAGE(OFFSET($H$3,0,0,'Données projet'!$E$10+1,1))</f>
        <v>445.02659128831181</v>
      </c>
      <c r="AO94" s="62">
        <f t="shared" si="90"/>
        <v>281.06176764290592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1.3945951015560136</v>
      </c>
      <c r="AV94" s="23">
        <f>EXP(-LN(2)/25)*AV93+(1-EXP(-LN(2)/25))/(LN(2)/25)*Calculateur!AQ94*Calculateur!AS94*VLOOKUP('Données projet'!$B$10,Paramètres!$A$1:$I$89,3,0)*0.475*44/12</f>
        <v>0.2058094954289244</v>
      </c>
      <c r="AW94" s="23">
        <f>EXP(-LN(2)/2)*AW93+(1-EXP(-LN(2)/2))/(LN(2)/2)*AQ94*AT94*VLOOKUP('Données projet'!$B$10,Paramètres!$A$1:$I$89,3,0)*0.475*44/12</f>
        <v>1.2410395930143754E-8</v>
      </c>
      <c r="AX94" s="23">
        <f t="shared" si="60"/>
        <v>1.6004046093953339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6.2</v>
      </c>
      <c r="BD94" s="13">
        <f>IF('Données projet'!$A$88&gt;35,BD93+BC94-BL93,IF(A94&lt;'Données projet'!$A$88,$BA$205^A94,IF(A94='Données projet'!$A$88,'Données projet'!$B$88,BD93+BC94-BL93)))</f>
        <v>308.19999999999993</v>
      </c>
      <c r="BE94" s="14">
        <f>BD94*VLOOKUP('Données projet'!$B$11,Paramètres!$A$1:$I$89,3,0)*VLOOKUP('Données projet'!$B$11,Paramètres!$A$1:$I$89,5,0)</f>
        <v>278.85935999999992</v>
      </c>
      <c r="BF94" s="14">
        <f t="shared" si="91"/>
        <v>66.725901622172387</v>
      </c>
      <c r="BG94" s="22">
        <f t="shared" si="61"/>
        <v>601.8943306586167</v>
      </c>
      <c r="BH94" s="62">
        <f t="shared" si="62"/>
        <v>876.5811575014618</v>
      </c>
      <c r="BI94" s="62">
        <f ca="1">AVERAGE(OFFSET($BH$3,0,0,'Données projet'!$E$11+1,1))-AVERAGE(OFFSET($H$3,0,0,'Données projet'!$E$11+1,1))</f>
        <v>472.46893084347687</v>
      </c>
      <c r="BJ94" s="62">
        <f t="shared" si="92"/>
        <v>297.32483725004136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1.4978984424120148</v>
      </c>
      <c r="BQ94" s="23">
        <f>EXP(-LN(2)/25)*BQ93+(1-EXP(-LN(2)/25))/(LN(2)/25)*Calculateur!BL94*Calculateur!BN94*VLOOKUP('Données projet'!$B$11,Paramètres!$A$1:$I$89,3,0)*0.475*44/12</f>
        <v>0.22105464323847432</v>
      </c>
      <c r="BR94" s="23">
        <f>EXP(-LN(2)/2)*BR93+(1-EXP(-LN(2)/2))/(LN(2)/2)*BL94*BO94*VLOOKUP('Données projet'!$B$11,Paramètres!$A$1:$I$89,3,0)*0.475*44/12</f>
        <v>1.3329684517561805E-8</v>
      </c>
      <c r="BS94" s="24">
        <f t="shared" si="63"/>
        <v>1.7189530989801736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18.5</v>
      </c>
      <c r="BY94" s="13">
        <f>IF('Données projet'!$A$114&gt;35,BY93+BX94-CG93,IF(A94&lt;'Données projet'!$A$114,$BV$205^A94,IF(A94='Données projet'!$A$114,'Données projet'!$B$114,BY93+BX94-CG93)))</f>
        <v>556.49999999999989</v>
      </c>
      <c r="BZ94" s="14">
        <f>BY94*VLOOKUP('Données projet'!$B$12,Paramètres!$A$1:$I$89,3,0)*VLOOKUP('Données projet'!$B$12,Paramètres!$A$1:$I$89,5,0)</f>
        <v>260.44199999999995</v>
      </c>
      <c r="CA94" s="14">
        <f t="shared" si="93"/>
        <v>62.816585178645781</v>
      </c>
      <c r="CB94" s="22">
        <f t="shared" si="64"/>
        <v>563.00870251947458</v>
      </c>
      <c r="CC94" s="62">
        <f t="shared" si="65"/>
        <v>837.69552936231958</v>
      </c>
      <c r="CD94" s="62">
        <f ca="1">AVERAGE(OFFSET($CC$3,0,0,'Données projet'!$E$12+1,1))-AVERAGE(OFFSET($H$3,0,0,'Données projet'!$E$12+1,1))</f>
        <v>426.87921482911719</v>
      </c>
      <c r="CE94" s="62">
        <f t="shared" si="94"/>
        <v>313.49594674441835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-1.1368683772161603E-13</v>
      </c>
      <c r="CU94" s="18">
        <f>CT94*VLOOKUP('Données projet'!$B$13,Paramètres!$A$1:$I$89,3,0)*VLOOKUP('Données projet'!$B$13,Paramètres!$A$1:$I$89,5,0)</f>
        <v>-6.7984728957526396E-14</v>
      </c>
      <c r="CV94" s="14" t="e">
        <f t="shared" si="95"/>
        <v>#NUM!</v>
      </c>
      <c r="CW94" s="22" t="e">
        <f t="shared" si="67"/>
        <v>#NUM!</v>
      </c>
      <c r="CX94" s="62" t="e">
        <f t="shared" si="68"/>
        <v>#NUM!</v>
      </c>
      <c r="CY94" s="62">
        <f ca="1">AVERAGE(OFFSET($CX$3,0,0,'Données projet'!$E$13+1,1))-AVERAGE(OFFSET($H$3,0,0,'Données projet'!$E$13+1,1))</f>
        <v>367.11994336501527</v>
      </c>
      <c r="CZ94" s="62">
        <f t="shared" si="96"/>
        <v>390.81417197867484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10.352743098968585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3.0318717804792497E-9</v>
      </c>
      <c r="DI94" s="24">
        <f t="shared" si="69"/>
        <v>10.352743102000456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1.9895196601282805E-13</v>
      </c>
      <c r="O95" s="14">
        <f>N95*VLOOKUP('Données projet'!$B$9,Paramètres!$A$1:$I$89,3,0)*VLOOKUP('Données projet'!$B$9,Paramètres!$A$1:$I$89,5,0)</f>
        <v>1.8001173884840681E-13</v>
      </c>
      <c r="P95" s="14">
        <f t="shared" si="87"/>
        <v>2.5254331426407198E-12</v>
      </c>
      <c r="Q95" s="22">
        <f t="shared" si="54"/>
        <v>4.7119831685935622E-12</v>
      </c>
      <c r="R95" s="62">
        <f t="shared" si="55"/>
        <v>275.01030204311644</v>
      </c>
      <c r="S95" s="62">
        <f ca="1">AVERAGE(OFFSET($R$3,0,0,'Données projet'!$E$9+1,1))-AVERAGE(OFFSET($H$3,0,0,'Données projet'!$E$9+1,1))</f>
        <v>312.43110610485337</v>
      </c>
      <c r="T95" s="62">
        <f t="shared" si="88"/>
        <v>442.54749157177571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0.15821233018083891</v>
      </c>
      <c r="AA95" s="23">
        <f>EXP(-LN(2)/25)*AA94+(1-EXP(-LN(2)/25))/(LN(2)/25)*Calculateur!V95*Calculateur!X95*VLOOKUP('Données projet'!$B$9,Paramètres!$A$1:$I$89,3,0)*0.475*44/12</f>
        <v>0.16875776437929388</v>
      </c>
      <c r="AB95" s="23">
        <f>EXP(-LN(2)/2)*AB94+(1-EXP(-LN(2)/2))/(LN(2)/2)*V95*Y95*VLOOKUP('Données projet'!$B$9,Paramètres!$A$1:$I$89,3,0)*0.475*44/12</f>
        <v>1.7889142900273719E-9</v>
      </c>
      <c r="AC95" s="24">
        <f t="shared" si="57"/>
        <v>0.32697009634904711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6.2</v>
      </c>
      <c r="AI95" s="14">
        <f>IF('Données projet'!$A$62&gt;35,AI94+AH95-AQ94,IF(A95&lt;'Données projet'!$A$62,$AF$205^A95,IF(A95='Données projet'!$A$62,'Données projet'!$B$62,AI94+AH95-AQ94)))</f>
        <v>314.39999999999992</v>
      </c>
      <c r="AJ95" s="14">
        <f>AI95*VLOOKUP('Données projet'!$B$10,Paramètres!$A$1:$I$89,3,0)*VLOOKUP('Données projet'!$B$10,Paramètres!$A$1:$I$89,5,0)</f>
        <v>264.85055999999997</v>
      </c>
      <c r="AK95" s="14">
        <f t="shared" si="89"/>
        <v>63.755206416242395</v>
      </c>
      <c r="AL95" s="22">
        <f t="shared" si="58"/>
        <v>572.32170984162212</v>
      </c>
      <c r="AM95" s="62">
        <f t="shared" si="59"/>
        <v>847.3320118847339</v>
      </c>
      <c r="AN95" s="62">
        <f ca="1">AVERAGE(OFFSET($AM$3,0,0,'Données projet'!$E$10+1,1))-AVERAGE(OFFSET($H$3,0,0,'Données projet'!$E$10+1,1))</f>
        <v>445.02659128831181</v>
      </c>
      <c r="AO95" s="62">
        <f t="shared" si="90"/>
        <v>281.06176764290592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1.3672479422335204</v>
      </c>
      <c r="AV95" s="23">
        <f>EXP(-LN(2)/25)*AV94+(1-EXP(-LN(2)/25))/(LN(2)/25)*Calculateur!AQ95*Calculateur!AS95*VLOOKUP('Données projet'!$B$10,Paramètres!$A$1:$I$89,3,0)*0.475*44/12</f>
        <v>0.2001816239533695</v>
      </c>
      <c r="AW95" s="23">
        <f>EXP(-LN(2)/2)*AW94+(1-EXP(-LN(2)/2))/(LN(2)/2)*AQ95*AT95*VLOOKUP('Données projet'!$B$10,Paramètres!$A$1:$I$89,3,0)*0.475*44/12</f>
        <v>8.7754751194145792E-9</v>
      </c>
      <c r="AX95" s="23">
        <f t="shared" si="60"/>
        <v>1.567429574962365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6.2</v>
      </c>
      <c r="BD95" s="13">
        <f>IF('Données projet'!$A$88&gt;35,BD94+BC95-BL94,IF(A95&lt;'Données projet'!$A$88,$BA$205^A95,IF(A95='Données projet'!$A$88,'Données projet'!$B$88,BD94+BC95-BL94)))</f>
        <v>314.39999999999992</v>
      </c>
      <c r="BE95" s="14">
        <f>BD95*VLOOKUP('Données projet'!$B$11,Paramètres!$A$1:$I$89,3,0)*VLOOKUP('Données projet'!$B$11,Paramètres!$A$1:$I$89,5,0)</f>
        <v>284.46911999999992</v>
      </c>
      <c r="BF95" s="14">
        <f t="shared" si="91"/>
        <v>67.91059023737904</v>
      </c>
      <c r="BG95" s="22">
        <f t="shared" si="61"/>
        <v>613.72799533010163</v>
      </c>
      <c r="BH95" s="62">
        <f t="shared" si="62"/>
        <v>888.7382973732133</v>
      </c>
      <c r="BI95" s="62">
        <f ca="1">AVERAGE(OFFSET($BH$3,0,0,'Données projet'!$E$11+1,1))-AVERAGE(OFFSET($H$3,0,0,'Données projet'!$E$11+1,1))</f>
        <v>472.46893084347687</v>
      </c>
      <c r="BJ95" s="62">
        <f t="shared" si="92"/>
        <v>297.32483725004136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1.4685255675841518</v>
      </c>
      <c r="BQ95" s="23">
        <f>EXP(-LN(2)/25)*BQ94+(1-EXP(-LN(2)/25))/(LN(2)/25)*Calculateur!BL95*Calculateur!BN95*VLOOKUP('Données projet'!$B$11,Paramètres!$A$1:$I$89,3,0)*0.475*44/12</f>
        <v>0.21500989239435978</v>
      </c>
      <c r="BR95" s="23">
        <f>EXP(-LN(2)/2)*BR94+(1-EXP(-LN(2)/2))/(LN(2)/2)*BL95*BO95*VLOOKUP('Données projet'!$B$11,Paramètres!$A$1:$I$89,3,0)*0.475*44/12</f>
        <v>9.4255103134452854E-9</v>
      </c>
      <c r="BS95" s="24">
        <f t="shared" si="63"/>
        <v>1.6835354694040219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18.5</v>
      </c>
      <c r="BY95" s="13">
        <f>IF('Données projet'!$A$114&gt;35,BY94+BX95-CG94,IF(A95&lt;'Données projet'!$A$114,$BV$205^A95,IF(A95='Données projet'!$A$114,'Données projet'!$B$114,BY94+BX95-CG94)))</f>
        <v>574.99999999999989</v>
      </c>
      <c r="BZ95" s="14">
        <f>BY95*VLOOKUP('Données projet'!$B$12,Paramètres!$A$1:$I$89,3,0)*VLOOKUP('Données projet'!$B$12,Paramètres!$A$1:$I$89,5,0)</f>
        <v>269.09999999999991</v>
      </c>
      <c r="CA95" s="14">
        <f t="shared" si="93"/>
        <v>64.658229472790993</v>
      </c>
      <c r="CB95" s="22">
        <f t="shared" si="64"/>
        <v>581.29558299844405</v>
      </c>
      <c r="CC95" s="62">
        <f t="shared" si="65"/>
        <v>856.30588504155571</v>
      </c>
      <c r="CD95" s="62">
        <f ca="1">AVERAGE(OFFSET($CC$3,0,0,'Données projet'!$E$12+1,1))-AVERAGE(OFFSET($H$3,0,0,'Données projet'!$E$12+1,1))</f>
        <v>426.87921482911719</v>
      </c>
      <c r="CE95" s="62">
        <f t="shared" si="94"/>
        <v>313.49594674441835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-1.1368683772161603E-13</v>
      </c>
      <c r="CU95" s="18">
        <f>CT95*VLOOKUP('Données projet'!$B$13,Paramètres!$A$1:$I$89,3,0)*VLOOKUP('Données projet'!$B$13,Paramètres!$A$1:$I$89,5,0)</f>
        <v>-6.7984728957526396E-14</v>
      </c>
      <c r="CV95" s="14" t="e">
        <f t="shared" si="95"/>
        <v>#NUM!</v>
      </c>
      <c r="CW95" s="22" t="e">
        <f t="shared" si="67"/>
        <v>#NUM!</v>
      </c>
      <c r="CX95" s="62" t="e">
        <f t="shared" si="68"/>
        <v>#NUM!</v>
      </c>
      <c r="CY95" s="62">
        <f ca="1">AVERAGE(OFFSET($CX$3,0,0,'Données projet'!$E$13+1,1))-AVERAGE(OFFSET($H$3,0,0,'Données projet'!$E$13+1,1))</f>
        <v>367.11994336501527</v>
      </c>
      <c r="CZ95" s="62">
        <f t="shared" si="96"/>
        <v>390.81417197867484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10.149732121347592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2.143857095665009E-9</v>
      </c>
      <c r="DI95" s="24">
        <f t="shared" si="69"/>
        <v>10.149732123491448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1.9895196601282805E-13</v>
      </c>
      <c r="O96" s="14">
        <f>N96*VLOOKUP('Données projet'!$B$9,Paramètres!$A$1:$I$89,3,0)*VLOOKUP('Données projet'!$B$9,Paramètres!$A$1:$I$89,5,0)</f>
        <v>1.8001173884840681E-13</v>
      </c>
      <c r="P96" s="14">
        <f t="shared" si="87"/>
        <v>2.5254331426407198E-12</v>
      </c>
      <c r="Q96" s="22">
        <f t="shared" si="54"/>
        <v>4.7119831685935622E-12</v>
      </c>
      <c r="R96" s="62">
        <f t="shared" si="55"/>
        <v>275.32816567184068</v>
      </c>
      <c r="S96" s="62">
        <f ca="1">AVERAGE(OFFSET($R$3,0,0,'Données projet'!$E$9+1,1))-AVERAGE(OFFSET($H$3,0,0,'Données projet'!$E$9+1,1))</f>
        <v>312.43110610485337</v>
      </c>
      <c r="T96" s="62">
        <f t="shared" si="88"/>
        <v>442.54749157177571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0.15510988288598548</v>
      </c>
      <c r="AA96" s="23">
        <f>EXP(-LN(2)/25)*AA95+(1-EXP(-LN(2)/25))/(LN(2)/25)*Calculateur!V96*Calculateur!X96*VLOOKUP('Données projet'!$B$9,Paramètres!$A$1:$I$89,3,0)*0.475*44/12</f>
        <v>0.16414307443775697</v>
      </c>
      <c r="AB96" s="23">
        <f>EXP(-LN(2)/2)*AB95+(1-EXP(-LN(2)/2))/(LN(2)/2)*V96*Y96*VLOOKUP('Données projet'!$B$9,Paramètres!$A$1:$I$89,3,0)*0.475*44/12</f>
        <v>1.2649534254398728E-9</v>
      </c>
      <c r="AC96" s="24">
        <f t="shared" si="57"/>
        <v>0.3192529585886959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6.2</v>
      </c>
      <c r="AI96" s="14">
        <f>IF('Données projet'!$A$62&gt;35,AI95+AH96-AQ95,IF(A96&lt;'Données projet'!$A$62,$AF$205^A96,IF(A96='Données projet'!$A$62,'Données projet'!$B$62,AI95+AH96-AQ95)))</f>
        <v>320.59999999999991</v>
      </c>
      <c r="AJ96" s="14">
        <f>AI96*VLOOKUP('Données projet'!$B$10,Paramètres!$A$1:$I$89,3,0)*VLOOKUP('Données projet'!$B$10,Paramètres!$A$1:$I$89,5,0)</f>
        <v>270.07343999999995</v>
      </c>
      <c r="AK96" s="14">
        <f t="shared" si="89"/>
        <v>64.864854862635113</v>
      </c>
      <c r="AL96" s="22">
        <f t="shared" si="58"/>
        <v>583.35086355242277</v>
      </c>
      <c r="AM96" s="62">
        <f t="shared" si="59"/>
        <v>858.67902922425878</v>
      </c>
      <c r="AN96" s="62">
        <f ca="1">AVERAGE(OFFSET($AM$3,0,0,'Données projet'!$E$10+1,1))-AVERAGE(OFFSET($H$3,0,0,'Données projet'!$E$10+1,1))</f>
        <v>445.02659128831181</v>
      </c>
      <c r="AO96" s="62">
        <f t="shared" si="90"/>
        <v>281.06176764290592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1.3404370440252211</v>
      </c>
      <c r="AV96" s="23">
        <f>EXP(-LN(2)/25)*AV95+(1-EXP(-LN(2)/25))/(LN(2)/25)*Calculateur!AQ96*Calculateur!AS96*VLOOKUP('Données projet'!$B$10,Paramètres!$A$1:$I$89,3,0)*0.475*44/12</f>
        <v>0.19470764691927053</v>
      </c>
      <c r="AW96" s="23">
        <f>EXP(-LN(2)/2)*AW95+(1-EXP(-LN(2)/2))/(LN(2)/2)*AQ96*AT96*VLOOKUP('Données projet'!$B$10,Paramètres!$A$1:$I$89,3,0)*0.475*44/12</f>
        <v>6.205197965071877E-9</v>
      </c>
      <c r="AX96" s="23">
        <f t="shared" si="60"/>
        <v>1.5351446971496896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6.2</v>
      </c>
      <c r="BD96" s="13">
        <f>IF('Données projet'!$A$88&gt;35,BD95+BC96-BL95,IF(A96&lt;'Données projet'!$A$88,$BA$205^A96,IF(A96='Données projet'!$A$88,'Données projet'!$B$88,BD95+BC96-BL95)))</f>
        <v>320.59999999999991</v>
      </c>
      <c r="BE96" s="14">
        <f>BD96*VLOOKUP('Données projet'!$B$11,Paramètres!$A$1:$I$89,3,0)*VLOOKUP('Données projet'!$B$11,Paramètres!$A$1:$I$89,5,0)</f>
        <v>290.07887999999991</v>
      </c>
      <c r="BF96" s="14">
        <f t="shared" si="91"/>
        <v>69.092562427360406</v>
      </c>
      <c r="BG96" s="22">
        <f t="shared" si="61"/>
        <v>625.55692889431919</v>
      </c>
      <c r="BH96" s="62">
        <f t="shared" si="62"/>
        <v>900.8850945661552</v>
      </c>
      <c r="BI96" s="62">
        <f ca="1">AVERAGE(OFFSET($BH$3,0,0,'Données projet'!$E$11+1,1))-AVERAGE(OFFSET($H$3,0,0,'Données projet'!$E$11+1,1))</f>
        <v>472.46893084347687</v>
      </c>
      <c r="BJ96" s="62">
        <f t="shared" si="92"/>
        <v>297.32483725004136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1.4397286769159785</v>
      </c>
      <c r="BQ96" s="23">
        <f>EXP(-LN(2)/25)*BQ95+(1-EXP(-LN(2)/25))/(LN(2)/25)*Calculateur!BL96*Calculateur!BN96*VLOOKUP('Données projet'!$B$11,Paramètres!$A$1:$I$89,3,0)*0.475*44/12</f>
        <v>0.20913043557995717</v>
      </c>
      <c r="BR96" s="23">
        <f>EXP(-LN(2)/2)*BR95+(1-EXP(-LN(2)/2))/(LN(2)/2)*BL96*BO96*VLOOKUP('Données projet'!$B$11,Paramètres!$A$1:$I$89,3,0)*0.475*44/12</f>
        <v>6.6648422587809025E-9</v>
      </c>
      <c r="BS96" s="24">
        <f t="shared" si="63"/>
        <v>1.648859119160778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18.5</v>
      </c>
      <c r="BY96" s="13">
        <f>IF('Données projet'!$A$114&gt;35,BY95+BX96-CG95,IF(A96&lt;'Données projet'!$A$114,$BV$205^A96,IF(A96='Données projet'!$A$114,'Données projet'!$B$114,BY95+BX96-CG95)))</f>
        <v>593.49999999999989</v>
      </c>
      <c r="BZ96" s="14">
        <f>BY96*VLOOKUP('Données projet'!$B$12,Paramètres!$A$1:$I$89,3,0)*VLOOKUP('Données projet'!$B$12,Paramètres!$A$1:$I$89,5,0)</f>
        <v>277.75799999999992</v>
      </c>
      <c r="CA96" s="14">
        <f t="shared" si="93"/>
        <v>66.492988372715388</v>
      </c>
      <c r="CB96" s="22">
        <f t="shared" si="64"/>
        <v>599.57047141581245</v>
      </c>
      <c r="CC96" s="62">
        <f t="shared" si="65"/>
        <v>874.89863708764847</v>
      </c>
      <c r="CD96" s="62">
        <f ca="1">AVERAGE(OFFSET($CC$3,0,0,'Données projet'!$E$12+1,1))-AVERAGE(OFFSET($H$3,0,0,'Données projet'!$E$12+1,1))</f>
        <v>426.87921482911719</v>
      </c>
      <c r="CE96" s="62">
        <f t="shared" si="94"/>
        <v>313.49594674441835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-1.1368683772161603E-13</v>
      </c>
      <c r="CU96" s="18">
        <f>CT96*VLOOKUP('Données projet'!$B$13,Paramètres!$A$1:$I$89,3,0)*VLOOKUP('Données projet'!$B$13,Paramètres!$A$1:$I$89,5,0)</f>
        <v>-6.7984728957526396E-14</v>
      </c>
      <c r="CV96" s="14" t="e">
        <f t="shared" si="95"/>
        <v>#NUM!</v>
      </c>
      <c r="CW96" s="22" t="e">
        <f t="shared" si="67"/>
        <v>#NUM!</v>
      </c>
      <c r="CX96" s="62" t="e">
        <f t="shared" si="68"/>
        <v>#NUM!</v>
      </c>
      <c r="CY96" s="62">
        <f ca="1">AVERAGE(OFFSET($CX$3,0,0,'Données projet'!$E$13+1,1))-AVERAGE(OFFSET($H$3,0,0,'Données projet'!$E$13+1,1))</f>
        <v>367.11994336501527</v>
      </c>
      <c r="CZ96" s="62">
        <f t="shared" si="96"/>
        <v>390.81417197867484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9.9507020651732763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1.5159358902396248E-9</v>
      </c>
      <c r="DI96" s="24">
        <f t="shared" si="69"/>
        <v>9.9507020666892121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1.9895196601282805E-13</v>
      </c>
      <c r="O97" s="14">
        <f>N97*VLOOKUP('Données projet'!$B$9,Paramètres!$A$1:$I$89,3,0)*VLOOKUP('Données projet'!$B$9,Paramètres!$A$1:$I$89,5,0)</f>
        <v>1.8001173884840681E-13</v>
      </c>
      <c r="P97" s="14">
        <f t="shared" si="87"/>
        <v>2.5254331426407198E-12</v>
      </c>
      <c r="Q97" s="22">
        <f t="shared" si="54"/>
        <v>4.7119831685935622E-12</v>
      </c>
      <c r="R97" s="62">
        <f t="shared" si="55"/>
        <v>275.64051507724321</v>
      </c>
      <c r="S97" s="62">
        <f ca="1">AVERAGE(OFFSET($R$3,0,0,'Données projet'!$E$9+1,1))-AVERAGE(OFFSET($H$3,0,0,'Données projet'!$E$9+1,1))</f>
        <v>312.43110610485337</v>
      </c>
      <c r="T97" s="62">
        <f t="shared" si="88"/>
        <v>442.54749157177571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0.15206827269027814</v>
      </c>
      <c r="AA97" s="23">
        <f>EXP(-LN(2)/25)*AA96+(1-EXP(-LN(2)/25))/(LN(2)/25)*Calculateur!V97*Calculateur!X97*VLOOKUP('Données projet'!$B$9,Paramètres!$A$1:$I$89,3,0)*0.475*44/12</f>
        <v>0.15965457343534736</v>
      </c>
      <c r="AB97" s="23">
        <f>EXP(-LN(2)/2)*AB96+(1-EXP(-LN(2)/2))/(LN(2)/2)*V97*Y97*VLOOKUP('Données projet'!$B$9,Paramètres!$A$1:$I$89,3,0)*0.475*44/12</f>
        <v>8.9445714501368594E-10</v>
      </c>
      <c r="AC97" s="24">
        <f t="shared" si="57"/>
        <v>0.31172284702008263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6.2</v>
      </c>
      <c r="AI97" s="14">
        <f>IF('Données projet'!$A$62&gt;35,AI96+AH97-AQ96,IF(A97&lt;'Données projet'!$A$62,$AF$205^A97,IF(A97='Données projet'!$A$62,'Données projet'!$B$62,AI96+AH97-AQ96)))</f>
        <v>326.7999999999999</v>
      </c>
      <c r="AJ97" s="14">
        <f>AI97*VLOOKUP('Données projet'!$B$10,Paramètres!$A$1:$I$89,3,0)*VLOOKUP('Données projet'!$B$10,Paramètres!$A$1:$I$89,5,0)</f>
        <v>275.29631999999992</v>
      </c>
      <c r="AK97" s="14">
        <f t="shared" si="89"/>
        <v>65.972008102689301</v>
      </c>
      <c r="AL97" s="22">
        <f t="shared" si="58"/>
        <v>594.37567144551701</v>
      </c>
      <c r="AM97" s="62">
        <f t="shared" si="59"/>
        <v>870.01618652275556</v>
      </c>
      <c r="AN97" s="62">
        <f ca="1">AVERAGE(OFFSET($AM$3,0,0,'Données projet'!$E$10+1,1))-AVERAGE(OFFSET($H$3,0,0,'Données projet'!$E$10+1,1))</f>
        <v>445.02659128831181</v>
      </c>
      <c r="AO97" s="62">
        <f t="shared" si="90"/>
        <v>281.06176764290592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1.3141518911777534</v>
      </c>
      <c r="AV97" s="23">
        <f>EXP(-LN(2)/25)*AV96+(1-EXP(-LN(2)/25))/(LN(2)/25)*Calculateur!AQ97*Calculateur!AS97*VLOOKUP('Données projet'!$B$10,Paramètres!$A$1:$I$89,3,0)*0.475*44/12</f>
        <v>0.18938335607503293</v>
      </c>
      <c r="AW97" s="23">
        <f>EXP(-LN(2)/2)*AW96+(1-EXP(-LN(2)/2))/(LN(2)/2)*AQ97*AT97*VLOOKUP('Données projet'!$B$10,Paramètres!$A$1:$I$89,3,0)*0.475*44/12</f>
        <v>4.3877375597072896E-9</v>
      </c>
      <c r="AX97" s="23">
        <f t="shared" si="60"/>
        <v>1.5035352516405238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6.2</v>
      </c>
      <c r="BD97" s="13">
        <f>IF('Données projet'!$A$88&gt;35,BD96+BC97-BL96,IF(A97&lt;'Données projet'!$A$88,$BA$205^A97,IF(A97='Données projet'!$A$88,'Données projet'!$B$88,BD96+BC97-BL96)))</f>
        <v>326.7999999999999</v>
      </c>
      <c r="BE97" s="14">
        <f>BD97*VLOOKUP('Données projet'!$B$11,Paramètres!$A$1:$I$89,3,0)*VLOOKUP('Données projet'!$B$11,Paramètres!$A$1:$I$89,5,0)</f>
        <v>295.68863999999991</v>
      </c>
      <c r="BF97" s="14">
        <f t="shared" si="91"/>
        <v>70.271876780519747</v>
      </c>
      <c r="BG97" s="22">
        <f t="shared" si="61"/>
        <v>637.3812333927383</v>
      </c>
      <c r="BH97" s="62">
        <f t="shared" si="62"/>
        <v>913.02174846997673</v>
      </c>
      <c r="BI97" s="62">
        <f ca="1">AVERAGE(OFFSET($BH$3,0,0,'Données projet'!$E$11+1,1))-AVERAGE(OFFSET($H$3,0,0,'Données projet'!$E$11+1,1))</f>
        <v>472.46893084347687</v>
      </c>
      <c r="BJ97" s="62">
        <f t="shared" si="92"/>
        <v>297.32483725004136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1.4114964757094393</v>
      </c>
      <c r="BQ97" s="23">
        <f>EXP(-LN(2)/25)*BQ96+(1-EXP(-LN(2)/25))/(LN(2)/25)*Calculateur!BL97*Calculateur!BN97*VLOOKUP('Données projet'!$B$11,Paramètres!$A$1:$I$89,3,0)*0.475*44/12</f>
        <v>0.20341175282133162</v>
      </c>
      <c r="BR97" s="23">
        <f>EXP(-LN(2)/2)*BR96+(1-EXP(-LN(2)/2))/(LN(2)/2)*BL97*BO97*VLOOKUP('Données projet'!$B$11,Paramètres!$A$1:$I$89,3,0)*0.475*44/12</f>
        <v>4.7127551567226427E-9</v>
      </c>
      <c r="BS97" s="24">
        <f t="shared" si="63"/>
        <v>1.6149082332435261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18.5</v>
      </c>
      <c r="BY97" s="13">
        <f>IF('Données projet'!$A$114&gt;35,BY96+BX97-CG96,IF(A97&lt;'Données projet'!$A$114,$BV$205^A97,IF(A97='Données projet'!$A$114,'Données projet'!$B$114,BY96+BX97-CG96)))</f>
        <v>611.99999999999989</v>
      </c>
      <c r="BZ97" s="14">
        <f>BY97*VLOOKUP('Données projet'!$B$12,Paramètres!$A$1:$I$89,3,0)*VLOOKUP('Données projet'!$B$12,Paramètres!$A$1:$I$89,5,0)</f>
        <v>286.41599999999994</v>
      </c>
      <c r="CA97" s="14">
        <f t="shared" si="93"/>
        <v>68.321101129951188</v>
      </c>
      <c r="CB97" s="22">
        <f t="shared" si="64"/>
        <v>617.83378446799827</v>
      </c>
      <c r="CC97" s="62">
        <f t="shared" si="65"/>
        <v>893.47429954523682</v>
      </c>
      <c r="CD97" s="62">
        <f ca="1">AVERAGE(OFFSET($CC$3,0,0,'Données projet'!$E$12+1,1))-AVERAGE(OFFSET($H$3,0,0,'Données projet'!$E$12+1,1))</f>
        <v>426.87921482911719</v>
      </c>
      <c r="CE97" s="62">
        <f t="shared" si="94"/>
        <v>313.49594674441835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-1.1368683772161603E-13</v>
      </c>
      <c r="CU97" s="18">
        <f>CT97*VLOOKUP('Données projet'!$B$13,Paramètres!$A$1:$I$89,3,0)*VLOOKUP('Données projet'!$B$13,Paramètres!$A$1:$I$89,5,0)</f>
        <v>-6.7984728957526396E-14</v>
      </c>
      <c r="CV97" s="14" t="e">
        <f t="shared" si="95"/>
        <v>#NUM!</v>
      </c>
      <c r="CW97" s="22" t="e">
        <f t="shared" si="67"/>
        <v>#NUM!</v>
      </c>
      <c r="CX97" s="62" t="e">
        <f t="shared" si="68"/>
        <v>#NUM!</v>
      </c>
      <c r="CY97" s="62">
        <f ca="1">AVERAGE(OFFSET($CX$3,0,0,'Données projet'!$E$13+1,1))-AVERAGE(OFFSET($H$3,0,0,'Données projet'!$E$13+1,1))</f>
        <v>367.11994336501527</v>
      </c>
      <c r="CZ97" s="62">
        <f t="shared" si="96"/>
        <v>390.81417197867484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9.7555748670041922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1.0719285478325045E-9</v>
      </c>
      <c r="DI97" s="24">
        <f t="shared" si="69"/>
        <v>9.7555748680761205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1.9895196601282805E-13</v>
      </c>
      <c r="O98" s="14">
        <f>N98*VLOOKUP('Données projet'!$B$9,Paramètres!$A$1:$I$89,3,0)*VLOOKUP('Données projet'!$B$9,Paramètres!$A$1:$I$89,5,0)</f>
        <v>1.8001173884840681E-13</v>
      </c>
      <c r="P98" s="14">
        <f t="shared" si="87"/>
        <v>2.5254331426407198E-12</v>
      </c>
      <c r="Q98" s="22">
        <f t="shared" si="54"/>
        <v>4.7119831685935622E-12</v>
      </c>
      <c r="R98" s="62">
        <f t="shared" si="55"/>
        <v>275.94744591877065</v>
      </c>
      <c r="S98" s="62">
        <f ca="1">AVERAGE(OFFSET($R$3,0,0,'Données projet'!$E$9+1,1))-AVERAGE(OFFSET($H$3,0,0,'Données projet'!$E$9+1,1))</f>
        <v>312.43110610485337</v>
      </c>
      <c r="T98" s="62">
        <f t="shared" si="88"/>
        <v>442.54749157177571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0.14908630661530958</v>
      </c>
      <c r="AA98" s="23">
        <f>EXP(-LN(2)/25)*AA97+(1-EXP(-LN(2)/25))/(LN(2)/25)*Calculateur!V98*Calculateur!X98*VLOOKUP('Données projet'!$B$9,Paramètres!$A$1:$I$89,3,0)*0.475*44/12</f>
        <v>0.15528881072888867</v>
      </c>
      <c r="AB98" s="23">
        <f>EXP(-LN(2)/2)*AB97+(1-EXP(-LN(2)/2))/(LN(2)/2)*V98*Y98*VLOOKUP('Données projet'!$B$9,Paramètres!$A$1:$I$89,3,0)*0.475*44/12</f>
        <v>6.3247671271993642E-10</v>
      </c>
      <c r="AC98" s="24">
        <f t="shared" si="57"/>
        <v>0.30437511797667499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333</v>
      </c>
      <c r="AG98" s="13">
        <f>VLOOKUP(A98,'Données projet'!$A$61:$I$81,9,0)</f>
        <v>6.2</v>
      </c>
      <c r="AH98" s="13">
        <f t="array" ref="AH98">INDEX(AG:AG,MIN(IF(ISNUMBER(AG98:AG294),ROW(AG98:AG294),"")))</f>
        <v>6.2</v>
      </c>
      <c r="AI98" s="14">
        <f>IF('Données projet'!$A$62&gt;35,AI97+AH98-AQ97,IF(A98&lt;'Données projet'!$A$62,$AF$205^A98,IF(A98='Données projet'!$A$62,'Données projet'!$B$62,AI97+AH98-AQ97)))</f>
        <v>332.99999999999989</v>
      </c>
      <c r="AJ98" s="14">
        <f>AI98*VLOOKUP('Données projet'!$B$10,Paramètres!$A$1:$I$89,3,0)*VLOOKUP('Données projet'!$B$10,Paramètres!$A$1:$I$89,5,0)</f>
        <v>280.5191999999999</v>
      </c>
      <c r="AK98" s="14">
        <f t="shared" si="89"/>
        <v>67.076718933381159</v>
      </c>
      <c r="AL98" s="22">
        <f t="shared" si="58"/>
        <v>605.39622547563874</v>
      </c>
      <c r="AM98" s="62">
        <f t="shared" si="59"/>
        <v>881.34367139440474</v>
      </c>
      <c r="AN98" s="62">
        <f ca="1">AVERAGE(OFFSET($AM$3,0,0,'Données projet'!$E$10+1,1))-AVERAGE(OFFSET($H$3,0,0,'Données projet'!$E$10+1,1))</f>
        <v>445.02659128831181</v>
      </c>
      <c r="AO98" s="62">
        <f t="shared" si="90"/>
        <v>281.06176764290592</v>
      </c>
      <c r="AP98" s="16">
        <f>IF(ISNA(VLOOKUP(A98,'Données projet'!$A$61:$I$81,3,0)),0,VLOOKUP(A98,'Données projet'!$A$61:$I$81,3,0))</f>
        <v>16</v>
      </c>
      <c r="AQ98" s="16">
        <f>IF(ISNA(VLOOKUP(A98,'Données projet'!$A$61:$I$81,4,0)),0,VLOOKUP(A98,'Données projet'!$A$61:$I$81,4,0))</f>
        <v>28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1.2883821741452646</v>
      </c>
      <c r="AV98" s="23">
        <f>EXP(-LN(2)/25)*AV97+(1-EXP(-LN(2)/25))/(LN(2)/25)*Calculateur!AQ98*Calculateur!AS98*VLOOKUP('Données projet'!$B$10,Paramètres!$A$1:$I$89,3,0)*0.475*44/12</f>
        <v>0.18420465824392329</v>
      </c>
      <c r="AW98" s="23">
        <f>EXP(-LN(2)/2)*AW97+(1-EXP(-LN(2)/2))/(LN(2)/2)*AQ98*AT98*VLOOKUP('Données projet'!$B$10,Paramètres!$A$1:$I$89,3,0)*0.475*44/12</f>
        <v>3.1025989825359385E-9</v>
      </c>
      <c r="AX98" s="23">
        <f t="shared" si="60"/>
        <v>1.472586835491787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333</v>
      </c>
      <c r="BB98" s="13">
        <f>VLOOKUP(A98,'Données projet'!$A$87:$I$107,9,0)</f>
        <v>6.2</v>
      </c>
      <c r="BC98" s="13">
        <f t="array" ref="BC98">INDEX(BB:BB,MIN(IF(ISNUMBER(BB98:BB294),ROW(BB98:BB294),"")))</f>
        <v>6.2</v>
      </c>
      <c r="BD98" s="13">
        <f>IF('Données projet'!$A$88&gt;35,BD97+BC98-BL97,IF(A98&lt;'Données projet'!$A$88,$BA$205^A98,IF(A98='Données projet'!$A$88,'Données projet'!$B$88,BD97+BC98-BL97)))</f>
        <v>332.99999999999989</v>
      </c>
      <c r="BE98" s="14">
        <f>BD98*VLOOKUP('Données projet'!$B$11,Paramètres!$A$1:$I$89,3,0)*VLOOKUP('Données projet'!$B$11,Paramètres!$A$1:$I$89,5,0)</f>
        <v>301.2983999999999</v>
      </c>
      <c r="BF98" s="14">
        <f t="shared" si="91"/>
        <v>71.448589534990518</v>
      </c>
      <c r="BG98" s="22">
        <f t="shared" si="61"/>
        <v>649.20100677344158</v>
      </c>
      <c r="BH98" s="62">
        <f t="shared" si="62"/>
        <v>925.14845269220746</v>
      </c>
      <c r="BI98" s="62">
        <f ca="1">AVERAGE(OFFSET($BH$3,0,0,'Données projet'!$E$11+1,1))-AVERAGE(OFFSET($H$3,0,0,'Données projet'!$E$11+1,1))</f>
        <v>472.46893084347687</v>
      </c>
      <c r="BJ98" s="62">
        <f t="shared" si="92"/>
        <v>297.32483725004136</v>
      </c>
      <c r="BK98" s="16">
        <f>IF(ISNA(VLOOKUP(A98,'Données projet'!$A$87:$I$107,3,0)),0,VLOOKUP(A98,'Données projet'!$A$87:$I$107,3,0))</f>
        <v>16</v>
      </c>
      <c r="BL98" s="16">
        <f>IF(ISNA(VLOOKUP(A98,'Données projet'!$A$87:$I$107,4,0)),0,VLOOKUP(A98,'Données projet'!$A$87:$I$107,4,0))</f>
        <v>28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1.3838178907486178</v>
      </c>
      <c r="BQ98" s="23">
        <f>EXP(-LN(2)/25)*BQ97+(1-EXP(-LN(2)/25))/(LN(2)/25)*Calculateur!BL98*Calculateur!BN98*VLOOKUP('Données projet'!$B$11,Paramètres!$A$1:$I$89,3,0)*0.475*44/12</f>
        <v>0.19784944774347313</v>
      </c>
      <c r="BR98" s="23">
        <f>EXP(-LN(2)/2)*BR97+(1-EXP(-LN(2)/2))/(LN(2)/2)*BL98*BO98*VLOOKUP('Données projet'!$B$11,Paramètres!$A$1:$I$89,3,0)*0.475*44/12</f>
        <v>3.3324211293904513E-9</v>
      </c>
      <c r="BS98" s="24">
        <f t="shared" si="63"/>
        <v>1.5816673418245122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18.5</v>
      </c>
      <c r="BY98" s="13">
        <f>IF('Données projet'!$A$114&gt;35,BY97+BX98-CG97,IF(A98&lt;'Données projet'!$A$114,$BV$205^A98,IF(A98='Données projet'!$A$114,'Données projet'!$B$114,BY97+BX98-CG97)))</f>
        <v>630.49999999999989</v>
      </c>
      <c r="BZ98" s="14">
        <f>BY98*VLOOKUP('Données projet'!$B$12,Paramètres!$A$1:$I$89,3,0)*VLOOKUP('Données projet'!$B$12,Paramètres!$A$1:$I$89,5,0)</f>
        <v>295.07399999999996</v>
      </c>
      <c r="CA98" s="14">
        <f t="shared" si="93"/>
        <v>70.142791709481173</v>
      </c>
      <c r="CB98" s="22">
        <f t="shared" si="64"/>
        <v>636.08591222734628</v>
      </c>
      <c r="CC98" s="62">
        <f t="shared" si="65"/>
        <v>912.03335814611228</v>
      </c>
      <c r="CD98" s="62">
        <f ca="1">AVERAGE(OFFSET($CC$3,0,0,'Données projet'!$E$12+1,1))-AVERAGE(OFFSET($H$3,0,0,'Données projet'!$E$12+1,1))</f>
        <v>426.87921482911719</v>
      </c>
      <c r="CE98" s="62">
        <f t="shared" si="94"/>
        <v>313.49594674441835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-1.1368683772161603E-13</v>
      </c>
      <c r="CU98" s="18">
        <f>CT98*VLOOKUP('Données projet'!$B$13,Paramètres!$A$1:$I$89,3,0)*VLOOKUP('Données projet'!$B$13,Paramètres!$A$1:$I$89,5,0)</f>
        <v>-6.7984728957526396E-14</v>
      </c>
      <c r="CV98" s="14" t="e">
        <f t="shared" si="95"/>
        <v>#NUM!</v>
      </c>
      <c r="CW98" s="22" t="e">
        <f t="shared" si="67"/>
        <v>#NUM!</v>
      </c>
      <c r="CX98" s="62" t="e">
        <f t="shared" si="68"/>
        <v>#NUM!</v>
      </c>
      <c r="CY98" s="62">
        <f ca="1">AVERAGE(OFFSET($CX$3,0,0,'Données projet'!$E$13+1,1))-AVERAGE(OFFSET($H$3,0,0,'Données projet'!$E$13+1,1))</f>
        <v>367.11994336501527</v>
      </c>
      <c r="CZ98" s="62">
        <f t="shared" si="96"/>
        <v>390.81417197867484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9.5642739941753643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7.5796794511981242E-10</v>
      </c>
      <c r="DI98" s="24">
        <f t="shared" si="69"/>
        <v>9.5642739949333322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1.9895196601282805E-13</v>
      </c>
      <c r="O99" s="14">
        <f>N99*VLOOKUP('Données projet'!$B$9,Paramètres!$A$1:$I$89,3,0)*VLOOKUP('Données projet'!$B$9,Paramètres!$A$1:$I$89,5,0)</f>
        <v>1.8001173884840681E-13</v>
      </c>
      <c r="P99" s="14">
        <f t="shared" si="87"/>
        <v>2.5254331426407198E-12</v>
      </c>
      <c r="Q99" s="22">
        <f t="shared" ref="Q99:Q130" si="107">(O99+P99)*0.475*44/12</f>
        <v>4.7119831685935622E-12</v>
      </c>
      <c r="R99" s="62">
        <f t="shared" si="55"/>
        <v>276.24905219639214</v>
      </c>
      <c r="S99" s="62">
        <f ca="1">AVERAGE(OFFSET($R$3,0,0,'Données projet'!$E$9+1,1))-AVERAGE(OFFSET($H$3,0,0,'Données projet'!$E$9+1,1))</f>
        <v>312.43110610485337</v>
      </c>
      <c r="T99" s="62">
        <f t="shared" si="88"/>
        <v>442.54749157177571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0.14616281507625145</v>
      </c>
      <c r="AA99" s="23">
        <f>EXP(-LN(2)/25)*AA98+(1-EXP(-LN(2)/25))/(LN(2)/25)*Calculateur!V99*Calculateur!X99*VLOOKUP('Données projet'!$B$9,Paramètres!$A$1:$I$89,3,0)*0.475*44/12</f>
        <v>0.15104243003322357</v>
      </c>
      <c r="AB99" s="23">
        <f>EXP(-LN(2)/2)*AB98+(1-EXP(-LN(2)/2))/(LN(2)/2)*V99*Y99*VLOOKUP('Données projet'!$B$9,Paramètres!$A$1:$I$89,3,0)*0.475*44/12</f>
        <v>4.4722857250684297E-10</v>
      </c>
      <c r="AC99" s="24">
        <f t="shared" si="57"/>
        <v>0.29720524555670358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5.6</v>
      </c>
      <c r="AI99" s="14">
        <f>IF('Données projet'!$A$62&gt;35,AI98+AH99-AQ98,IF(A99&lt;'Données projet'!$A$62,$AF$205^A99,IF(A99='Données projet'!$A$62,'Données projet'!$B$62,AI98+AH99-AQ98)))</f>
        <v>310.59999999999991</v>
      </c>
      <c r="AJ99" s="14">
        <f>AI99*VLOOKUP('Données projet'!$B$10,Paramètres!$A$1:$I$89,3,0)*VLOOKUP('Données projet'!$B$10,Paramètres!$A$1:$I$89,5,0)</f>
        <v>261.64943999999997</v>
      </c>
      <c r="AK99" s="14">
        <f t="shared" si="89"/>
        <v>63.073842398428624</v>
      </c>
      <c r="AL99" s="22">
        <f t="shared" si="58"/>
        <v>565.55971684392978</v>
      </c>
      <c r="AM99" s="62">
        <f t="shared" si="59"/>
        <v>841.8087690403172</v>
      </c>
      <c r="AN99" s="62">
        <f ca="1">AVERAGE(OFFSET($AM$3,0,0,'Données projet'!$E$10+1,1))-AVERAGE(OFFSET($H$3,0,0,'Données projet'!$E$10+1,1))</f>
        <v>445.02659128831181</v>
      </c>
      <c r="AO99" s="62">
        <f t="shared" si="90"/>
        <v>281.06176764290592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1.2631177855458073</v>
      </c>
      <c r="AV99" s="23">
        <f>EXP(-LN(2)/25)*AV98+(1-EXP(-LN(2)/25))/(LN(2)/25)*Calculateur!AQ99*Calculateur!AS99*VLOOKUP('Données projet'!$B$10,Paramètres!$A$1:$I$89,3,0)*0.475*44/12</f>
        <v>0.17916757217734125</v>
      </c>
      <c r="AW99" s="23">
        <f>EXP(-LN(2)/2)*AW98+(1-EXP(-LN(2)/2))/(LN(2)/2)*AQ99*AT99*VLOOKUP('Données projet'!$B$10,Paramètres!$A$1:$I$89,3,0)*0.475*44/12</f>
        <v>2.1938687798536448E-9</v>
      </c>
      <c r="AX99" s="23">
        <f t="shared" si="60"/>
        <v>1.4422853599170173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5.6</v>
      </c>
      <c r="BD99" s="13">
        <f>IF('Données projet'!$A$88&gt;35,BD98+BC99-BL98,IF(A99&lt;'Données projet'!$A$88,$BA$205^A99,IF(A99='Données projet'!$A$88,'Données projet'!$B$88,BD98+BC99-BL98)))</f>
        <v>310.59999999999991</v>
      </c>
      <c r="BE99" s="14">
        <f>BD99*VLOOKUP('Données projet'!$B$11,Paramètres!$A$1:$I$89,3,0)*VLOOKUP('Données projet'!$B$11,Paramètres!$A$1:$I$89,5,0)</f>
        <v>281.03087999999991</v>
      </c>
      <c r="BF99" s="14">
        <f t="shared" si="91"/>
        <v>67.184816842275467</v>
      </c>
      <c r="BG99" s="22">
        <f t="shared" si="61"/>
        <v>606.4756720002963</v>
      </c>
      <c r="BH99" s="62">
        <f t="shared" si="62"/>
        <v>882.72472419668372</v>
      </c>
      <c r="BI99" s="62">
        <f ca="1">AVERAGE(OFFSET($BH$3,0,0,'Données projet'!$E$11+1,1))-AVERAGE(OFFSET($H$3,0,0,'Données projet'!$E$11+1,1))</f>
        <v>472.46893084347687</v>
      </c>
      <c r="BJ99" s="62">
        <f t="shared" si="92"/>
        <v>297.32483725004136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1.3566820659566081</v>
      </c>
      <c r="BQ99" s="23">
        <f>EXP(-LN(2)/25)*BQ98+(1-EXP(-LN(2)/25))/(LN(2)/25)*Calculateur!BL99*Calculateur!BN99*VLOOKUP('Données projet'!$B$11,Paramètres!$A$1:$I$89,3,0)*0.475*44/12</f>
        <v>0.19243924419047759</v>
      </c>
      <c r="BR99" s="23">
        <f>EXP(-LN(2)/2)*BR98+(1-EXP(-LN(2)/2))/(LN(2)/2)*BL99*BO99*VLOOKUP('Données projet'!$B$11,Paramètres!$A$1:$I$89,3,0)*0.475*44/12</f>
        <v>2.3563775783613214E-9</v>
      </c>
      <c r="BS99" s="24">
        <f t="shared" si="63"/>
        <v>1.5491213125034633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18.5</v>
      </c>
      <c r="BY99" s="13">
        <f>IF('Données projet'!$A$114&gt;35,BY98+BX99-CG98,IF(A99&lt;'Données projet'!$A$114,$BV$205^A99,IF(A99='Données projet'!$A$114,'Données projet'!$B$114,BY98+BX99-CG98)))</f>
        <v>648.99999999999989</v>
      </c>
      <c r="BZ99" s="14">
        <f>BY99*VLOOKUP('Données projet'!$B$12,Paramètres!$A$1:$I$89,3,0)*VLOOKUP('Données projet'!$B$12,Paramètres!$A$1:$I$89,5,0)</f>
        <v>303.73199999999997</v>
      </c>
      <c r="CA99" s="14">
        <f t="shared" si="93"/>
        <v>71.958270185981476</v>
      </c>
      <c r="CB99" s="22">
        <f t="shared" si="64"/>
        <v>654.32722057391766</v>
      </c>
      <c r="CC99" s="62">
        <f t="shared" si="65"/>
        <v>930.57627277030508</v>
      </c>
      <c r="CD99" s="62">
        <f ca="1">AVERAGE(OFFSET($CC$3,0,0,'Données projet'!$E$12+1,1))-AVERAGE(OFFSET($H$3,0,0,'Données projet'!$E$12+1,1))</f>
        <v>426.87921482911719</v>
      </c>
      <c r="CE99" s="62">
        <f t="shared" si="94"/>
        <v>313.49594674441835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-1.1368683772161603E-13</v>
      </c>
      <c r="CU99" s="18">
        <f>CT99*VLOOKUP('Données projet'!$B$13,Paramètres!$A$1:$I$89,3,0)*VLOOKUP('Données projet'!$B$13,Paramètres!$A$1:$I$89,5,0)</f>
        <v>-6.7984728957526396E-14</v>
      </c>
      <c r="CV99" s="14" t="e">
        <f t="shared" si="95"/>
        <v>#NUM!</v>
      </c>
      <c r="CW99" s="22" t="e">
        <f t="shared" si="67"/>
        <v>#NUM!</v>
      </c>
      <c r="CX99" s="62" t="e">
        <f t="shared" si="68"/>
        <v>#NUM!</v>
      </c>
      <c r="CY99" s="62">
        <f ca="1">AVERAGE(OFFSET($CX$3,0,0,'Données projet'!$E$13+1,1))-AVERAGE(OFFSET($H$3,0,0,'Données projet'!$E$13+1,1))</f>
        <v>367.11994336501527</v>
      </c>
      <c r="CZ99" s="62">
        <f t="shared" si="96"/>
        <v>390.81417197867484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9.3767244147806981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5.3596427391625226E-10</v>
      </c>
      <c r="DI99" s="24">
        <f t="shared" si="69"/>
        <v>9.3767244153166622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1.9895196601282805E-13</v>
      </c>
      <c r="O100" s="14">
        <f>N100*VLOOKUP('Données projet'!$B$9,Paramètres!$A$1:$I$89,3,0)*VLOOKUP('Données projet'!$B$9,Paramètres!$A$1:$I$89,5,0)</f>
        <v>1.8001173884840681E-13</v>
      </c>
      <c r="P100" s="14">
        <f t="shared" si="87"/>
        <v>2.5254331426407198E-12</v>
      </c>
      <c r="Q100" s="22">
        <f t="shared" si="107"/>
        <v>4.7119831685935622E-12</v>
      </c>
      <c r="R100" s="62">
        <f t="shared" si="55"/>
        <v>276.54542627938753</v>
      </c>
      <c r="S100" s="62">
        <f ca="1">AVERAGE(OFFSET($R$3,0,0,'Données projet'!$E$9+1,1))-AVERAGE(OFFSET($H$3,0,0,'Données projet'!$E$9+1,1))</f>
        <v>312.43110610485337</v>
      </c>
      <c r="T100" s="62">
        <f t="shared" si="88"/>
        <v>442.54749157177571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0.14329665142312048</v>
      </c>
      <c r="AA100" s="23">
        <f>EXP(-LN(2)/25)*AA99+(1-EXP(-LN(2)/25))/(LN(2)/25)*Calculateur!V100*Calculateur!X100*VLOOKUP('Données projet'!$B$9,Paramètres!$A$1:$I$89,3,0)*0.475*44/12</f>
        <v>0.14691216684098887</v>
      </c>
      <c r="AB100" s="23">
        <f>EXP(-LN(2)/2)*AB99+(1-EXP(-LN(2)/2))/(LN(2)/2)*V100*Y100*VLOOKUP('Données projet'!$B$9,Paramètres!$A$1:$I$89,3,0)*0.475*44/12</f>
        <v>3.1623835635996821E-10</v>
      </c>
      <c r="AC100" s="24">
        <f t="shared" si="57"/>
        <v>0.29020881858034775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5.6</v>
      </c>
      <c r="AI100" s="14">
        <f>IF('Données projet'!$A$62&gt;35,AI99+AH100-AQ99,IF(A100&lt;'Données projet'!$A$62,$AF$205^A100,IF(A100='Données projet'!$A$62,'Données projet'!$B$62,AI99+AH100-AQ99)))</f>
        <v>316.19999999999993</v>
      </c>
      <c r="AJ100" s="14">
        <f>AI100*VLOOKUP('Données projet'!$B$10,Paramètres!$A$1:$I$89,3,0)*VLOOKUP('Données projet'!$B$10,Paramètres!$A$1:$I$89,5,0)</f>
        <v>266.36687999999992</v>
      </c>
      <c r="AK100" s="14">
        <f t="shared" si="89"/>
        <v>64.077622653233107</v>
      </c>
      <c r="AL100" s="22">
        <f t="shared" si="58"/>
        <v>575.52417545438084</v>
      </c>
      <c r="AM100" s="62">
        <f t="shared" si="59"/>
        <v>852.06960173376365</v>
      </c>
      <c r="AN100" s="62">
        <f ca="1">AVERAGE(OFFSET($AM$3,0,0,'Données projet'!$E$10+1,1))-AVERAGE(OFFSET($H$3,0,0,'Données projet'!$E$10+1,1))</f>
        <v>445.02659128831181</v>
      </c>
      <c r="AO100" s="62">
        <f t="shared" si="90"/>
        <v>281.06176764290592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1.23834881619703</v>
      </c>
      <c r="AV100" s="23">
        <f>EXP(-LN(2)/25)*AV99+(1-EXP(-LN(2)/25))/(LN(2)/25)*Calculateur!AQ100*Calculateur!AS100*VLOOKUP('Données projet'!$B$10,Paramètres!$A$1:$I$89,3,0)*0.475*44/12</f>
        <v>0.17426822549413873</v>
      </c>
      <c r="AW100" s="23">
        <f>EXP(-LN(2)/2)*AW99+(1-EXP(-LN(2)/2))/(LN(2)/2)*AQ100*AT100*VLOOKUP('Données projet'!$B$10,Paramètres!$A$1:$I$89,3,0)*0.475*44/12</f>
        <v>1.5512994912679692E-9</v>
      </c>
      <c r="AX100" s="23">
        <f t="shared" si="60"/>
        <v>1.4126170432424683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5.6</v>
      </c>
      <c r="BD100" s="13">
        <f>IF('Données projet'!$A$88&gt;35,BD99+BC100-BL99,IF(A100&lt;'Données projet'!$A$88,$BA$205^A100,IF(A100='Données projet'!$A$88,'Données projet'!$B$88,BD99+BC100-BL99)))</f>
        <v>316.19999999999993</v>
      </c>
      <c r="BE100" s="14">
        <f>BD100*VLOOKUP('Données projet'!$B$11,Paramètres!$A$1:$I$89,3,0)*VLOOKUP('Données projet'!$B$11,Paramètres!$A$1:$I$89,5,0)</f>
        <v>286.09775999999994</v>
      </c>
      <c r="BF100" s="14">
        <f t="shared" si="91"/>
        <v>68.254020651723678</v>
      </c>
      <c r="BG100" s="22">
        <f t="shared" si="61"/>
        <v>617.16268463508527</v>
      </c>
      <c r="BH100" s="62">
        <f t="shared" si="62"/>
        <v>893.70811091446808</v>
      </c>
      <c r="BI100" s="62">
        <f ca="1">AVERAGE(OFFSET($BH$3,0,0,'Données projet'!$E$11+1,1))-AVERAGE(OFFSET($H$3,0,0,'Données projet'!$E$11+1,1))</f>
        <v>472.46893084347687</v>
      </c>
      <c r="BJ100" s="62">
        <f t="shared" si="92"/>
        <v>297.32483725004136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1.330078358137551</v>
      </c>
      <c r="BQ100" s="23">
        <f>EXP(-LN(2)/25)*BQ99+(1-EXP(-LN(2)/25))/(LN(2)/25)*Calculateur!BL100*Calculateur!BN100*VLOOKUP('Données projet'!$B$11,Paramètres!$A$1:$I$89,3,0)*0.475*44/12</f>
        <v>0.18717698293814894</v>
      </c>
      <c r="BR100" s="23">
        <f>EXP(-LN(2)/2)*BR99+(1-EXP(-LN(2)/2))/(LN(2)/2)*BL100*BO100*VLOOKUP('Données projet'!$B$11,Paramètres!$A$1:$I$89,3,0)*0.475*44/12</f>
        <v>1.6662105646952256E-9</v>
      </c>
      <c r="BS100" s="24">
        <f t="shared" si="63"/>
        <v>1.5172553427419104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18.5</v>
      </c>
      <c r="BY100" s="13">
        <f>IF('Données projet'!$A$114&gt;35,BY99+BX100-CG99,IF(A100&lt;'Données projet'!$A$114,$BV$205^A100,IF(A100='Données projet'!$A$114,'Données projet'!$B$114,BY99+BX100-CG99)))</f>
        <v>667.49999999999989</v>
      </c>
      <c r="BZ100" s="14">
        <f>BY100*VLOOKUP('Données projet'!$B$12,Paramètres!$A$1:$I$89,3,0)*VLOOKUP('Données projet'!$B$12,Paramètres!$A$1:$I$89,5,0)</f>
        <v>312.38999999999993</v>
      </c>
      <c r="CA100" s="14">
        <f t="shared" si="93"/>
        <v>73.767733976388286</v>
      </c>
      <c r="CB100" s="22">
        <f t="shared" si="64"/>
        <v>672.55805334220952</v>
      </c>
      <c r="CC100" s="62">
        <f t="shared" si="65"/>
        <v>949.10347962159233</v>
      </c>
      <c r="CD100" s="62">
        <f ca="1">AVERAGE(OFFSET($CC$3,0,0,'Données projet'!$E$12+1,1))-AVERAGE(OFFSET($H$3,0,0,'Données projet'!$E$12+1,1))</f>
        <v>426.87921482911719</v>
      </c>
      <c r="CE100" s="62">
        <f t="shared" si="94"/>
        <v>313.49594674441835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-1.1368683772161603E-13</v>
      </c>
      <c r="CU100" s="18">
        <f>CT100*VLOOKUP('Données projet'!$B$13,Paramètres!$A$1:$I$89,3,0)*VLOOKUP('Données projet'!$B$13,Paramètres!$A$1:$I$89,5,0)</f>
        <v>-6.7984728957526396E-14</v>
      </c>
      <c r="CV100" s="14" t="e">
        <f t="shared" si="95"/>
        <v>#NUM!</v>
      </c>
      <c r="CW100" s="22" t="e">
        <f t="shared" si="67"/>
        <v>#NUM!</v>
      </c>
      <c r="CX100" s="62" t="e">
        <f t="shared" si="68"/>
        <v>#NUM!</v>
      </c>
      <c r="CY100" s="62">
        <f ca="1">AVERAGE(OFFSET($CX$3,0,0,'Données projet'!$E$13+1,1))-AVERAGE(OFFSET($H$3,0,0,'Données projet'!$E$13+1,1))</f>
        <v>367.11994336501527</v>
      </c>
      <c r="CZ100" s="62">
        <f t="shared" si="96"/>
        <v>390.81417197867484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9.1928525682440139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3.7898397255990621E-10</v>
      </c>
      <c r="DI100" s="24">
        <f t="shared" si="69"/>
        <v>9.1928525686229978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1.9895196601282805E-13</v>
      </c>
      <c r="O101" s="14">
        <f>N101*VLOOKUP('Données projet'!$B$9,Paramètres!$A$1:$I$89,3,0)*VLOOKUP('Données projet'!$B$9,Paramètres!$A$1:$I$89,5,0)</f>
        <v>1.8001173884840681E-13</v>
      </c>
      <c r="P101" s="14">
        <f t="shared" si="87"/>
        <v>2.5254331426407198E-12</v>
      </c>
      <c r="Q101" s="22">
        <f t="shared" si="107"/>
        <v>4.7119831685935622E-12</v>
      </c>
      <c r="R101" s="62">
        <f t="shared" si="55"/>
        <v>276.83665893463609</v>
      </c>
      <c r="S101" s="62">
        <f ca="1">AVERAGE(OFFSET($R$3,0,0,'Données projet'!$E$9+1,1))-AVERAGE(OFFSET($H$3,0,0,'Données projet'!$E$9+1,1))</f>
        <v>312.43110610485337</v>
      </c>
      <c r="T101" s="62">
        <f t="shared" si="88"/>
        <v>442.54749157177571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0.14048669149104021</v>
      </c>
      <c r="AA101" s="23">
        <f>EXP(-LN(2)/25)*AA100+(1-EXP(-LN(2)/25))/(LN(2)/25)*Calculateur!V101*Calculateur!X101*VLOOKUP('Données projet'!$B$9,Paramètres!$A$1:$I$89,3,0)*0.475*44/12</f>
        <v>0.14289484591294696</v>
      </c>
      <c r="AB101" s="23">
        <f>EXP(-LN(2)/2)*AB100+(1-EXP(-LN(2)/2))/(LN(2)/2)*V101*Y101*VLOOKUP('Données projet'!$B$9,Paramètres!$A$1:$I$89,3,0)*0.475*44/12</f>
        <v>2.2361428625342149E-10</v>
      </c>
      <c r="AC101" s="24">
        <f t="shared" si="57"/>
        <v>0.28338153762760149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5.6</v>
      </c>
      <c r="AI101" s="14">
        <f>IF('Données projet'!$A$62&gt;35,AI100+AH101-AQ100,IF(A101&lt;'Données projet'!$A$62,$AF$205^A101,IF(A101='Données projet'!$A$62,'Données projet'!$B$62,AI100+AH101-AQ100)))</f>
        <v>321.79999999999995</v>
      </c>
      <c r="AJ101" s="14">
        <f>AI101*VLOOKUP('Données projet'!$B$10,Paramètres!$A$1:$I$89,3,0)*VLOOKUP('Données projet'!$B$10,Paramètres!$A$1:$I$89,5,0)</f>
        <v>271.08431999999999</v>
      </c>
      <c r="AK101" s="14">
        <f t="shared" si="89"/>
        <v>65.079335652211455</v>
      </c>
      <c r="AL101" s="22">
        <f t="shared" si="58"/>
        <v>585.4850335942682</v>
      </c>
      <c r="AM101" s="62">
        <f t="shared" si="59"/>
        <v>862.32169252889958</v>
      </c>
      <c r="AN101" s="62">
        <f ca="1">AVERAGE(OFFSET($AM$3,0,0,'Données projet'!$E$10+1,1))-AVERAGE(OFFSET($H$3,0,0,'Données projet'!$E$10+1,1))</f>
        <v>445.02659128831181</v>
      </c>
      <c r="AO101" s="62">
        <f t="shared" si="90"/>
        <v>281.06176764290592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1.2140655512296026</v>
      </c>
      <c r="AV101" s="23">
        <f>EXP(-LN(2)/25)*AV100+(1-EXP(-LN(2)/25))/(LN(2)/25)*Calculateur!AQ101*Calculateur!AS101*VLOOKUP('Données projet'!$B$10,Paramètres!$A$1:$I$89,3,0)*0.475*44/12</f>
        <v>0.16950285170363383</v>
      </c>
      <c r="AW101" s="23">
        <f>EXP(-LN(2)/2)*AW100+(1-EXP(-LN(2)/2))/(LN(2)/2)*AQ101*AT101*VLOOKUP('Données projet'!$B$10,Paramètres!$A$1:$I$89,3,0)*0.475*44/12</f>
        <v>1.0969343899268224E-9</v>
      </c>
      <c r="AX101" s="23">
        <f t="shared" si="60"/>
        <v>1.3835684040301708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5.6</v>
      </c>
      <c r="BD101" s="13">
        <f>IF('Données projet'!$A$88&gt;35,BD100+BC101-BL100,IF(A101&lt;'Données projet'!$A$88,$BA$205^A101,IF(A101='Données projet'!$A$88,'Données projet'!$B$88,BD100+BC101-BL100)))</f>
        <v>321.79999999999995</v>
      </c>
      <c r="BE101" s="14">
        <f>BD101*VLOOKUP('Données projet'!$B$11,Paramètres!$A$1:$I$89,3,0)*VLOOKUP('Données projet'!$B$11,Paramètres!$A$1:$I$89,5,0)</f>
        <v>291.16463999999991</v>
      </c>
      <c r="BF101" s="14">
        <f t="shared" si="91"/>
        <v>69.321022467464644</v>
      </c>
      <c r="BG101" s="22">
        <f t="shared" si="61"/>
        <v>627.84586213083401</v>
      </c>
      <c r="BH101" s="62">
        <f t="shared" si="62"/>
        <v>904.68252106546538</v>
      </c>
      <c r="BI101" s="62">
        <f ca="1">AVERAGE(OFFSET($BH$3,0,0,'Données projet'!$E$11+1,1))-AVERAGE(OFFSET($H$3,0,0,'Données projet'!$E$11+1,1))</f>
        <v>472.46893084347687</v>
      </c>
      <c r="BJ101" s="62">
        <f t="shared" si="92"/>
        <v>297.32483725004136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1.3039963328021662</v>
      </c>
      <c r="BQ101" s="23">
        <f>EXP(-LN(2)/25)*BQ100+(1-EXP(-LN(2)/25))/(LN(2)/25)*Calculateur!BL101*Calculateur!BN101*VLOOKUP('Données projet'!$B$11,Paramètres!$A$1:$I$89,3,0)*0.475*44/12</f>
        <v>0.18205861849649552</v>
      </c>
      <c r="BR101" s="23">
        <f>EXP(-LN(2)/2)*BR100+(1-EXP(-LN(2)/2))/(LN(2)/2)*BL101*BO101*VLOOKUP('Données projet'!$B$11,Paramètres!$A$1:$I$89,3,0)*0.475*44/12</f>
        <v>1.1781887891806607E-9</v>
      </c>
      <c r="BS101" s="24">
        <f t="shared" si="63"/>
        <v>1.4860549524768507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18.5</v>
      </c>
      <c r="BY101" s="13">
        <f>IF('Données projet'!$A$114&gt;35,BY100+BX101-CG100,IF(A101&lt;'Données projet'!$A$114,$BV$205^A101,IF(A101='Données projet'!$A$114,'Données projet'!$B$114,BY100+BX101-CG100)))</f>
        <v>685.99999999999989</v>
      </c>
      <c r="BZ101" s="14">
        <f>BY101*VLOOKUP('Données projet'!$B$12,Paramètres!$A$1:$I$89,3,0)*VLOOKUP('Données projet'!$B$12,Paramètres!$A$1:$I$89,5,0)</f>
        <v>321.04799999999994</v>
      </c>
      <c r="CA101" s="14">
        <f t="shared" si="93"/>
        <v>75.571368931978697</v>
      </c>
      <c r="CB101" s="22">
        <f t="shared" si="64"/>
        <v>690.77873422319624</v>
      </c>
      <c r="CC101" s="62">
        <f t="shared" si="65"/>
        <v>967.61539315782761</v>
      </c>
      <c r="CD101" s="62">
        <f ca="1">AVERAGE(OFFSET($CC$3,0,0,'Données projet'!$E$12+1,1))-AVERAGE(OFFSET($H$3,0,0,'Données projet'!$E$12+1,1))</f>
        <v>426.87921482911719</v>
      </c>
      <c r="CE101" s="62">
        <f t="shared" si="94"/>
        <v>313.49594674441835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-1.1368683772161603E-13</v>
      </c>
      <c r="CU101" s="18">
        <f>CT101*VLOOKUP('Données projet'!$B$13,Paramètres!$A$1:$I$89,3,0)*VLOOKUP('Données projet'!$B$13,Paramètres!$A$1:$I$89,5,0)</f>
        <v>-6.7984728957526396E-14</v>
      </c>
      <c r="CV101" s="14" t="e">
        <f t="shared" si="95"/>
        <v>#NUM!</v>
      </c>
      <c r="CW101" s="22" t="e">
        <f t="shared" si="67"/>
        <v>#NUM!</v>
      </c>
      <c r="CX101" s="62" t="e">
        <f t="shared" si="68"/>
        <v>#NUM!</v>
      </c>
      <c r="CY101" s="62">
        <f ca="1">AVERAGE(OFFSET($CX$3,0,0,'Données projet'!$E$13+1,1))-AVERAGE(OFFSET($H$3,0,0,'Données projet'!$E$13+1,1))</f>
        <v>367.11994336501527</v>
      </c>
      <c r="CZ101" s="62">
        <f t="shared" si="96"/>
        <v>390.81417197867484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9.0125863364671623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2.6798213695812613E-10</v>
      </c>
      <c r="DI101" s="24">
        <f t="shared" si="69"/>
        <v>9.0125863367351453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1.9895196601282805E-13</v>
      </c>
      <c r="O102" s="14">
        <f>N102*VLOOKUP('Données projet'!$B$9,Paramètres!$A$1:$I$89,3,0)*VLOOKUP('Données projet'!$B$9,Paramètres!$A$1:$I$89,5,0)</f>
        <v>1.8001173884840681E-13</v>
      </c>
      <c r="P102" s="14">
        <f t="shared" si="87"/>
        <v>2.5254331426407198E-12</v>
      </c>
      <c r="Q102" s="22">
        <f t="shared" si="107"/>
        <v>4.7119831685935622E-12</v>
      </c>
      <c r="R102" s="62">
        <f t="shared" si="55"/>
        <v>277.12283935441485</v>
      </c>
      <c r="S102" s="62">
        <f ca="1">AVERAGE(OFFSET($R$3,0,0,'Données projet'!$E$9+1,1))-AVERAGE(OFFSET($H$3,0,0,'Données projet'!$E$9+1,1))</f>
        <v>312.43110610485337</v>
      </c>
      <c r="T102" s="62">
        <f t="shared" si="88"/>
        <v>442.54749157177571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0.13773183315932169</v>
      </c>
      <c r="AA102" s="23">
        <f>EXP(-LN(2)/25)*AA101+(1-EXP(-LN(2)/25))/(LN(2)/25)*Calculateur!V102*Calculateur!X102*VLOOKUP('Données projet'!$B$9,Paramètres!$A$1:$I$89,3,0)*0.475*44/12</f>
        <v>0.13898737883694406</v>
      </c>
      <c r="AB102" s="23">
        <f>EXP(-LN(2)/2)*AB101+(1-EXP(-LN(2)/2))/(LN(2)/2)*V102*Y102*VLOOKUP('Données projet'!$B$9,Paramètres!$A$1:$I$89,3,0)*0.475*44/12</f>
        <v>1.5811917817998411E-10</v>
      </c>
      <c r="AC102" s="24">
        <f t="shared" si="57"/>
        <v>0.27671921215438494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5.6</v>
      </c>
      <c r="AI102" s="14">
        <f>IF('Données projet'!$A$62&gt;35,AI101+AH102-AQ101,IF(A102&lt;'Données projet'!$A$62,$AF$205^A102,IF(A102='Données projet'!$A$62,'Données projet'!$B$62,AI101+AH102-AQ101)))</f>
        <v>327.39999999999998</v>
      </c>
      <c r="AJ102" s="14">
        <f>AI102*VLOOKUP('Données projet'!$B$10,Paramètres!$A$1:$I$89,3,0)*VLOOKUP('Données projet'!$B$10,Paramètres!$A$1:$I$89,5,0)</f>
        <v>275.80176</v>
      </c>
      <c r="AK102" s="14">
        <f t="shared" si="89"/>
        <v>66.079021520862696</v>
      </c>
      <c r="AL102" s="22">
        <f t="shared" si="58"/>
        <v>595.44236114883586</v>
      </c>
      <c r="AM102" s="62">
        <f t="shared" si="59"/>
        <v>872.56520050324593</v>
      </c>
      <c r="AN102" s="62">
        <f ca="1">AVERAGE(OFFSET($AM$3,0,0,'Données projet'!$E$10+1,1))-AVERAGE(OFFSET($H$3,0,0,'Données projet'!$E$10+1,1))</f>
        <v>445.02659128831181</v>
      </c>
      <c r="AO102" s="62">
        <f t="shared" si="90"/>
        <v>281.06176764290592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1.1902584662768574</v>
      </c>
      <c r="AV102" s="23">
        <f>EXP(-LN(2)/25)*AV101+(1-EXP(-LN(2)/25))/(LN(2)/25)*Calculateur!AQ102*Calculateur!AS102*VLOOKUP('Données projet'!$B$10,Paramètres!$A$1:$I$89,3,0)*0.475*44/12</f>
        <v>0.16486778731003041</v>
      </c>
      <c r="AW102" s="23">
        <f>EXP(-LN(2)/2)*AW101+(1-EXP(-LN(2)/2))/(LN(2)/2)*AQ102*AT102*VLOOKUP('Données projet'!$B$10,Paramètres!$A$1:$I$89,3,0)*0.475*44/12</f>
        <v>7.7564974563398462E-10</v>
      </c>
      <c r="AX102" s="23">
        <f t="shared" si="60"/>
        <v>1.3551262543625375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5.6</v>
      </c>
      <c r="BD102" s="13">
        <f>IF('Données projet'!$A$88&gt;35,BD101+BC102-BL101,IF(A102&lt;'Données projet'!$A$88,$BA$205^A102,IF(A102='Données projet'!$A$88,'Données projet'!$B$88,BD101+BC102-BL101)))</f>
        <v>327.39999999999998</v>
      </c>
      <c r="BE102" s="14">
        <f>BD102*VLOOKUP('Données projet'!$B$11,Paramètres!$A$1:$I$89,3,0)*VLOOKUP('Données projet'!$B$11,Paramètres!$A$1:$I$89,5,0)</f>
        <v>296.23151999999993</v>
      </c>
      <c r="BF102" s="14">
        <f t="shared" si="91"/>
        <v>70.385865030263986</v>
      </c>
      <c r="BG102" s="22">
        <f t="shared" si="61"/>
        <v>638.52527892770956</v>
      </c>
      <c r="BH102" s="62">
        <f t="shared" si="62"/>
        <v>915.64811828211964</v>
      </c>
      <c r="BI102" s="62">
        <f ca="1">AVERAGE(OFFSET($BH$3,0,0,'Données projet'!$E$11+1,1))-AVERAGE(OFFSET($H$3,0,0,'Données projet'!$E$11+1,1))</f>
        <v>472.46893084347687</v>
      </c>
      <c r="BJ102" s="62">
        <f t="shared" si="92"/>
        <v>297.32483725004136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1.2784257600751436</v>
      </c>
      <c r="BQ102" s="23">
        <f>EXP(-LN(2)/25)*BQ101+(1-EXP(-LN(2)/25))/(LN(2)/25)*Calculateur!BL102*Calculateur!BN102*VLOOKUP('Données projet'!$B$11,Paramètres!$A$1:$I$89,3,0)*0.475*44/12</f>
        <v>0.1770802159996622</v>
      </c>
      <c r="BR102" s="23">
        <f>EXP(-LN(2)/2)*BR101+(1-EXP(-LN(2)/2))/(LN(2)/2)*BL102*BO102*VLOOKUP('Données projet'!$B$11,Paramètres!$A$1:$I$89,3,0)*0.475*44/12</f>
        <v>8.3310528234761281E-10</v>
      </c>
      <c r="BS102" s="24">
        <f t="shared" si="63"/>
        <v>1.4555059769079113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18.5</v>
      </c>
      <c r="BY102" s="13">
        <f>IF('Données projet'!$A$114&gt;35,BY101+BX102-CG101,IF(A102&lt;'Données projet'!$A$114,$BV$205^A102,IF(A102='Données projet'!$A$114,'Données projet'!$B$114,BY101+BX102-CG101)))</f>
        <v>704.49999999999989</v>
      </c>
      <c r="BZ102" s="14">
        <f>BY102*VLOOKUP('Données projet'!$B$12,Paramètres!$A$1:$I$89,3,0)*VLOOKUP('Données projet'!$B$12,Paramètres!$A$1:$I$89,5,0)</f>
        <v>329.70599999999996</v>
      </c>
      <c r="CA102" s="14">
        <f t="shared" si="93"/>
        <v>77.369350309333612</v>
      </c>
      <c r="CB102" s="22">
        <f t="shared" si="64"/>
        <v>708.98956845542261</v>
      </c>
      <c r="CC102" s="62">
        <f t="shared" si="65"/>
        <v>986.1124078098328</v>
      </c>
      <c r="CD102" s="62">
        <f ca="1">AVERAGE(OFFSET($CC$3,0,0,'Données projet'!$E$12+1,1))-AVERAGE(OFFSET($H$3,0,0,'Données projet'!$E$12+1,1))</f>
        <v>426.87921482911719</v>
      </c>
      <c r="CE102" s="62">
        <f t="shared" si="94"/>
        <v>313.49594674441835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-1.1368683772161603E-13</v>
      </c>
      <c r="CU102" s="18">
        <f>CT102*VLOOKUP('Données projet'!$B$13,Paramètres!$A$1:$I$89,3,0)*VLOOKUP('Données projet'!$B$13,Paramètres!$A$1:$I$89,5,0)</f>
        <v>-6.7984728957526396E-14</v>
      </c>
      <c r="CV102" s="14" t="e">
        <f t="shared" si="95"/>
        <v>#NUM!</v>
      </c>
      <c r="CW102" s="22" t="e">
        <f t="shared" si="67"/>
        <v>#NUM!</v>
      </c>
      <c r="CX102" s="62" t="e">
        <f t="shared" si="68"/>
        <v>#NUM!</v>
      </c>
      <c r="CY102" s="62">
        <f ca="1">AVERAGE(OFFSET($CX$3,0,0,'Données projet'!$E$13+1,1))-AVERAGE(OFFSET($H$3,0,0,'Données projet'!$E$13+1,1))</f>
        <v>367.11994336501527</v>
      </c>
      <c r="CZ102" s="62">
        <f t="shared" si="96"/>
        <v>390.81417197867484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8.8358550155439097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1.8949198627995311E-10</v>
      </c>
      <c r="DI102" s="24">
        <f t="shared" si="69"/>
        <v>8.8358550157334026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1.9895196601282805E-13</v>
      </c>
      <c r="O103" s="14">
        <f>N103*VLOOKUP('Données projet'!$B$9,Paramètres!$A$1:$I$89,3,0)*VLOOKUP('Données projet'!$B$9,Paramètres!$A$1:$I$89,5,0)</f>
        <v>1.8001173884840681E-13</v>
      </c>
      <c r="P103" s="14">
        <f t="shared" si="87"/>
        <v>2.5254331426407198E-12</v>
      </c>
      <c r="Q103" s="22">
        <f t="shared" si="107"/>
        <v>4.7119831685935622E-12</v>
      </c>
      <c r="R103" s="62">
        <f t="shared" si="55"/>
        <v>277.40405518371392</v>
      </c>
      <c r="S103" s="62">
        <f ca="1">AVERAGE(OFFSET($R$3,0,0,'Données projet'!$E$9+1,1))-AVERAGE(OFFSET($H$3,0,0,'Données projet'!$E$9+1,1))</f>
        <v>312.43110610485337</v>
      </c>
      <c r="T103" s="62">
        <f t="shared" si="88"/>
        <v>442.54749157177571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0.13503099591919052</v>
      </c>
      <c r="AA103" s="23">
        <f>EXP(-LN(2)/25)*AA102+(1-EXP(-LN(2)/25))/(LN(2)/25)*Calculateur!V103*Calculateur!X103*VLOOKUP('Données projet'!$B$9,Paramètres!$A$1:$I$89,3,0)*0.475*44/12</f>
        <v>0.13518676165361923</v>
      </c>
      <c r="AB103" s="23">
        <f>EXP(-LN(2)/2)*AB102+(1-EXP(-LN(2)/2))/(LN(2)/2)*V103*Y103*VLOOKUP('Données projet'!$B$9,Paramètres!$A$1:$I$89,3,0)*0.475*44/12</f>
        <v>1.1180714312671074E-10</v>
      </c>
      <c r="AC103" s="24">
        <f t="shared" si="57"/>
        <v>0.27021775768461687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333</v>
      </c>
      <c r="AG103" s="13">
        <f>VLOOKUP(A103,'Données projet'!$A$61:$I$81,9,0)</f>
        <v>5.6</v>
      </c>
      <c r="AH103" s="13">
        <f t="array" ref="AH103">INDEX(AG:AG,MIN(IF(ISNUMBER(AG103:AG299),ROW(AG103:AG299),"")))</f>
        <v>5.6</v>
      </c>
      <c r="AI103" s="14">
        <f>IF('Données projet'!$A$62&gt;35,AI102+AH103-AQ102,IF(A103&lt;'Données projet'!$A$62,$AF$205^A103,IF(A103='Données projet'!$A$62,'Données projet'!$B$62,AI102+AH103-AQ102)))</f>
        <v>333</v>
      </c>
      <c r="AJ103" s="14">
        <f>AI103*VLOOKUP('Données projet'!$B$10,Paramètres!$A$1:$I$89,3,0)*VLOOKUP('Données projet'!$B$10,Paramètres!$A$1:$I$89,5,0)</f>
        <v>280.51920000000007</v>
      </c>
      <c r="AK103" s="14">
        <f t="shared" si="89"/>
        <v>67.07671893338123</v>
      </c>
      <c r="AL103" s="22">
        <f t="shared" si="58"/>
        <v>605.39622547563897</v>
      </c>
      <c r="AM103" s="62">
        <f t="shared" si="59"/>
        <v>882.80028065934812</v>
      </c>
      <c r="AN103" s="62">
        <f ca="1">AVERAGE(OFFSET($AM$3,0,0,'Données projet'!$E$10+1,1))-AVERAGE(OFFSET($H$3,0,0,'Données projet'!$E$10+1,1))</f>
        <v>445.02659128831181</v>
      </c>
      <c r="AO103" s="62">
        <f t="shared" si="90"/>
        <v>281.06176764290592</v>
      </c>
      <c r="AP103" s="16">
        <f>IF(ISNA(VLOOKUP(A103,'Données projet'!$A$61:$I$81,3,0)),0,VLOOKUP(A103,'Données projet'!$A$61:$I$81,3,0))</f>
        <v>17</v>
      </c>
      <c r="AQ103" s="16">
        <f>IF(ISNA(VLOOKUP(A103,'Données projet'!$A$61:$I$81,4,0)),0,VLOOKUP(A103,'Données projet'!$A$61:$I$81,4,0))</f>
        <v>27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1.1669182237391476</v>
      </c>
      <c r="AV103" s="23">
        <f>EXP(-LN(2)/25)*AV102+(1-EXP(-LN(2)/25))/(LN(2)/25)*Calculateur!AQ103*Calculateur!AS103*VLOOKUP('Données projet'!$B$10,Paramètres!$A$1:$I$89,3,0)*0.475*44/12</f>
        <v>0.1603594689960175</v>
      </c>
      <c r="AW103" s="23">
        <f>EXP(-LN(2)/2)*AW102+(1-EXP(-LN(2)/2))/(LN(2)/2)*AQ103*AT103*VLOOKUP('Données projet'!$B$10,Paramètres!$A$1:$I$89,3,0)*0.475*44/12</f>
        <v>5.484671949634112E-10</v>
      </c>
      <c r="AX103" s="23">
        <f t="shared" si="60"/>
        <v>1.3272776932836323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333</v>
      </c>
      <c r="BB103" s="13">
        <f>VLOOKUP(A103,'Données projet'!$A$87:$I$107,9,0)</f>
        <v>5.6</v>
      </c>
      <c r="BC103" s="13">
        <f t="array" ref="BC103">INDEX(BB:BB,MIN(IF(ISNUMBER(BB103:BB299),ROW(BB103:BB299),"")))</f>
        <v>5.6</v>
      </c>
      <c r="BD103" s="13">
        <f>IF('Données projet'!$A$88&gt;35,BD102+BC103-BL102,IF(A103&lt;'Données projet'!$A$88,$BA$205^A103,IF(A103='Données projet'!$A$88,'Données projet'!$B$88,BD102+BC103-BL102)))</f>
        <v>333</v>
      </c>
      <c r="BE103" s="14">
        <f>BD103*VLOOKUP('Données projet'!$B$11,Paramètres!$A$1:$I$89,3,0)*VLOOKUP('Données projet'!$B$11,Paramètres!$A$1:$I$89,5,0)</f>
        <v>301.29840000000002</v>
      </c>
      <c r="BF103" s="14">
        <f t="shared" si="91"/>
        <v>71.448589534990518</v>
      </c>
      <c r="BG103" s="22">
        <f t="shared" si="61"/>
        <v>649.2010067734418</v>
      </c>
      <c r="BH103" s="62">
        <f t="shared" si="62"/>
        <v>926.60506195715107</v>
      </c>
      <c r="BI103" s="62">
        <f ca="1">AVERAGE(OFFSET($BH$3,0,0,'Données projet'!$E$11+1,1))-AVERAGE(OFFSET($H$3,0,0,'Données projet'!$E$11+1,1))</f>
        <v>472.46893084347687</v>
      </c>
      <c r="BJ103" s="62">
        <f t="shared" si="92"/>
        <v>297.32483725004136</v>
      </c>
      <c r="BK103" s="16">
        <f>IF(ISNA(VLOOKUP(A103,'Données projet'!$A$87:$I$107,3,0)),0,VLOOKUP(A103,'Données projet'!$A$87:$I$107,3,0))</f>
        <v>17</v>
      </c>
      <c r="BL103" s="16">
        <f>IF(ISNA(VLOOKUP(A103,'Données projet'!$A$87:$I$107,4,0)),0,VLOOKUP(A103,'Données projet'!$A$87:$I$107,4,0))</f>
        <v>27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1.2533566106827885</v>
      </c>
      <c r="BQ103" s="23">
        <f>EXP(-LN(2)/25)*BQ102+(1-EXP(-LN(2)/25))/(LN(2)/25)*Calculateur!BL103*Calculateur!BN103*VLOOKUP('Données projet'!$B$11,Paramètres!$A$1:$I$89,3,0)*0.475*44/12</f>
        <v>0.1722379481809076</v>
      </c>
      <c r="BR103" s="23">
        <f>EXP(-LN(2)/2)*BR102+(1-EXP(-LN(2)/2))/(LN(2)/2)*BL103*BO103*VLOOKUP('Données projet'!$B$11,Paramètres!$A$1:$I$89,3,0)*0.475*44/12</f>
        <v>5.8909439459033034E-10</v>
      </c>
      <c r="BS103" s="24">
        <f t="shared" si="63"/>
        <v>1.4255945594527903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723</v>
      </c>
      <c r="BW103" s="13">
        <f>VLOOKUP(A103,'Données projet'!$A$113:$I$133,9,0)</f>
        <v>18.5</v>
      </c>
      <c r="BX103" s="13">
        <f t="array" ref="BX103">INDEX(BW:BW,MIN(IF(ISNUMBER(BW103:BW299),ROW(BW103:BW299),"")))</f>
        <v>18.5</v>
      </c>
      <c r="BY103" s="13">
        <f>IF('Données projet'!$A$114&gt;35,BY102+BX103-CG102,IF(A103&lt;'Données projet'!$A$114,$BV$205^A103,IF(A103='Données projet'!$A$114,'Données projet'!$B$114,BY102+BX103-CG102)))</f>
        <v>722.99999999999989</v>
      </c>
      <c r="BZ103" s="14">
        <f>BY103*VLOOKUP('Données projet'!$B$12,Paramètres!$A$1:$I$89,3,0)*VLOOKUP('Données projet'!$B$12,Paramètres!$A$1:$I$89,5,0)</f>
        <v>338.36399999999998</v>
      </c>
      <c r="CA103" s="14">
        <f t="shared" si="93"/>
        <v>79.161843636443024</v>
      </c>
      <c r="CB103" s="22">
        <f t="shared" si="64"/>
        <v>727.19084433347155</v>
      </c>
      <c r="CC103" s="62">
        <f t="shared" si="65"/>
        <v>1004.5948995171807</v>
      </c>
      <c r="CD103" s="62">
        <f ca="1">AVERAGE(OFFSET($CC$3,0,0,'Données projet'!$E$12+1,1))-AVERAGE(OFFSET($H$3,0,0,'Données projet'!$E$12+1,1))</f>
        <v>426.87921482911719</v>
      </c>
      <c r="CE103" s="62">
        <f t="shared" si="94"/>
        <v>313.49594674441835</v>
      </c>
      <c r="CF103" s="16">
        <f>IF(ISNA(VLOOKUP(A103,'Données projet'!$A$113:$I$133,3,0)),0,VLOOKUP(A103,'Données projet'!$A$113:$I$133,3,0))</f>
        <v>9</v>
      </c>
      <c r="CG103" s="16">
        <f>IF(ISNA(VLOOKUP(A103,'Données projet'!$A$113:$I$133,4,0)),0,VLOOKUP(A103,'Données projet'!$A$113:$I$133,4,0))</f>
        <v>723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-1.1368683772161603E-13</v>
      </c>
      <c r="CU103" s="18">
        <f>CT103*VLOOKUP('Données projet'!$B$13,Paramètres!$A$1:$I$89,3,0)*VLOOKUP('Données projet'!$B$13,Paramètres!$A$1:$I$89,5,0)</f>
        <v>-6.7984728957526396E-14</v>
      </c>
      <c r="CV103" s="14" t="e">
        <f t="shared" si="95"/>
        <v>#NUM!</v>
      </c>
      <c r="CW103" s="22" t="e">
        <f t="shared" si="67"/>
        <v>#NUM!</v>
      </c>
      <c r="CX103" s="62" t="e">
        <f t="shared" si="68"/>
        <v>#NUM!</v>
      </c>
      <c r="CY103" s="62">
        <f ca="1">AVERAGE(OFFSET($CX$3,0,0,'Données projet'!$E$13+1,1))-AVERAGE(OFFSET($H$3,0,0,'Données projet'!$E$13+1,1))</f>
        <v>367.11994336501527</v>
      </c>
      <c r="CZ103" s="62">
        <f t="shared" si="96"/>
        <v>390.81417197867484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8.6625892880284994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1.3399106847906306E-10</v>
      </c>
      <c r="DI103" s="24">
        <f t="shared" si="69"/>
        <v>8.66258928816249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1.9895196601282805E-13</v>
      </c>
      <c r="O104" s="14">
        <f>N104*VLOOKUP('Données projet'!$B$9,Paramètres!$A$1:$I$89,3,0)*VLOOKUP('Données projet'!$B$9,Paramètres!$A$1:$I$89,5,0)</f>
        <v>1.8001173884840681E-13</v>
      </c>
      <c r="P104" s="14">
        <f t="shared" si="87"/>
        <v>2.5254331426407198E-12</v>
      </c>
      <c r="Q104" s="22">
        <f t="shared" si="107"/>
        <v>4.7119831685935622E-12</v>
      </c>
      <c r="R104" s="62">
        <f t="shared" si="55"/>
        <v>277.68039254707912</v>
      </c>
      <c r="S104" s="62">
        <f ca="1">AVERAGE(OFFSET($R$3,0,0,'Données projet'!$E$9+1,1))-AVERAGE(OFFSET($H$3,0,0,'Données projet'!$E$9+1,1))</f>
        <v>312.43110610485337</v>
      </c>
      <c r="T104" s="62">
        <f t="shared" si="88"/>
        <v>442.54749157177571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0.13238312044999026</v>
      </c>
      <c r="AA104" s="23">
        <f>EXP(-LN(2)/25)*AA103+(1-EXP(-LN(2)/25))/(LN(2)/25)*Calculateur!V104*Calculateur!X104*VLOOKUP('Données projet'!$B$9,Paramètres!$A$1:$I$89,3,0)*0.475*44/12</f>
        <v>0.13149007254703818</v>
      </c>
      <c r="AB104" s="23">
        <f>EXP(-LN(2)/2)*AB103+(1-EXP(-LN(2)/2))/(LN(2)/2)*V104*Y104*VLOOKUP('Données projet'!$B$9,Paramètres!$A$1:$I$89,3,0)*0.475*44/12</f>
        <v>7.9059589089992053E-11</v>
      </c>
      <c r="AC104" s="24">
        <f t="shared" si="57"/>
        <v>0.26387319307608803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5.4</v>
      </c>
      <c r="AI104" s="14">
        <f>IF('Données projet'!$A$62&gt;35,AI103+AH104-AQ103,IF(A104&lt;'Données projet'!$A$62,$AF$205^A104,IF(A104='Données projet'!$A$62,'Données projet'!$B$62,AI103+AH104-AQ103)))</f>
        <v>311.39999999999998</v>
      </c>
      <c r="AJ104" s="14">
        <f>AI104*VLOOKUP('Données projet'!$B$10,Paramètres!$A$1:$I$89,3,0)*VLOOKUP('Données projet'!$B$10,Paramètres!$A$1:$I$89,5,0)</f>
        <v>262.32336000000004</v>
      </c>
      <c r="AK104" s="14">
        <f t="shared" si="89"/>
        <v>63.217367706132244</v>
      </c>
      <c r="AL104" s="22">
        <f t="shared" si="58"/>
        <v>566.98343408818027</v>
      </c>
      <c r="AM104" s="62">
        <f t="shared" si="59"/>
        <v>844.66382663525474</v>
      </c>
      <c r="AN104" s="62">
        <f ca="1">AVERAGE(OFFSET($AM$3,0,0,'Données projet'!$E$10+1,1))-AVERAGE(OFFSET($H$3,0,0,'Données projet'!$E$10+1,1))</f>
        <v>445.02659128831181</v>
      </c>
      <c r="AO104" s="62">
        <f t="shared" si="90"/>
        <v>281.06176764290592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1.1440356691214599</v>
      </c>
      <c r="AV104" s="23">
        <f>EXP(-LN(2)/25)*AV103+(1-EXP(-LN(2)/25))/(LN(2)/25)*Calculateur!AQ104*Calculateur!AS104*VLOOKUP('Données projet'!$B$10,Paramètres!$A$1:$I$89,3,0)*0.475*44/12</f>
        <v>0.15597443088338342</v>
      </c>
      <c r="AW104" s="23">
        <f>EXP(-LN(2)/2)*AW103+(1-EXP(-LN(2)/2))/(LN(2)/2)*AQ104*AT104*VLOOKUP('Données projet'!$B$10,Paramètres!$A$1:$I$89,3,0)*0.475*44/12</f>
        <v>3.8782487281699231E-10</v>
      </c>
      <c r="AX104" s="23">
        <f t="shared" si="60"/>
        <v>1.3000101003926683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5.4</v>
      </c>
      <c r="BD104" s="13">
        <f>IF('Données projet'!$A$88&gt;35,BD103+BC104-BL103,IF(A104&lt;'Données projet'!$A$88,$BA$205^A104,IF(A104='Données projet'!$A$88,'Données projet'!$B$88,BD103+BC104-BL103)))</f>
        <v>311.39999999999998</v>
      </c>
      <c r="BE104" s="14">
        <f>BD104*VLOOKUP('Données projet'!$B$11,Paramètres!$A$1:$I$89,3,0)*VLOOKUP('Données projet'!$B$11,Paramètres!$A$1:$I$89,5,0)</f>
        <v>281.75471999999996</v>
      </c>
      <c r="BF104" s="14">
        <f t="shared" si="91"/>
        <v>67.337696723120317</v>
      </c>
      <c r="BG104" s="22">
        <f t="shared" si="61"/>
        <v>608.00262579276773</v>
      </c>
      <c r="BH104" s="62">
        <f t="shared" si="62"/>
        <v>885.68301833984219</v>
      </c>
      <c r="BI104" s="62">
        <f ca="1">AVERAGE(OFFSET($BH$3,0,0,'Données projet'!$E$11+1,1))-AVERAGE(OFFSET($H$3,0,0,'Données projet'!$E$11+1,1))</f>
        <v>472.46893084347687</v>
      </c>
      <c r="BJ104" s="62">
        <f t="shared" si="92"/>
        <v>297.32483725004136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1.2287790520193462</v>
      </c>
      <c r="BQ104" s="23">
        <f>EXP(-LN(2)/25)*BQ103+(1-EXP(-LN(2)/25))/(LN(2)/25)*Calculateur!BL104*Calculateur!BN104*VLOOKUP('Données projet'!$B$11,Paramètres!$A$1:$I$89,3,0)*0.475*44/12</f>
        <v>0.16752809243030065</v>
      </c>
      <c r="BR104" s="23">
        <f>EXP(-LN(2)/2)*BR103+(1-EXP(-LN(2)/2))/(LN(2)/2)*BL104*BO104*VLOOKUP('Données projet'!$B$11,Paramètres!$A$1:$I$89,3,0)*0.475*44/12</f>
        <v>4.1655264117380641E-10</v>
      </c>
      <c r="BS104" s="24">
        <f t="shared" si="63"/>
        <v>1.3963071448661994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-1.1368683772161603E-13</v>
      </c>
      <c r="BZ104" s="14">
        <f>BY104*VLOOKUP('Données projet'!$B$12,Paramètres!$A$1:$I$89,3,0)*VLOOKUP('Données projet'!$B$12,Paramètres!$A$1:$I$89,5,0)</f>
        <v>-5.3205440053716299E-14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426.87921482911719</v>
      </c>
      <c r="CE104" s="62">
        <f t="shared" si="94"/>
        <v>313.49594674441835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-1.1368683772161603E-13</v>
      </c>
      <c r="CU104" s="18">
        <f>CT104*VLOOKUP('Données projet'!$B$13,Paramètres!$A$1:$I$89,3,0)*VLOOKUP('Données projet'!$B$13,Paramètres!$A$1:$I$89,5,0)</f>
        <v>-6.7984728957526396E-14</v>
      </c>
      <c r="CV104" s="14" t="e">
        <f t="shared" si="95"/>
        <v>#NUM!</v>
      </c>
      <c r="CW104" s="22" t="e">
        <f t="shared" si="67"/>
        <v>#NUM!</v>
      </c>
      <c r="CX104" s="62" t="e">
        <f t="shared" si="68"/>
        <v>#NUM!</v>
      </c>
      <c r="CY104" s="62">
        <f ca="1">AVERAGE(OFFSET($CX$3,0,0,'Données projet'!$E$13+1,1))-AVERAGE(OFFSET($H$3,0,0,'Données projet'!$E$13+1,1))</f>
        <v>367.11994336501527</v>
      </c>
      <c r="CZ104" s="62">
        <f t="shared" si="96"/>
        <v>390.81417197867484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8.4927211957480075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9.4745993139976553E-11</v>
      </c>
      <c r="DI104" s="24">
        <f t="shared" si="69"/>
        <v>8.4927211958427531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1.9895196601282805E-13</v>
      </c>
      <c r="O105" s="14">
        <f>N105*VLOOKUP('Données projet'!$B$9,Paramètres!$A$1:$I$89,3,0)*VLOOKUP('Données projet'!$B$9,Paramètres!$A$1:$I$89,5,0)</f>
        <v>1.8001173884840681E-13</v>
      </c>
      <c r="P105" s="14">
        <f t="shared" si="87"/>
        <v>2.5254331426407198E-12</v>
      </c>
      <c r="Q105" s="22">
        <f t="shared" si="107"/>
        <v>4.7119831685935622E-12</v>
      </c>
      <c r="R105" s="62">
        <f t="shared" si="55"/>
        <v>277.95193607498766</v>
      </c>
      <c r="S105" s="62">
        <f ca="1">AVERAGE(OFFSET($R$3,0,0,'Données projet'!$E$9+1,1))-AVERAGE(OFFSET($H$3,0,0,'Données projet'!$E$9+1,1))</f>
        <v>312.43110610485337</v>
      </c>
      <c r="T105" s="62">
        <f t="shared" si="88"/>
        <v>442.54749157177571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0.12978716820369646</v>
      </c>
      <c r="AA105" s="23">
        <f>EXP(-LN(2)/25)*AA104+(1-EXP(-LN(2)/25))/(LN(2)/25)*Calculateur!V105*Calculateur!X105*VLOOKUP('Données projet'!$B$9,Paramètres!$A$1:$I$89,3,0)*0.475*44/12</f>
        <v>0.12789446959847703</v>
      </c>
      <c r="AB105" s="23">
        <f>EXP(-LN(2)/2)*AB104+(1-EXP(-LN(2)/2))/(LN(2)/2)*V105*Y105*VLOOKUP('Données projet'!$B$9,Paramètres!$A$1:$I$89,3,0)*0.475*44/12</f>
        <v>5.5903571563355371E-11</v>
      </c>
      <c r="AC105" s="24">
        <f t="shared" si="57"/>
        <v>0.25768163785807702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5.4</v>
      </c>
      <c r="AI105" s="14">
        <f>IF('Données projet'!$A$62&gt;35,AI104+AH105-AQ104,IF(A105&lt;'Données projet'!$A$62,$AF$205^A105,IF(A105='Données projet'!$A$62,'Données projet'!$B$62,AI104+AH105-AQ104)))</f>
        <v>316.79999999999995</v>
      </c>
      <c r="AJ105" s="14">
        <f>AI105*VLOOKUP('Données projet'!$B$10,Paramètres!$A$1:$I$89,3,0)*VLOOKUP('Données projet'!$B$10,Paramètres!$A$1:$I$89,5,0)</f>
        <v>266.87231999999995</v>
      </c>
      <c r="AK105" s="14">
        <f t="shared" si="89"/>
        <v>64.185047205393062</v>
      </c>
      <c r="AL105" s="22">
        <f t="shared" si="58"/>
        <v>576.59158121605947</v>
      </c>
      <c r="AM105" s="62">
        <f t="shared" si="59"/>
        <v>854.54351729104246</v>
      </c>
      <c r="AN105" s="62">
        <f ca="1">AVERAGE(OFFSET($AM$3,0,0,'Données projet'!$E$10+1,1))-AVERAGE(OFFSET($H$3,0,0,'Données projet'!$E$10+1,1))</f>
        <v>445.02659128831181</v>
      </c>
      <c r="AO105" s="62">
        <f t="shared" si="90"/>
        <v>281.06176764290592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1.121601827442845</v>
      </c>
      <c r="AV105" s="23">
        <f>EXP(-LN(2)/25)*AV104+(1-EXP(-LN(2)/25))/(LN(2)/25)*Calculateur!AQ105*Calculateur!AS105*VLOOKUP('Données projet'!$B$10,Paramètres!$A$1:$I$89,3,0)*0.475*44/12</f>
        <v>0.15170930186853845</v>
      </c>
      <c r="AW105" s="23">
        <f>EXP(-LN(2)/2)*AW104+(1-EXP(-LN(2)/2))/(LN(2)/2)*AQ105*AT105*VLOOKUP('Données projet'!$B$10,Paramètres!$A$1:$I$89,3,0)*0.475*44/12</f>
        <v>2.742335974817056E-10</v>
      </c>
      <c r="AX105" s="23">
        <f t="shared" si="60"/>
        <v>1.273311129585617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5.4</v>
      </c>
      <c r="BD105" s="13">
        <f>IF('Données projet'!$A$88&gt;35,BD104+BC105-BL104,IF(A105&lt;'Données projet'!$A$88,$BA$205^A105,IF(A105='Données projet'!$A$88,'Données projet'!$B$88,BD104+BC105-BL104)))</f>
        <v>316.79999999999995</v>
      </c>
      <c r="BE105" s="14">
        <f>BD105*VLOOKUP('Données projet'!$B$11,Paramètres!$A$1:$I$89,3,0)*VLOOKUP('Données projet'!$B$11,Paramètres!$A$1:$I$89,5,0)</f>
        <v>286.64063999999996</v>
      </c>
      <c r="BF105" s="14">
        <f t="shared" si="91"/>
        <v>68.368446832003599</v>
      </c>
      <c r="BG105" s="22">
        <f t="shared" si="61"/>
        <v>618.30749289907283</v>
      </c>
      <c r="BH105" s="62">
        <f t="shared" si="62"/>
        <v>896.25942897405571</v>
      </c>
      <c r="BI105" s="62">
        <f ca="1">AVERAGE(OFFSET($BH$3,0,0,'Données projet'!$E$11+1,1))-AVERAGE(OFFSET($H$3,0,0,'Données projet'!$E$11+1,1))</f>
        <v>472.46893084347687</v>
      </c>
      <c r="BJ105" s="62">
        <f t="shared" si="92"/>
        <v>297.32483725004136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1.2046834442904635</v>
      </c>
      <c r="BQ105" s="23">
        <f>EXP(-LN(2)/25)*BQ104+(1-EXP(-LN(2)/25))/(LN(2)/25)*Calculateur!BL105*Calculateur!BN105*VLOOKUP('Données projet'!$B$11,Paramètres!$A$1:$I$89,3,0)*0.475*44/12</f>
        <v>0.16294702793287458</v>
      </c>
      <c r="BR105" s="23">
        <f>EXP(-LN(2)/2)*BR104+(1-EXP(-LN(2)/2))/(LN(2)/2)*BL105*BO105*VLOOKUP('Données projet'!$B$11,Paramètres!$A$1:$I$89,3,0)*0.475*44/12</f>
        <v>2.9454719729516517E-10</v>
      </c>
      <c r="BS105" s="24">
        <f t="shared" si="63"/>
        <v>1.3676304725178854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-1.1368683772161603E-13</v>
      </c>
      <c r="BZ105" s="14">
        <f>BY105*VLOOKUP('Données projet'!$B$12,Paramètres!$A$1:$I$89,3,0)*VLOOKUP('Données projet'!$B$12,Paramètres!$A$1:$I$89,5,0)</f>
        <v>-5.3205440053716299E-14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426.87921482911719</v>
      </c>
      <c r="CE105" s="62">
        <f t="shared" si="94"/>
        <v>313.49594674441835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-1.1368683772161603E-13</v>
      </c>
      <c r="CU105" s="18">
        <f>CT105*VLOOKUP('Données projet'!$B$13,Paramètres!$A$1:$I$89,3,0)*VLOOKUP('Données projet'!$B$13,Paramètres!$A$1:$I$89,5,0)</f>
        <v>-6.7984728957526396E-14</v>
      </c>
      <c r="CV105" s="14" t="e">
        <f t="shared" si="95"/>
        <v>#NUM!</v>
      </c>
      <c r="CW105" s="22" t="e">
        <f t="shared" si="67"/>
        <v>#NUM!</v>
      </c>
      <c r="CX105" s="62" t="e">
        <f t="shared" si="68"/>
        <v>#NUM!</v>
      </c>
      <c r="CY105" s="62">
        <f ca="1">AVERAGE(OFFSET($CX$3,0,0,'Données projet'!$E$13+1,1))-AVERAGE(OFFSET($H$3,0,0,'Données projet'!$E$13+1,1))</f>
        <v>367.11994336501527</v>
      </c>
      <c r="CZ105" s="62">
        <f t="shared" si="96"/>
        <v>390.81417197867484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8.326184113147832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6.6995534239531532E-11</v>
      </c>
      <c r="DI105" s="24">
        <f t="shared" si="69"/>
        <v>8.3261841132148273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1.9895196601282805E-13</v>
      </c>
      <c r="O106" s="14">
        <f>N106*VLOOKUP('Données projet'!$B$9,Paramètres!$A$1:$I$89,3,0)*VLOOKUP('Données projet'!$B$9,Paramètres!$A$1:$I$89,5,0)</f>
        <v>1.8001173884840681E-13</v>
      </c>
      <c r="P106" s="14">
        <f t="shared" si="87"/>
        <v>2.5254331426407198E-12</v>
      </c>
      <c r="Q106" s="22">
        <f t="shared" si="107"/>
        <v>4.7119831685935622E-12</v>
      </c>
      <c r="R106" s="62">
        <f t="shared" si="55"/>
        <v>278.21876892976741</v>
      </c>
      <c r="S106" s="62">
        <f ca="1">AVERAGE(OFFSET($R$3,0,0,'Données projet'!$E$9+1,1))-AVERAGE(OFFSET($H$3,0,0,'Données projet'!$E$9+1,1))</f>
        <v>312.43110610485337</v>
      </c>
      <c r="T106" s="62">
        <f t="shared" si="88"/>
        <v>442.54749157177571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0.12724212099757795</v>
      </c>
      <c r="AA106" s="23">
        <f>EXP(-LN(2)/25)*AA105+(1-EXP(-LN(2)/25))/(LN(2)/25)*Calculateur!V106*Calculateur!X106*VLOOKUP('Données projet'!$B$9,Paramètres!$A$1:$I$89,3,0)*0.475*44/12</f>
        <v>0.12439718860162882</v>
      </c>
      <c r="AB106" s="23">
        <f>EXP(-LN(2)/2)*AB105+(1-EXP(-LN(2)/2))/(LN(2)/2)*V106*Y106*VLOOKUP('Données projet'!$B$9,Paramètres!$A$1:$I$89,3,0)*0.475*44/12</f>
        <v>3.9529794544996027E-11</v>
      </c>
      <c r="AC106" s="24">
        <f t="shared" si="57"/>
        <v>0.25163930963873654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5.4</v>
      </c>
      <c r="AI106" s="14">
        <f>IF('Données projet'!$A$62&gt;35,AI105+AH106-AQ105,IF(A106&lt;'Données projet'!$A$62,$AF$205^A106,IF(A106='Données projet'!$A$62,'Données projet'!$B$62,AI105+AH106-AQ105)))</f>
        <v>322.19999999999993</v>
      </c>
      <c r="AJ106" s="14">
        <f>AI106*VLOOKUP('Données projet'!$B$10,Paramètres!$A$1:$I$89,3,0)*VLOOKUP('Données projet'!$B$10,Paramètres!$A$1:$I$89,5,0)</f>
        <v>271.42127999999997</v>
      </c>
      <c r="AK106" s="14">
        <f t="shared" si="89"/>
        <v>65.15080854578764</v>
      </c>
      <c r="AL106" s="22">
        <f t="shared" si="58"/>
        <v>586.19638755057997</v>
      </c>
      <c r="AM106" s="62">
        <f t="shared" si="59"/>
        <v>864.4151564803426</v>
      </c>
      <c r="AN106" s="62">
        <f ca="1">AVERAGE(OFFSET($AM$3,0,0,'Données projet'!$E$10+1,1))-AVERAGE(OFFSET($H$3,0,0,'Données projet'!$E$10+1,1))</f>
        <v>445.02659128831181</v>
      </c>
      <c r="AO106" s="62">
        <f t="shared" si="90"/>
        <v>281.06176764290592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1.0996078997162553</v>
      </c>
      <c r="AV106" s="23">
        <f>EXP(-LN(2)/25)*AV105+(1-EXP(-LN(2)/25))/(LN(2)/25)*Calculateur!AQ106*Calculateur!AS106*VLOOKUP('Données projet'!$B$10,Paramètres!$A$1:$I$89,3,0)*0.475*44/12</f>
        <v>0.14756080303089783</v>
      </c>
      <c r="AW106" s="23">
        <f>EXP(-LN(2)/2)*AW105+(1-EXP(-LN(2)/2))/(LN(2)/2)*AQ106*AT106*VLOOKUP('Données projet'!$B$10,Paramètres!$A$1:$I$89,3,0)*0.475*44/12</f>
        <v>1.9391243640849616E-10</v>
      </c>
      <c r="AX106" s="23">
        <f t="shared" si="60"/>
        <v>1.2471687029410656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5.4</v>
      </c>
      <c r="BD106" s="13">
        <f>IF('Données projet'!$A$88&gt;35,BD105+BC106-BL105,IF(A106&lt;'Données projet'!$A$88,$BA$205^A106,IF(A106='Données projet'!$A$88,'Données projet'!$B$88,BD105+BC106-BL105)))</f>
        <v>322.19999999999993</v>
      </c>
      <c r="BE106" s="14">
        <f>BD106*VLOOKUP('Données projet'!$B$11,Paramètres!$A$1:$I$89,3,0)*VLOOKUP('Données projet'!$B$11,Paramètres!$A$1:$I$89,5,0)</f>
        <v>291.5265599999999</v>
      </c>
      <c r="BF106" s="14">
        <f t="shared" si="91"/>
        <v>69.397153761857183</v>
      </c>
      <c r="BG106" s="22">
        <f t="shared" si="61"/>
        <v>628.60880146856778</v>
      </c>
      <c r="BH106" s="62">
        <f t="shared" si="62"/>
        <v>906.82757039833041</v>
      </c>
      <c r="BI106" s="62">
        <f ca="1">AVERAGE(OFFSET($BH$3,0,0,'Données projet'!$E$11+1,1))-AVERAGE(OFFSET($H$3,0,0,'Données projet'!$E$11+1,1))</f>
        <v>472.46893084347687</v>
      </c>
      <c r="BJ106" s="62">
        <f t="shared" si="92"/>
        <v>297.32483725004136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1.1810603367322745</v>
      </c>
      <c r="BQ106" s="23">
        <f>EXP(-LN(2)/25)*BQ105+(1-EXP(-LN(2)/25))/(LN(2)/25)*Calculateur!BL106*Calculateur!BN106*VLOOKUP('Données projet'!$B$11,Paramètres!$A$1:$I$89,3,0)*0.475*44/12</f>
        <v>0.15849123288503833</v>
      </c>
      <c r="BR106" s="23">
        <f>EXP(-LN(2)/2)*BR105+(1-EXP(-LN(2)/2))/(LN(2)/2)*BL106*BO106*VLOOKUP('Données projet'!$B$11,Paramètres!$A$1:$I$89,3,0)*0.475*44/12</f>
        <v>2.082763205869032E-10</v>
      </c>
      <c r="BS106" s="24">
        <f t="shared" si="63"/>
        <v>1.3395515698255891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-1.1368683772161603E-13</v>
      </c>
      <c r="BZ106" s="14">
        <f>BY106*VLOOKUP('Données projet'!$B$12,Paramètres!$A$1:$I$89,3,0)*VLOOKUP('Données projet'!$B$12,Paramètres!$A$1:$I$89,5,0)</f>
        <v>-5.3205440053716299E-14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426.87921482911719</v>
      </c>
      <c r="CE106" s="62">
        <f t="shared" si="94"/>
        <v>313.49594674441835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-1.1368683772161603E-13</v>
      </c>
      <c r="CU106" s="18">
        <f>CT106*VLOOKUP('Données projet'!$B$13,Paramètres!$A$1:$I$89,3,0)*VLOOKUP('Données projet'!$B$13,Paramètres!$A$1:$I$89,5,0)</f>
        <v>-6.7984728957526396E-14</v>
      </c>
      <c r="CV106" s="14" t="e">
        <f t="shared" si="95"/>
        <v>#NUM!</v>
      </c>
      <c r="CW106" s="22" t="e">
        <f t="shared" si="67"/>
        <v>#NUM!</v>
      </c>
      <c r="CX106" s="62" t="e">
        <f t="shared" si="68"/>
        <v>#NUM!</v>
      </c>
      <c r="CY106" s="62">
        <f ca="1">AVERAGE(OFFSET($CX$3,0,0,'Données projet'!$E$13+1,1))-AVERAGE(OFFSET($H$3,0,0,'Données projet'!$E$13+1,1))</f>
        <v>367.11994336501527</v>
      </c>
      <c r="CZ106" s="62">
        <f t="shared" si="96"/>
        <v>390.81417197867484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8.162912721159854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4.7372996569988276E-11</v>
      </c>
      <c r="DI106" s="24">
        <f t="shared" si="69"/>
        <v>8.1629127212072277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1.9895196601282805E-13</v>
      </c>
      <c r="O107" s="14">
        <f>N107*VLOOKUP('Données projet'!$B$9,Paramètres!$A$1:$I$89,3,0)*VLOOKUP('Données projet'!$B$9,Paramètres!$A$1:$I$89,5,0)</f>
        <v>1.8001173884840681E-13</v>
      </c>
      <c r="P107" s="14">
        <f t="shared" si="87"/>
        <v>2.5254331426407198E-12</v>
      </c>
      <c r="Q107" s="22">
        <f t="shared" si="107"/>
        <v>4.7119831685935622E-12</v>
      </c>
      <c r="R107" s="62">
        <f t="shared" si="55"/>
        <v>278.48097283106563</v>
      </c>
      <c r="S107" s="62">
        <f ca="1">AVERAGE(OFFSET($R$3,0,0,'Données projet'!$E$9+1,1))-AVERAGE(OFFSET($H$3,0,0,'Données projet'!$E$9+1,1))</f>
        <v>312.43110610485337</v>
      </c>
      <c r="T107" s="62">
        <f t="shared" si="88"/>
        <v>442.54749157177571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0.1247469806148459</v>
      </c>
      <c r="AA107" s="23">
        <f>EXP(-LN(2)/25)*AA106+(1-EXP(-LN(2)/25))/(LN(2)/25)*Calculateur!V107*Calculateur!X107*VLOOKUP('Données projet'!$B$9,Paramètres!$A$1:$I$89,3,0)*0.475*44/12</f>
        <v>0.12099554093755345</v>
      </c>
      <c r="AB107" s="23">
        <f>EXP(-LN(2)/2)*AB106+(1-EXP(-LN(2)/2))/(LN(2)/2)*V107*Y107*VLOOKUP('Données projet'!$B$9,Paramètres!$A$1:$I$89,3,0)*0.475*44/12</f>
        <v>2.7951785781677686E-11</v>
      </c>
      <c r="AC107" s="24">
        <f t="shared" si="57"/>
        <v>0.24574252158035112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5.4</v>
      </c>
      <c r="AI107" s="14">
        <f>IF('Données projet'!$A$62&gt;35,AI106+AH107-AQ106,IF(A107&lt;'Données projet'!$A$62,$AF$205^A107,IF(A107='Données projet'!$A$62,'Données projet'!$B$62,AI106+AH107-AQ106)))</f>
        <v>327.59999999999991</v>
      </c>
      <c r="AJ107" s="14">
        <f>AI107*VLOOKUP('Données projet'!$B$10,Paramètres!$A$1:$I$89,3,0)*VLOOKUP('Données projet'!$B$10,Paramètres!$A$1:$I$89,5,0)</f>
        <v>275.97023999999993</v>
      </c>
      <c r="AK107" s="14">
        <f t="shared" si="89"/>
        <v>66.114687585645072</v>
      </c>
      <c r="AL107" s="22">
        <f t="shared" si="58"/>
        <v>595.79791554499843</v>
      </c>
      <c r="AM107" s="62">
        <f t="shared" si="59"/>
        <v>874.27888837605929</v>
      </c>
      <c r="AN107" s="62">
        <f ca="1">AVERAGE(OFFSET($AM$3,0,0,'Données projet'!$E$10+1,1))-AVERAGE(OFFSET($H$3,0,0,'Données projet'!$E$10+1,1))</f>
        <v>445.02659128831181</v>
      </c>
      <c r="AO107" s="62">
        <f t="shared" si="90"/>
        <v>281.06176764290592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1.0780452594974128</v>
      </c>
      <c r="AV107" s="23">
        <f>EXP(-LN(2)/25)*AV106+(1-EXP(-LN(2)/25))/(LN(2)/25)*Calculateur!AQ107*Calculateur!AS107*VLOOKUP('Données projet'!$B$10,Paramètres!$A$1:$I$89,3,0)*0.475*44/12</f>
        <v>0.14352574511213256</v>
      </c>
      <c r="AW107" s="23">
        <f>EXP(-LN(2)/2)*AW106+(1-EXP(-LN(2)/2))/(LN(2)/2)*AQ107*AT107*VLOOKUP('Données projet'!$B$10,Paramètres!$A$1:$I$89,3,0)*0.475*44/12</f>
        <v>1.371167987408528E-10</v>
      </c>
      <c r="AX107" s="23">
        <f t="shared" si="60"/>
        <v>1.2215710047466621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5.4</v>
      </c>
      <c r="BD107" s="13">
        <f>IF('Données projet'!$A$88&gt;35,BD106+BC107-BL106,IF(A107&lt;'Données projet'!$A$88,$BA$205^A107,IF(A107='Données projet'!$A$88,'Données projet'!$B$88,BD106+BC107-BL106)))</f>
        <v>327.59999999999991</v>
      </c>
      <c r="BE107" s="14">
        <f>BD107*VLOOKUP('Données projet'!$B$11,Paramètres!$A$1:$I$89,3,0)*VLOOKUP('Données projet'!$B$11,Paramètres!$A$1:$I$89,5,0)</f>
        <v>296.4124799999999</v>
      </c>
      <c r="BF107" s="14">
        <f t="shared" si="91"/>
        <v>70.423855708154704</v>
      </c>
      <c r="BG107" s="22">
        <f t="shared" si="61"/>
        <v>638.90661802503598</v>
      </c>
      <c r="BH107" s="62">
        <f t="shared" si="62"/>
        <v>917.38759085609695</v>
      </c>
      <c r="BI107" s="62">
        <f ca="1">AVERAGE(OFFSET($BH$3,0,0,'Données projet'!$E$11+1,1))-AVERAGE(OFFSET($H$3,0,0,'Données projet'!$E$11+1,1))</f>
        <v>472.46893084347687</v>
      </c>
      <c r="BJ107" s="62">
        <f t="shared" si="92"/>
        <v>297.32483725004136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1.1579004639046289</v>
      </c>
      <c r="BQ107" s="23">
        <f>EXP(-LN(2)/25)*BQ106+(1-EXP(-LN(2)/25))/(LN(2)/25)*Calculateur!BL107*Calculateur!BN107*VLOOKUP('Données projet'!$B$11,Paramètres!$A$1:$I$89,3,0)*0.475*44/12</f>
        <v>0.15415728178710525</v>
      </c>
      <c r="BR107" s="23">
        <f>EXP(-LN(2)/2)*BR106+(1-EXP(-LN(2)/2))/(LN(2)/2)*BL107*BO107*VLOOKUP('Données projet'!$B$11,Paramètres!$A$1:$I$89,3,0)*0.475*44/12</f>
        <v>1.4727359864758258E-10</v>
      </c>
      <c r="BS107" s="24">
        <f t="shared" si="63"/>
        <v>1.3120577458390077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-1.1368683772161603E-13</v>
      </c>
      <c r="BZ107" s="14">
        <f>BY107*VLOOKUP('Données projet'!$B$12,Paramètres!$A$1:$I$89,3,0)*VLOOKUP('Données projet'!$B$12,Paramètres!$A$1:$I$89,5,0)</f>
        <v>-5.3205440053716299E-14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426.87921482911719</v>
      </c>
      <c r="CE107" s="62">
        <f t="shared" si="94"/>
        <v>313.49594674441835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-1.1368683772161603E-13</v>
      </c>
      <c r="CU107" s="18">
        <f>CT107*VLOOKUP('Données projet'!$B$13,Paramètres!$A$1:$I$89,3,0)*VLOOKUP('Données projet'!$B$13,Paramètres!$A$1:$I$89,5,0)</f>
        <v>-6.7984728957526396E-14</v>
      </c>
      <c r="CV107" s="14" t="e">
        <f t="shared" si="95"/>
        <v>#NUM!</v>
      </c>
      <c r="CW107" s="22" t="e">
        <f t="shared" si="67"/>
        <v>#NUM!</v>
      </c>
      <c r="CX107" s="62" t="e">
        <f t="shared" si="68"/>
        <v>#NUM!</v>
      </c>
      <c r="CY107" s="62">
        <f ca="1">AVERAGE(OFFSET($CX$3,0,0,'Données projet'!$E$13+1,1))-AVERAGE(OFFSET($H$3,0,0,'Données projet'!$E$13+1,1))</f>
        <v>367.11994336501527</v>
      </c>
      <c r="CZ107" s="62">
        <f t="shared" si="96"/>
        <v>390.81417197867484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8.0028429815830453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3.3497767119765766E-11</v>
      </c>
      <c r="DI107" s="24">
        <f t="shared" si="69"/>
        <v>8.0028429816165438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1.9895196601282805E-13</v>
      </c>
      <c r="O108" s="14">
        <f>N108*VLOOKUP('Données projet'!$B$9,Paramètres!$A$1:$I$89,3,0)*VLOOKUP('Données projet'!$B$9,Paramètres!$A$1:$I$89,5,0)</f>
        <v>1.8001173884840681E-13</v>
      </c>
      <c r="P108" s="14">
        <f t="shared" si="87"/>
        <v>2.5254331426407198E-12</v>
      </c>
      <c r="Q108" s="22">
        <f t="shared" si="107"/>
        <v>4.7119831685935622E-12</v>
      </c>
      <c r="R108" s="62">
        <f t="shared" si="55"/>
        <v>278.73862808087648</v>
      </c>
      <c r="S108" s="62">
        <f ca="1">AVERAGE(OFFSET($R$3,0,0,'Données projet'!$E$9+1,1))-AVERAGE(OFFSET($H$3,0,0,'Données projet'!$E$9+1,1))</f>
        <v>312.43110610485337</v>
      </c>
      <c r="T108" s="62">
        <f t="shared" si="88"/>
        <v>442.54749157177571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0.12230076841313386</v>
      </c>
      <c r="AA108" s="23">
        <f>EXP(-LN(2)/25)*AA107+(1-EXP(-LN(2)/25))/(LN(2)/25)*Calculateur!V108*Calculateur!X108*VLOOKUP('Données projet'!$B$9,Paramètres!$A$1:$I$89,3,0)*0.475*44/12</f>
        <v>0.11768691150773709</v>
      </c>
      <c r="AB108" s="23">
        <f>EXP(-LN(2)/2)*AB107+(1-EXP(-LN(2)/2))/(LN(2)/2)*V108*Y108*VLOOKUP('Données projet'!$B$9,Paramètres!$A$1:$I$89,3,0)*0.475*44/12</f>
        <v>1.9764897272498013E-11</v>
      </c>
      <c r="AC108" s="24">
        <f t="shared" si="57"/>
        <v>0.23998767994063583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333</v>
      </c>
      <c r="AG108" s="13">
        <f>VLOOKUP(A108,'Données projet'!$A$61:$I$81,9,0)</f>
        <v>5.4</v>
      </c>
      <c r="AH108" s="13">
        <f t="array" ref="AH108">INDEX(AG:AG,MIN(IF(ISNUMBER(AG108:AG304),ROW(AG108:AG304),"")))</f>
        <v>5.4</v>
      </c>
      <c r="AI108" s="14">
        <f>IF('Données projet'!$A$62&gt;35,AI107+AH108-AQ107,IF(A108&lt;'Données projet'!$A$62,$AF$205^A108,IF(A108='Données projet'!$A$62,'Données projet'!$B$62,AI107+AH108-AQ107)))</f>
        <v>332.99999999999989</v>
      </c>
      <c r="AJ108" s="14">
        <f>AI108*VLOOKUP('Données projet'!$B$10,Paramètres!$A$1:$I$89,3,0)*VLOOKUP('Données projet'!$B$10,Paramètres!$A$1:$I$89,5,0)</f>
        <v>280.5191999999999</v>
      </c>
      <c r="AK108" s="14">
        <f t="shared" si="89"/>
        <v>67.076718933381159</v>
      </c>
      <c r="AL108" s="22">
        <f t="shared" si="58"/>
        <v>605.39622547563874</v>
      </c>
      <c r="AM108" s="62">
        <f t="shared" si="59"/>
        <v>884.13485355651051</v>
      </c>
      <c r="AN108" s="62">
        <f ca="1">AVERAGE(OFFSET($AM$3,0,0,'Données projet'!$E$10+1,1))-AVERAGE(OFFSET($H$3,0,0,'Données projet'!$E$10+1,1))</f>
        <v>445.02659128831181</v>
      </c>
      <c r="AO108" s="62">
        <f t="shared" si="90"/>
        <v>281.06176764290592</v>
      </c>
      <c r="AP108" s="16">
        <f>IF(ISNA(VLOOKUP(A108,'Données projet'!$A$61:$I$81,3,0)),0,VLOOKUP(A108,'Données projet'!$A$61:$I$81,3,0))</f>
        <v>18</v>
      </c>
      <c r="AQ108" s="16">
        <f>IF(ISNA(VLOOKUP(A108,'Données projet'!$A$61:$I$81,4,0)),0,VLOOKUP(A108,'Données projet'!$A$61:$I$81,4,0))</f>
        <v>26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1.0569054495013499</v>
      </c>
      <c r="AV108" s="23">
        <f>EXP(-LN(2)/25)*AV107+(1-EXP(-LN(2)/25))/(LN(2)/25)*Calculateur!AQ108*Calculateur!AS108*VLOOKUP('Données projet'!$B$10,Paramètres!$A$1:$I$89,3,0)*0.475*44/12</f>
        <v>0.1396010260643504</v>
      </c>
      <c r="AW108" s="23">
        <f>EXP(-LN(2)/2)*AW107+(1-EXP(-LN(2)/2))/(LN(2)/2)*AQ108*AT108*VLOOKUP('Données projet'!$B$10,Paramètres!$A$1:$I$89,3,0)*0.475*44/12</f>
        <v>9.6956218204248078E-11</v>
      </c>
      <c r="AX108" s="23">
        <f t="shared" si="60"/>
        <v>1.1965064756626564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>
        <f>VLOOKUP(A108,'Données projet'!$A$87:$I$107,2,0)</f>
        <v>333</v>
      </c>
      <c r="BB108" s="13">
        <f>VLOOKUP(A108,'Données projet'!$A$87:$I$107,9,0)</f>
        <v>5.4</v>
      </c>
      <c r="BC108" s="13">
        <f t="array" ref="BC108">INDEX(BB:BB,MIN(IF(ISNUMBER(BB108:BB304),ROW(BB108:BB304),"")))</f>
        <v>5.4</v>
      </c>
      <c r="BD108" s="13">
        <f>IF('Données projet'!$A$88&gt;35,BD107+BC108-BL107,IF(A108&lt;'Données projet'!$A$88,$BA$205^A108,IF(A108='Données projet'!$A$88,'Données projet'!$B$88,BD107+BC108-BL107)))</f>
        <v>332.99999999999989</v>
      </c>
      <c r="BE108" s="14">
        <f>BD108*VLOOKUP('Données projet'!$B$11,Paramètres!$A$1:$I$89,3,0)*VLOOKUP('Données projet'!$B$11,Paramètres!$A$1:$I$89,5,0)</f>
        <v>301.2983999999999</v>
      </c>
      <c r="BF108" s="14">
        <f t="shared" si="91"/>
        <v>71.448589534990518</v>
      </c>
      <c r="BG108" s="22">
        <f t="shared" si="61"/>
        <v>649.20100677344158</v>
      </c>
      <c r="BH108" s="62">
        <f t="shared" si="62"/>
        <v>927.93963485431334</v>
      </c>
      <c r="BI108" s="62">
        <f ca="1">AVERAGE(OFFSET($BH$3,0,0,'Données projet'!$E$11+1,1))-AVERAGE(OFFSET($H$3,0,0,'Données projet'!$E$11+1,1))</f>
        <v>472.46893084347687</v>
      </c>
      <c r="BJ108" s="62">
        <f t="shared" si="92"/>
        <v>297.32483725004136</v>
      </c>
      <c r="BK108" s="16">
        <f>IF(ISNA(VLOOKUP(A108,'Données projet'!$A$87:$I$107,3,0)),0,VLOOKUP(A108,'Données projet'!$A$87:$I$107,3,0))</f>
        <v>18</v>
      </c>
      <c r="BL108" s="16">
        <f>IF(ISNA(VLOOKUP(A108,'Données projet'!$A$87:$I$107,4,0)),0,VLOOKUP(A108,'Données projet'!$A$87:$I$107,4,0))</f>
        <v>26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1.1351947420570057</v>
      </c>
      <c r="BQ108" s="23">
        <f>EXP(-LN(2)/25)*BQ107+(1-EXP(-LN(2)/25))/(LN(2)/25)*Calculateur!BL108*Calculateur!BN108*VLOOKUP('Données projet'!$B$11,Paramètres!$A$1:$I$89,3,0)*0.475*44/12</f>
        <v>0.14994184280985773</v>
      </c>
      <c r="BR108" s="23">
        <f>EXP(-LN(2)/2)*BR107+(1-EXP(-LN(2)/2))/(LN(2)/2)*BL108*BO108*VLOOKUP('Données projet'!$B$11,Paramètres!$A$1:$I$89,3,0)*0.475*44/12</f>
        <v>1.041381602934516E-10</v>
      </c>
      <c r="BS108" s="24">
        <f t="shared" si="63"/>
        <v>1.2851365849710017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-1.1368683772161603E-13</v>
      </c>
      <c r="BZ108" s="14">
        <f>BY108*VLOOKUP('Données projet'!$B$12,Paramètres!$A$1:$I$89,3,0)*VLOOKUP('Données projet'!$B$12,Paramètres!$A$1:$I$89,5,0)</f>
        <v>-5.3205440053716299E-14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426.87921482911719</v>
      </c>
      <c r="CE108" s="62">
        <f t="shared" si="94"/>
        <v>313.49594674441835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-1.1368683772161603E-13</v>
      </c>
      <c r="CU108" s="18">
        <f>CT108*VLOOKUP('Données projet'!$B$13,Paramètres!$A$1:$I$89,3,0)*VLOOKUP('Données projet'!$B$13,Paramètres!$A$1:$I$89,5,0)</f>
        <v>-6.7984728957526396E-14</v>
      </c>
      <c r="CV108" s="14" t="e">
        <f t="shared" si="95"/>
        <v>#NUM!</v>
      </c>
      <c r="CW108" s="22" t="e">
        <f t="shared" si="67"/>
        <v>#NUM!</v>
      </c>
      <c r="CX108" s="62" t="e">
        <f t="shared" si="68"/>
        <v>#NUM!</v>
      </c>
      <c r="CY108" s="62">
        <f ca="1">AVERAGE(OFFSET($CX$3,0,0,'Données projet'!$E$13+1,1))-AVERAGE(OFFSET($H$3,0,0,'Données projet'!$E$13+1,1))</f>
        <v>367.11994336501527</v>
      </c>
      <c r="CZ108" s="62">
        <f t="shared" si="96"/>
        <v>390.81417197867484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7.8459121119664372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2.3686498284994138E-11</v>
      </c>
      <c r="DI108" s="24">
        <f t="shared" si="69"/>
        <v>7.8459121119901241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1.9895196601282805E-13</v>
      </c>
      <c r="O109" s="14">
        <f>N109*VLOOKUP('Données projet'!$B$9,Paramètres!$A$1:$I$89,3,0)*VLOOKUP('Données projet'!$B$9,Paramètres!$A$1:$I$89,5,0)</f>
        <v>1.8001173884840681E-13</v>
      </c>
      <c r="P109" s="14">
        <f t="shared" si="87"/>
        <v>2.5254331426407198E-12</v>
      </c>
      <c r="Q109" s="22">
        <f t="shared" si="107"/>
        <v>4.7119831685935622E-12</v>
      </c>
      <c r="R109" s="62">
        <f t="shared" si="55"/>
        <v>278.99181358813382</v>
      </c>
      <c r="S109" s="62">
        <f ca="1">AVERAGE(OFFSET($R$3,0,0,'Données projet'!$E$9+1,1))-AVERAGE(OFFSET($H$3,0,0,'Données projet'!$E$9+1,1))</f>
        <v>312.43110610485337</v>
      </c>
      <c r="T109" s="62">
        <f t="shared" si="88"/>
        <v>442.54749157177571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0.11990252494065529</v>
      </c>
      <c r="AA109" s="23">
        <f>EXP(-LN(2)/25)*AA108+(1-EXP(-LN(2)/25))/(LN(2)/25)*Calculateur!V109*Calculateur!X109*VLOOKUP('Données projet'!$B$9,Paramètres!$A$1:$I$89,3,0)*0.475*44/12</f>
        <v>0.11446875672367232</v>
      </c>
      <c r="AB109" s="23">
        <f>EXP(-LN(2)/2)*AB108+(1-EXP(-LN(2)/2))/(LN(2)/2)*V109*Y109*VLOOKUP('Données projet'!$B$9,Paramètres!$A$1:$I$89,3,0)*0.475*44/12</f>
        <v>1.3975892890838843E-11</v>
      </c>
      <c r="AC109" s="24">
        <f t="shared" si="57"/>
        <v>0.23437128167830351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5</v>
      </c>
      <c r="AI109" s="14">
        <f>IF('Données projet'!$A$62&gt;35,AI108+AH109-AQ108,IF(A109&lt;'Données projet'!$A$62,$AF$205^A109,IF(A109='Données projet'!$A$62,'Données projet'!$B$62,AI108+AH109-AQ108)))</f>
        <v>311.99999999999989</v>
      </c>
      <c r="AJ109" s="14">
        <f>AI109*VLOOKUP('Données projet'!$B$10,Paramètres!$A$1:$I$89,3,0)*VLOOKUP('Données projet'!$B$10,Paramètres!$A$1:$I$89,5,0)</f>
        <v>262.82879999999994</v>
      </c>
      <c r="AK109" s="14">
        <f t="shared" si="89"/>
        <v>63.324983518559428</v>
      </c>
      <c r="AL109" s="22">
        <f t="shared" si="58"/>
        <v>568.05117296149081</v>
      </c>
      <c r="AM109" s="62">
        <f t="shared" si="59"/>
        <v>847.04298654961985</v>
      </c>
      <c r="AN109" s="62">
        <f ca="1">AVERAGE(OFFSET($AM$3,0,0,'Données projet'!$E$10+1,1))-AVERAGE(OFFSET($H$3,0,0,'Données projet'!$E$10+1,1))</f>
        <v>445.02659128831181</v>
      </c>
      <c r="AO109" s="62">
        <f t="shared" si="90"/>
        <v>281.06176764290592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1.0361801782852988</v>
      </c>
      <c r="AV109" s="23">
        <f>EXP(-LN(2)/25)*AV108+(1-EXP(-LN(2)/25))/(LN(2)/25)*Calculateur!AQ109*Calculateur!AS109*VLOOKUP('Données projet'!$B$10,Paramètres!$A$1:$I$89,3,0)*0.475*44/12</f>
        <v>0.13578362866532184</v>
      </c>
      <c r="AW109" s="23">
        <f>EXP(-LN(2)/2)*AW108+(1-EXP(-LN(2)/2))/(LN(2)/2)*AQ109*AT109*VLOOKUP('Données projet'!$B$10,Paramètres!$A$1:$I$89,3,0)*0.475*44/12</f>
        <v>6.85583993704264E-11</v>
      </c>
      <c r="AX109" s="23">
        <f t="shared" si="60"/>
        <v>1.1719638070191791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5</v>
      </c>
      <c r="BD109" s="13">
        <f>IF('Données projet'!$A$88&gt;35,BD108+BC109-BL108,IF(A109&lt;'Données projet'!$A$88,$BA$205^A109,IF(A109='Données projet'!$A$88,'Données projet'!$B$88,BD108+BC109-BL108)))</f>
        <v>311.99999999999989</v>
      </c>
      <c r="BE109" s="14">
        <f>BD109*VLOOKUP('Données projet'!$B$11,Paramètres!$A$1:$I$89,3,0)*VLOOKUP('Données projet'!$B$11,Paramètres!$A$1:$I$89,5,0)</f>
        <v>282.29759999999987</v>
      </c>
      <c r="BF109" s="14">
        <f t="shared" si="91"/>
        <v>67.452326629470178</v>
      </c>
      <c r="BG109" s="22">
        <f t="shared" si="61"/>
        <v>609.14778887966042</v>
      </c>
      <c r="BH109" s="62">
        <f t="shared" si="62"/>
        <v>888.13960246778947</v>
      </c>
      <c r="BI109" s="62">
        <f ca="1">AVERAGE(OFFSET($BH$3,0,0,'Données projet'!$E$11+1,1))-AVERAGE(OFFSET($H$3,0,0,'Données projet'!$E$11+1,1))</f>
        <v>472.46893084347687</v>
      </c>
      <c r="BJ109" s="62">
        <f t="shared" si="92"/>
        <v>297.32483725004136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1.1129342655656915</v>
      </c>
      <c r="BQ109" s="23">
        <f>EXP(-LN(2)/25)*BQ108+(1-EXP(-LN(2)/25))/(LN(2)/25)*Calculateur!BL109*Calculateur!BN109*VLOOKUP('Données projet'!$B$11,Paramètres!$A$1:$I$89,3,0)*0.475*44/12</f>
        <v>0.14584167523312336</v>
      </c>
      <c r="BR109" s="23">
        <f>EXP(-LN(2)/2)*BR108+(1-EXP(-LN(2)/2))/(LN(2)/2)*BL109*BO109*VLOOKUP('Données projet'!$B$11,Paramètres!$A$1:$I$89,3,0)*0.475*44/12</f>
        <v>7.3636799323791292E-11</v>
      </c>
      <c r="BS109" s="24">
        <f t="shared" si="63"/>
        <v>1.2587759408724517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-1.1368683772161603E-13</v>
      </c>
      <c r="BZ109" s="14">
        <f>BY109*VLOOKUP('Données projet'!$B$12,Paramètres!$A$1:$I$89,3,0)*VLOOKUP('Données projet'!$B$12,Paramètres!$A$1:$I$89,5,0)</f>
        <v>-5.3205440053716299E-14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426.87921482911719</v>
      </c>
      <c r="CE109" s="62">
        <f t="shared" si="94"/>
        <v>313.49594674441835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-1.1368683772161603E-13</v>
      </c>
      <c r="CU109" s="18">
        <f>CT109*VLOOKUP('Données projet'!$B$13,Paramètres!$A$1:$I$89,3,0)*VLOOKUP('Données projet'!$B$13,Paramètres!$A$1:$I$89,5,0)</f>
        <v>-6.7984728957526396E-14</v>
      </c>
      <c r="CV109" s="14" t="e">
        <f t="shared" si="95"/>
        <v>#NUM!</v>
      </c>
      <c r="CW109" s="22" t="e">
        <f t="shared" si="67"/>
        <v>#NUM!</v>
      </c>
      <c r="CX109" s="62" t="e">
        <f t="shared" si="68"/>
        <v>#NUM!</v>
      </c>
      <c r="CY109" s="62">
        <f ca="1">AVERAGE(OFFSET($CX$3,0,0,'Données projet'!$E$13+1,1))-AVERAGE(OFFSET($H$3,0,0,'Données projet'!$E$13+1,1))</f>
        <v>367.11994336501527</v>
      </c>
      <c r="CZ109" s="62">
        <f t="shared" si="96"/>
        <v>390.81417197867484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7.6920585609846315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1.6748883559882883E-11</v>
      </c>
      <c r="DI109" s="24">
        <f t="shared" si="69"/>
        <v>7.6920585610013807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1.9895196601282805E-13</v>
      </c>
      <c r="O110" s="14">
        <f>N110*VLOOKUP('Données projet'!$B$9,Paramètres!$A$1:$I$89,3,0)*VLOOKUP('Données projet'!$B$9,Paramètres!$A$1:$I$89,5,0)</f>
        <v>1.8001173884840681E-13</v>
      </c>
      <c r="P110" s="14">
        <f t="shared" si="87"/>
        <v>2.5254331426407198E-12</v>
      </c>
      <c r="Q110" s="22">
        <f t="shared" si="107"/>
        <v>4.7119831685935622E-12</v>
      </c>
      <c r="R110" s="62">
        <f t="shared" si="55"/>
        <v>279.24060689287836</v>
      </c>
      <c r="S110" s="62">
        <f ca="1">AVERAGE(OFFSET($R$3,0,0,'Données projet'!$E$9+1,1))-AVERAGE(OFFSET($H$3,0,0,'Données projet'!$E$9+1,1))</f>
        <v>312.43110610485337</v>
      </c>
      <c r="T110" s="62">
        <f t="shared" si="88"/>
        <v>442.54749157177571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0.11755130955988793</v>
      </c>
      <c r="AA110" s="23">
        <f>EXP(-LN(2)/25)*AA109+(1-EXP(-LN(2)/25))/(LN(2)/25)*Calculateur!V110*Calculateur!X110*VLOOKUP('Données projet'!$B$9,Paramètres!$A$1:$I$89,3,0)*0.475*44/12</f>
        <v>0.1113386025514132</v>
      </c>
      <c r="AB110" s="23">
        <f>EXP(-LN(2)/2)*AB109+(1-EXP(-LN(2)/2))/(LN(2)/2)*V110*Y110*VLOOKUP('Données projet'!$B$9,Paramètres!$A$1:$I$89,3,0)*0.475*44/12</f>
        <v>9.8824486362490066E-12</v>
      </c>
      <c r="AC110" s="24">
        <f t="shared" si="57"/>
        <v>0.22888991212118359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5</v>
      </c>
      <c r="AI110" s="14">
        <f>IF('Données projet'!$A$62&gt;35,AI109+AH110-AQ109,IF(A110&lt;'Données projet'!$A$62,$AF$205^A110,IF(A110='Données projet'!$A$62,'Données projet'!$B$62,AI109+AH110-AQ109)))</f>
        <v>316.99999999999989</v>
      </c>
      <c r="AJ110" s="14">
        <f>AI110*VLOOKUP('Données projet'!$B$10,Paramètres!$A$1:$I$89,3,0)*VLOOKUP('Données projet'!$B$10,Paramètres!$A$1:$I$89,5,0)</f>
        <v>267.04079999999993</v>
      </c>
      <c r="AK110" s="14">
        <f t="shared" si="89"/>
        <v>64.220850124833518</v>
      </c>
      <c r="AL110" s="22">
        <f t="shared" si="58"/>
        <v>576.94737396741823</v>
      </c>
      <c r="AM110" s="62">
        <f t="shared" si="59"/>
        <v>856.18798086029187</v>
      </c>
      <c r="AN110" s="62">
        <f ca="1">AVERAGE(OFFSET($AM$3,0,0,'Données projet'!$E$10+1,1))-AVERAGE(OFFSET($H$3,0,0,'Données projet'!$E$10+1,1))</f>
        <v>445.02659128831181</v>
      </c>
      <c r="AO110" s="62">
        <f t="shared" si="90"/>
        <v>281.06176764290592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1.0158613169966273</v>
      </c>
      <c r="AV110" s="23">
        <f>EXP(-LN(2)/25)*AV109+(1-EXP(-LN(2)/25))/(LN(2)/25)*Calculateur!AQ110*Calculateur!AS110*VLOOKUP('Données projet'!$B$10,Paramètres!$A$1:$I$89,3,0)*0.475*44/12</f>
        <v>0.13207061819891791</v>
      </c>
      <c r="AW110" s="23">
        <f>EXP(-LN(2)/2)*AW109+(1-EXP(-LN(2)/2))/(LN(2)/2)*AQ110*AT110*VLOOKUP('Données projet'!$B$10,Paramètres!$A$1:$I$89,3,0)*0.475*44/12</f>
        <v>4.8478109102124039E-11</v>
      </c>
      <c r="AX110" s="23">
        <f t="shared" si="60"/>
        <v>1.1479319352440234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5</v>
      </c>
      <c r="BD110" s="13">
        <f>IF('Données projet'!$A$88&gt;35,BD109+BC110-BL109,IF(A110&lt;'Données projet'!$A$88,$BA$205^A110,IF(A110='Données projet'!$A$88,'Données projet'!$B$88,BD109+BC110-BL109)))</f>
        <v>316.99999999999989</v>
      </c>
      <c r="BE110" s="14">
        <f>BD110*VLOOKUP('Données projet'!$B$11,Paramètres!$A$1:$I$89,3,0)*VLOOKUP('Données projet'!$B$11,Paramètres!$A$1:$I$89,5,0)</f>
        <v>286.82159999999988</v>
      </c>
      <c r="BF110" s="14">
        <f t="shared" si="91"/>
        <v>68.406583284351413</v>
      </c>
      <c r="BG110" s="22">
        <f t="shared" si="61"/>
        <v>618.68908588691181</v>
      </c>
      <c r="BH110" s="62">
        <f t="shared" si="62"/>
        <v>897.92969277978546</v>
      </c>
      <c r="BI110" s="62">
        <f ca="1">AVERAGE(OFFSET($BH$3,0,0,'Données projet'!$E$11+1,1))-AVERAGE(OFFSET($H$3,0,0,'Données projet'!$E$11+1,1))</f>
        <v>472.46893084347687</v>
      </c>
      <c r="BJ110" s="62">
        <f t="shared" si="92"/>
        <v>297.32483725004136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1.091110303440822</v>
      </c>
      <c r="BQ110" s="23">
        <f>EXP(-LN(2)/25)*BQ109+(1-EXP(-LN(2)/25))/(LN(2)/25)*Calculateur!BL110*Calculateur!BN110*VLOOKUP('Données projet'!$B$11,Paramètres!$A$1:$I$89,3,0)*0.475*44/12</f>
        <v>0.14185362695439321</v>
      </c>
      <c r="BR110" s="23">
        <f>EXP(-LN(2)/2)*BR109+(1-EXP(-LN(2)/2))/(LN(2)/2)*BL110*BO110*VLOOKUP('Données projet'!$B$11,Paramètres!$A$1:$I$89,3,0)*0.475*44/12</f>
        <v>5.2069080146725801E-11</v>
      </c>
      <c r="BS110" s="24">
        <f t="shared" si="63"/>
        <v>1.2329639304472844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-1.1368683772161603E-13</v>
      </c>
      <c r="BZ110" s="14">
        <f>BY110*VLOOKUP('Données projet'!$B$12,Paramètres!$A$1:$I$89,3,0)*VLOOKUP('Données projet'!$B$12,Paramètres!$A$1:$I$89,5,0)</f>
        <v>-5.3205440053716299E-14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426.87921482911719</v>
      </c>
      <c r="CE110" s="62">
        <f t="shared" si="94"/>
        <v>313.49594674441835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-1.1368683772161603E-13</v>
      </c>
      <c r="CU110" s="18">
        <f>CT110*VLOOKUP('Données projet'!$B$13,Paramètres!$A$1:$I$89,3,0)*VLOOKUP('Données projet'!$B$13,Paramètres!$A$1:$I$89,5,0)</f>
        <v>-6.7984728957526396E-14</v>
      </c>
      <c r="CV110" s="14" t="e">
        <f t="shared" si="95"/>
        <v>#NUM!</v>
      </c>
      <c r="CW110" s="22" t="e">
        <f t="shared" si="67"/>
        <v>#NUM!</v>
      </c>
      <c r="CX110" s="62" t="e">
        <f t="shared" si="68"/>
        <v>#NUM!</v>
      </c>
      <c r="CY110" s="62">
        <f ca="1">AVERAGE(OFFSET($CX$3,0,0,'Données projet'!$E$13+1,1))-AVERAGE(OFFSET($H$3,0,0,'Données projet'!$E$13+1,1))</f>
        <v>367.11994336501527</v>
      </c>
      <c r="CZ110" s="62">
        <f t="shared" si="96"/>
        <v>390.81417197867484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7.541221984296179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1.1843249142497069E-11</v>
      </c>
      <c r="DI110" s="24">
        <f t="shared" si="69"/>
        <v>7.5412219843080219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1.9895196601282805E-13</v>
      </c>
      <c r="O111" s="14">
        <f>N111*VLOOKUP('Données projet'!$B$9,Paramètres!$A$1:$I$89,3,0)*VLOOKUP('Données projet'!$B$9,Paramètres!$A$1:$I$89,5,0)</f>
        <v>1.8001173884840681E-13</v>
      </c>
      <c r="P111" s="14">
        <f t="shared" si="87"/>
        <v>2.5254331426407198E-12</v>
      </c>
      <c r="Q111" s="22">
        <f t="shared" si="107"/>
        <v>4.7119831685935622E-12</v>
      </c>
      <c r="R111" s="62">
        <f t="shared" si="55"/>
        <v>279.48508419000405</v>
      </c>
      <c r="S111" s="62">
        <f ca="1">AVERAGE(OFFSET($R$3,0,0,'Données projet'!$E$9+1,1))-AVERAGE(OFFSET($H$3,0,0,'Données projet'!$E$9+1,1))</f>
        <v>312.43110610485337</v>
      </c>
      <c r="T111" s="62">
        <f t="shared" si="88"/>
        <v>442.54749157177571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0.11524620007863766</v>
      </c>
      <c r="AA111" s="23">
        <f>EXP(-LN(2)/25)*AA110+(1-EXP(-LN(2)/25))/(LN(2)/25)*Calculateur!V111*Calculateur!X111*VLOOKUP('Données projet'!$B$9,Paramètres!$A$1:$I$89,3,0)*0.475*44/12</f>
        <v>0.10829404260960217</v>
      </c>
      <c r="AB111" s="23">
        <f>EXP(-LN(2)/2)*AB110+(1-EXP(-LN(2)/2))/(LN(2)/2)*V111*Y111*VLOOKUP('Données projet'!$B$9,Paramètres!$A$1:$I$89,3,0)*0.475*44/12</f>
        <v>6.9879464454194214E-12</v>
      </c>
      <c r="AC111" s="24">
        <f t="shared" si="57"/>
        <v>0.22354024269522776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5</v>
      </c>
      <c r="AI111" s="14">
        <f>IF('Données projet'!$A$62&gt;35,AI110+AH111-AQ110,IF(A111&lt;'Données projet'!$A$62,$AF$205^A111,IF(A111='Données projet'!$A$62,'Données projet'!$B$62,AI110+AH111-AQ110)))</f>
        <v>321.99999999999989</v>
      </c>
      <c r="AJ111" s="14">
        <f>AI111*VLOOKUP('Données projet'!$B$10,Paramètres!$A$1:$I$89,3,0)*VLOOKUP('Données projet'!$B$10,Paramètres!$A$1:$I$89,5,0)</f>
        <v>271.25279999999992</v>
      </c>
      <c r="AK111" s="14">
        <f t="shared" si="89"/>
        <v>65.115073390838859</v>
      </c>
      <c r="AL111" s="22">
        <f t="shared" si="58"/>
        <v>585.84071282237755</v>
      </c>
      <c r="AM111" s="62">
        <f t="shared" si="59"/>
        <v>865.32579701237682</v>
      </c>
      <c r="AN111" s="62">
        <f ca="1">AVERAGE(OFFSET($AM$3,0,0,'Données projet'!$E$10+1,1))-AVERAGE(OFFSET($H$3,0,0,'Données projet'!$E$10+1,1))</f>
        <v>445.02659128831181</v>
      </c>
      <c r="AO111" s="62">
        <f t="shared" si="90"/>
        <v>281.06176764290592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0.99594089618454495</v>
      </c>
      <c r="AV111" s="23">
        <f>EXP(-LN(2)/25)*AV110+(1-EXP(-LN(2)/25))/(LN(2)/25)*Calculateur!AQ111*Calculateur!AS111*VLOOKUP('Données projet'!$B$10,Paramètres!$A$1:$I$89,3,0)*0.475*44/12</f>
        <v>0.12845914019897653</v>
      </c>
      <c r="AW111" s="23">
        <f>EXP(-LN(2)/2)*AW110+(1-EXP(-LN(2)/2))/(LN(2)/2)*AQ111*AT111*VLOOKUP('Données projet'!$B$10,Paramètres!$A$1:$I$89,3,0)*0.475*44/12</f>
        <v>3.42791996852132E-11</v>
      </c>
      <c r="AX111" s="23">
        <f t="shared" si="60"/>
        <v>1.1244000364178008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5</v>
      </c>
      <c r="BD111" s="13">
        <f>IF('Données projet'!$A$88&gt;35,BD110+BC111-BL110,IF(A111&lt;'Données projet'!$A$88,$BA$205^A111,IF(A111='Données projet'!$A$88,'Données projet'!$B$88,BD110+BC111-BL110)))</f>
        <v>321.99999999999989</v>
      </c>
      <c r="BE111" s="14">
        <f>BD111*VLOOKUP('Données projet'!$B$11,Paramètres!$A$1:$I$89,3,0)*VLOOKUP('Données projet'!$B$11,Paramètres!$A$1:$I$89,5,0)</f>
        <v>291.34559999999993</v>
      </c>
      <c r="BF111" s="14">
        <f t="shared" si="91"/>
        <v>69.359089490698707</v>
      </c>
      <c r="BG111" s="22">
        <f t="shared" si="61"/>
        <v>628.22733419630015</v>
      </c>
      <c r="BH111" s="62">
        <f t="shared" si="62"/>
        <v>907.71241838629953</v>
      </c>
      <c r="BI111" s="62">
        <f ca="1">AVERAGE(OFFSET($BH$3,0,0,'Données projet'!$E$11+1,1))-AVERAGE(OFFSET($H$3,0,0,'Données projet'!$E$11+1,1))</f>
        <v>472.46893084347687</v>
      </c>
      <c r="BJ111" s="62">
        <f t="shared" si="92"/>
        <v>297.32483725004136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1.0697142959019188</v>
      </c>
      <c r="BQ111" s="23">
        <f>EXP(-LN(2)/25)*BQ110+(1-EXP(-LN(2)/25))/(LN(2)/25)*Calculateur!BL111*Calculateur!BN111*VLOOKUP('Données projet'!$B$11,Paramètres!$A$1:$I$89,3,0)*0.475*44/12</f>
        <v>0.13797463206556729</v>
      </c>
      <c r="BR111" s="23">
        <f>EXP(-LN(2)/2)*BR110+(1-EXP(-LN(2)/2))/(LN(2)/2)*BL111*BO111*VLOOKUP('Données projet'!$B$11,Paramètres!$A$1:$I$89,3,0)*0.475*44/12</f>
        <v>3.6818399661895646E-11</v>
      </c>
      <c r="BS111" s="24">
        <f t="shared" si="63"/>
        <v>1.2076889280043044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-1.1368683772161603E-13</v>
      </c>
      <c r="BZ111" s="14">
        <f>BY111*VLOOKUP('Données projet'!$B$12,Paramètres!$A$1:$I$89,3,0)*VLOOKUP('Données projet'!$B$12,Paramètres!$A$1:$I$89,5,0)</f>
        <v>-5.3205440053716299E-14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426.87921482911719</v>
      </c>
      <c r="CE111" s="62">
        <f t="shared" si="94"/>
        <v>313.49594674441835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-1.1368683772161603E-13</v>
      </c>
      <c r="CU111" s="18">
        <f>CT111*VLOOKUP('Données projet'!$B$13,Paramètres!$A$1:$I$89,3,0)*VLOOKUP('Données projet'!$B$13,Paramètres!$A$1:$I$89,5,0)</f>
        <v>-6.7984728957526396E-14</v>
      </c>
      <c r="CV111" s="14" t="e">
        <f t="shared" si="95"/>
        <v>#NUM!</v>
      </c>
      <c r="CW111" s="22" t="e">
        <f t="shared" si="67"/>
        <v>#NUM!</v>
      </c>
      <c r="CX111" s="62" t="e">
        <f t="shared" si="68"/>
        <v>#NUM!</v>
      </c>
      <c r="CY111" s="62">
        <f ca="1">AVERAGE(OFFSET($CX$3,0,0,'Données projet'!$E$13+1,1))-AVERAGE(OFFSET($H$3,0,0,'Données projet'!$E$13+1,1))</f>
        <v>367.11994336501527</v>
      </c>
      <c r="CZ111" s="62">
        <f t="shared" si="96"/>
        <v>390.81417197867484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7.3933432208753596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8.3744417799414415E-12</v>
      </c>
      <c r="DI111" s="24">
        <f t="shared" si="69"/>
        <v>7.3933432208837342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1.9895196601282805E-13</v>
      </c>
      <c r="O112" s="14">
        <f>N112*VLOOKUP('Données projet'!$B$9,Paramètres!$A$1:$I$89,3,0)*VLOOKUP('Données projet'!$B$9,Paramètres!$A$1:$I$89,5,0)</f>
        <v>1.8001173884840681E-13</v>
      </c>
      <c r="P112" s="14">
        <f t="shared" si="87"/>
        <v>2.5254331426407198E-12</v>
      </c>
      <c r="Q112" s="22">
        <f t="shared" si="107"/>
        <v>4.7119831685935622E-12</v>
      </c>
      <c r="R112" s="62">
        <f t="shared" si="55"/>
        <v>279.725320352594</v>
      </c>
      <c r="S112" s="62">
        <f ca="1">AVERAGE(OFFSET($R$3,0,0,'Données projet'!$E$9+1,1))-AVERAGE(OFFSET($H$3,0,0,'Données projet'!$E$9+1,1))</f>
        <v>312.43110610485337</v>
      </c>
      <c r="T112" s="62">
        <f t="shared" si="88"/>
        <v>442.54749157177571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0.11298629238833674</v>
      </c>
      <c r="AA112" s="23">
        <f>EXP(-LN(2)/25)*AA111+(1-EXP(-LN(2)/25))/(LN(2)/25)*Calculateur!V112*Calculateur!X112*VLOOKUP('Données projet'!$B$9,Paramètres!$A$1:$I$89,3,0)*0.475*44/12</f>
        <v>0.1053327363195064</v>
      </c>
      <c r="AB112" s="23">
        <f>EXP(-LN(2)/2)*AB111+(1-EXP(-LN(2)/2))/(LN(2)/2)*V112*Y112*VLOOKUP('Données projet'!$B$9,Paramètres!$A$1:$I$89,3,0)*0.475*44/12</f>
        <v>4.9412243181245033E-12</v>
      </c>
      <c r="AC112" s="24">
        <f t="shared" si="57"/>
        <v>0.21831902871278436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5</v>
      </c>
      <c r="AI112" s="14">
        <f>IF('Données projet'!$A$62&gt;35,AI111+AH112-AQ111,IF(A112&lt;'Données projet'!$A$62,$AF$205^A112,IF(A112='Données projet'!$A$62,'Données projet'!$B$62,AI111+AH112-AQ111)))</f>
        <v>326.99999999999989</v>
      </c>
      <c r="AJ112" s="14">
        <f>AI112*VLOOKUP('Données projet'!$B$10,Paramètres!$A$1:$I$89,3,0)*VLOOKUP('Données projet'!$B$10,Paramètres!$A$1:$I$89,5,0)</f>
        <v>275.46479999999997</v>
      </c>
      <c r="AK112" s="14">
        <f t="shared" si="89"/>
        <v>66.007681781116673</v>
      </c>
      <c r="AL112" s="22">
        <f t="shared" si="58"/>
        <v>594.73123910211143</v>
      </c>
      <c r="AM112" s="62">
        <f t="shared" si="59"/>
        <v>874.45655945470071</v>
      </c>
      <c r="AN112" s="62">
        <f ca="1">AVERAGE(OFFSET($AM$3,0,0,'Données projet'!$E$10+1,1))-AVERAGE(OFFSET($H$3,0,0,'Données projet'!$E$10+1,1))</f>
        <v>445.02659128831181</v>
      </c>
      <c r="AO112" s="62">
        <f t="shared" si="90"/>
        <v>281.06176764290592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0.97641110267433062</v>
      </c>
      <c r="AV112" s="23">
        <f>EXP(-LN(2)/25)*AV111+(1-EXP(-LN(2)/25))/(LN(2)/25)*Calculateur!AQ112*Calculateur!AS112*VLOOKUP('Données projet'!$B$10,Paramètres!$A$1:$I$89,3,0)*0.475*44/12</f>
        <v>0.12494641825486293</v>
      </c>
      <c r="AW112" s="23">
        <f>EXP(-LN(2)/2)*AW111+(1-EXP(-LN(2)/2))/(LN(2)/2)*AQ112*AT112*VLOOKUP('Données projet'!$B$10,Paramètres!$A$1:$I$89,3,0)*0.475*44/12</f>
        <v>2.423905455106202E-11</v>
      </c>
      <c r="AX112" s="23">
        <f t="shared" si="60"/>
        <v>1.1013575209534325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5</v>
      </c>
      <c r="BD112" s="13">
        <f>IF('Données projet'!$A$88&gt;35,BD111+BC112-BL111,IF(A112&lt;'Données projet'!$A$88,$BA$205^A112,IF(A112='Données projet'!$A$88,'Données projet'!$B$88,BD111+BC112-BL111)))</f>
        <v>326.99999999999989</v>
      </c>
      <c r="BE112" s="14">
        <f>BD112*VLOOKUP('Données projet'!$B$11,Paramètres!$A$1:$I$89,3,0)*VLOOKUP('Données projet'!$B$11,Paramètres!$A$1:$I$89,5,0)</f>
        <v>295.86959999999988</v>
      </c>
      <c r="BF112" s="14">
        <f t="shared" si="91"/>
        <v>70.309875568291218</v>
      </c>
      <c r="BG112" s="22">
        <f t="shared" si="61"/>
        <v>637.76258661477357</v>
      </c>
      <c r="BH112" s="62">
        <f t="shared" si="62"/>
        <v>917.48790696736285</v>
      </c>
      <c r="BI112" s="62">
        <f ca="1">AVERAGE(OFFSET($BH$3,0,0,'Données projet'!$E$11+1,1))-AVERAGE(OFFSET($H$3,0,0,'Données projet'!$E$11+1,1))</f>
        <v>472.46893084347687</v>
      </c>
      <c r="BJ112" s="62">
        <f t="shared" si="92"/>
        <v>297.32483725004136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1.0487378510205774</v>
      </c>
      <c r="BQ112" s="23">
        <f>EXP(-LN(2)/25)*BQ111+(1-EXP(-LN(2)/25))/(LN(2)/25)*Calculateur!BL112*Calculateur!BN112*VLOOKUP('Données projet'!$B$11,Paramètres!$A$1:$I$89,3,0)*0.475*44/12</f>
        <v>0.1342017084959638</v>
      </c>
      <c r="BR112" s="23">
        <f>EXP(-LN(2)/2)*BR111+(1-EXP(-LN(2)/2))/(LN(2)/2)*BL112*BO112*VLOOKUP('Données projet'!$B$11,Paramètres!$A$1:$I$89,3,0)*0.475*44/12</f>
        <v>2.60345400733629E-11</v>
      </c>
      <c r="BS112" s="24">
        <f t="shared" si="63"/>
        <v>1.1829395595425758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-1.1368683772161603E-13</v>
      </c>
      <c r="BZ112" s="14">
        <f>BY112*VLOOKUP('Données projet'!$B$12,Paramètres!$A$1:$I$89,3,0)*VLOOKUP('Données projet'!$B$12,Paramètres!$A$1:$I$89,5,0)</f>
        <v>-5.3205440053716299E-14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426.87921482911719</v>
      </c>
      <c r="CE112" s="62">
        <f t="shared" si="94"/>
        <v>313.49594674441835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-1.1368683772161603E-13</v>
      </c>
      <c r="CU112" s="18">
        <f>CT112*VLOOKUP('Données projet'!$B$13,Paramètres!$A$1:$I$89,3,0)*VLOOKUP('Données projet'!$B$13,Paramètres!$A$1:$I$89,5,0)</f>
        <v>-6.7984728957526396E-14</v>
      </c>
      <c r="CV112" s="14" t="e">
        <f t="shared" si="95"/>
        <v>#NUM!</v>
      </c>
      <c r="CW112" s="22" t="e">
        <f t="shared" si="67"/>
        <v>#NUM!</v>
      </c>
      <c r="CX112" s="62" t="e">
        <f t="shared" si="68"/>
        <v>#NUM!</v>
      </c>
      <c r="CY112" s="62">
        <f ca="1">AVERAGE(OFFSET($CX$3,0,0,'Données projet'!$E$13+1,1))-AVERAGE(OFFSET($H$3,0,0,'Données projet'!$E$13+1,1))</f>
        <v>367.11994336501527</v>
      </c>
      <c r="CZ112" s="62">
        <f t="shared" si="96"/>
        <v>390.81417197867484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7.248364269808083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5.9216245712485346E-12</v>
      </c>
      <c r="DI112" s="24">
        <f t="shared" si="69"/>
        <v>7.2483642698140045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1.9895196601282805E-13</v>
      </c>
      <c r="O113" s="14">
        <f>N113*VLOOKUP('Données projet'!$B$9,Paramètres!$A$1:$I$89,3,0)*VLOOKUP('Données projet'!$B$9,Paramètres!$A$1:$I$89,5,0)</f>
        <v>1.8001173884840681E-13</v>
      </c>
      <c r="P113" s="14">
        <f t="shared" si="87"/>
        <v>2.5254331426407198E-12</v>
      </c>
      <c r="Q113" s="22">
        <f t="shared" si="107"/>
        <v>4.7119831685935622E-12</v>
      </c>
      <c r="R113" s="62">
        <f t="shared" si="55"/>
        <v>279.96138895485058</v>
      </c>
      <c r="S113" s="62">
        <f ca="1">AVERAGE(OFFSET($R$3,0,0,'Données projet'!$E$9+1,1))-AVERAGE(OFFSET($H$3,0,0,'Données projet'!$E$9+1,1))</f>
        <v>312.43110610485337</v>
      </c>
      <c r="T113" s="62">
        <f t="shared" si="88"/>
        <v>442.54749157177571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0.11077070010943504</v>
      </c>
      <c r="AA113" s="23">
        <f>EXP(-LN(2)/25)*AA112+(1-EXP(-LN(2)/25))/(LN(2)/25)*Calculateur!V113*Calculateur!X113*VLOOKUP('Données projet'!$B$9,Paramètres!$A$1:$I$89,3,0)*0.475*44/12</f>
        <v>0.10245240710564164</v>
      </c>
      <c r="AB113" s="23">
        <f>EXP(-LN(2)/2)*AB112+(1-EXP(-LN(2)/2))/(LN(2)/2)*V113*Y113*VLOOKUP('Données projet'!$B$9,Paramètres!$A$1:$I$89,3,0)*0.475*44/12</f>
        <v>3.4939732227097107E-12</v>
      </c>
      <c r="AC113" s="24">
        <f t="shared" si="57"/>
        <v>0.21322310721857068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332</v>
      </c>
      <c r="AG113" s="13">
        <f>VLOOKUP(A113,'Données projet'!$A$61:$I$81,9,0)</f>
        <v>5</v>
      </c>
      <c r="AH113" s="13">
        <f t="array" ref="AH113">INDEX(AG:AG,MIN(IF(ISNUMBER(AG113:AG309),ROW(AG113:AG309),"")))</f>
        <v>5</v>
      </c>
      <c r="AI113" s="14">
        <f>IF('Données projet'!$A$62&gt;35,AI112+AH113-AQ112,IF(A113&lt;'Données projet'!$A$62,$AF$205^A113,IF(A113='Données projet'!$A$62,'Données projet'!$B$62,AI112+AH113-AQ112)))</f>
        <v>331.99999999999989</v>
      </c>
      <c r="AJ113" s="14">
        <f>AI113*VLOOKUP('Données projet'!$B$10,Paramètres!$A$1:$I$89,3,0)*VLOOKUP('Données projet'!$B$10,Paramètres!$A$1:$I$89,5,0)</f>
        <v>279.6767999999999</v>
      </c>
      <c r="AK113" s="14">
        <f t="shared" si="89"/>
        <v>66.898702839783041</v>
      </c>
      <c r="AL113" s="22">
        <f t="shared" si="58"/>
        <v>603.61900077928851</v>
      </c>
      <c r="AM113" s="62">
        <f t="shared" si="59"/>
        <v>883.58038973413431</v>
      </c>
      <c r="AN113" s="62">
        <f ca="1">AVERAGE(OFFSET($AM$3,0,0,'Données projet'!$E$10+1,1))-AVERAGE(OFFSET($H$3,0,0,'Données projet'!$E$10+1,1))</f>
        <v>445.02659128831181</v>
      </c>
      <c r="AO113" s="62">
        <f t="shared" si="90"/>
        <v>281.06176764290592</v>
      </c>
      <c r="AP113" s="16">
        <f>IF(ISNA(VLOOKUP(A113,'Données projet'!$A$61:$I$81,3,0)),0,VLOOKUP(A113,'Données projet'!$A$61:$I$81,3,0))</f>
        <v>19</v>
      </c>
      <c r="AQ113" s="16">
        <f>IF(ISNA(VLOOKUP(A113,'Données projet'!$A$61:$I$81,4,0)),0,VLOOKUP(A113,'Données projet'!$A$61:$I$81,4,0))</f>
        <v>25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0.95726427650285373</v>
      </c>
      <c r="AV113" s="23">
        <f>EXP(-LN(2)/25)*AV112+(1-EXP(-LN(2)/25))/(LN(2)/25)*Calculateur!AQ113*Calculateur!AS113*VLOOKUP('Données projet'!$B$10,Paramètres!$A$1:$I$89,3,0)*0.475*44/12</f>
        <v>0.12152975187703713</v>
      </c>
      <c r="AW113" s="23">
        <f>EXP(-LN(2)/2)*AW112+(1-EXP(-LN(2)/2))/(LN(2)/2)*AQ113*AT113*VLOOKUP('Données projet'!$B$10,Paramètres!$A$1:$I$89,3,0)*0.475*44/12</f>
        <v>1.71395998426066E-11</v>
      </c>
      <c r="AX113" s="23">
        <f t="shared" si="60"/>
        <v>1.0787940283970305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332</v>
      </c>
      <c r="BB113" s="13">
        <f>VLOOKUP(A113,'Données projet'!$A$87:$I$107,9,0)</f>
        <v>5</v>
      </c>
      <c r="BC113" s="13">
        <f t="array" ref="BC113">INDEX(BB:BB,MIN(IF(ISNUMBER(BB113:BB309),ROW(BB113:BB309),"")))</f>
        <v>5</v>
      </c>
      <c r="BD113" s="13">
        <f>IF('Données projet'!$A$88&gt;35,BD112+BC113-BL112,IF(A113&lt;'Données projet'!$A$88,$BA$205^A113,IF(A113='Données projet'!$A$88,'Données projet'!$B$88,BD112+BC113-BL112)))</f>
        <v>331.99999999999989</v>
      </c>
      <c r="BE113" s="14">
        <f>BD113*VLOOKUP('Données projet'!$B$11,Paramètres!$A$1:$I$89,3,0)*VLOOKUP('Données projet'!$B$11,Paramètres!$A$1:$I$89,5,0)</f>
        <v>300.39359999999988</v>
      </c>
      <c r="BF113" s="14">
        <f t="shared" si="91"/>
        <v>71.258970856492667</v>
      </c>
      <c r="BG113" s="22">
        <f t="shared" si="61"/>
        <v>647.29489424172459</v>
      </c>
      <c r="BH113" s="62">
        <f t="shared" si="62"/>
        <v>927.25628319657039</v>
      </c>
      <c r="BI113" s="62">
        <f ca="1">AVERAGE(OFFSET($BH$3,0,0,'Données projet'!$E$11+1,1))-AVERAGE(OFFSET($H$3,0,0,'Données projet'!$E$11+1,1))</f>
        <v>472.46893084347687</v>
      </c>
      <c r="BJ113" s="62">
        <f t="shared" si="92"/>
        <v>297.32483725004136</v>
      </c>
      <c r="BK113" s="16">
        <f>IF(ISNA(VLOOKUP(A113,'Données projet'!$A$87:$I$107,3,0)),0,VLOOKUP(A113,'Données projet'!$A$87:$I$107,3,0))</f>
        <v>19</v>
      </c>
      <c r="BL113" s="16">
        <f>IF(ISNA(VLOOKUP(A113,'Données projet'!$A$87:$I$107,4,0)),0,VLOOKUP(A113,'Données projet'!$A$87:$I$107,4,0))</f>
        <v>25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1.0281727414289912</v>
      </c>
      <c r="BQ113" s="23">
        <f>EXP(-LN(2)/25)*BQ112+(1-EXP(-LN(2)/25))/(LN(2)/25)*Calculateur!BL113*Calculateur!BN113*VLOOKUP('Données projet'!$B$11,Paramètres!$A$1:$I$89,3,0)*0.475*44/12</f>
        <v>0.13053195571978055</v>
      </c>
      <c r="BR113" s="23">
        <f>EXP(-LN(2)/2)*BR112+(1-EXP(-LN(2)/2))/(LN(2)/2)*BL113*BO113*VLOOKUP('Données projet'!$B$11,Paramètres!$A$1:$I$89,3,0)*0.475*44/12</f>
        <v>1.8409199830947823E-11</v>
      </c>
      <c r="BS113" s="24">
        <f t="shared" si="63"/>
        <v>1.1587046971671811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-1.1368683772161603E-13</v>
      </c>
      <c r="BZ113" s="14">
        <f>BY113*VLOOKUP('Données projet'!$B$12,Paramètres!$A$1:$I$89,3,0)*VLOOKUP('Données projet'!$B$12,Paramètres!$A$1:$I$89,5,0)</f>
        <v>-5.3205440053716299E-14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426.87921482911719</v>
      </c>
      <c r="CE113" s="62">
        <f t="shared" si="94"/>
        <v>313.49594674441835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-1.1368683772161603E-13</v>
      </c>
      <c r="CU113" s="18">
        <f>CT113*VLOOKUP('Données projet'!$B$13,Paramètres!$A$1:$I$89,3,0)*VLOOKUP('Données projet'!$B$13,Paramètres!$A$1:$I$89,5,0)</f>
        <v>-6.7984728957526396E-14</v>
      </c>
      <c r="CV113" s="14" t="e">
        <f t="shared" si="95"/>
        <v>#NUM!</v>
      </c>
      <c r="CW113" s="22" t="e">
        <f t="shared" si="67"/>
        <v>#NUM!</v>
      </c>
      <c r="CX113" s="62" t="e">
        <f t="shared" si="68"/>
        <v>#NUM!</v>
      </c>
      <c r="CY113" s="62">
        <f ca="1">AVERAGE(OFFSET($CX$3,0,0,'Données projet'!$E$13+1,1))-AVERAGE(OFFSET($H$3,0,0,'Données projet'!$E$13+1,1))</f>
        <v>367.11994336501527</v>
      </c>
      <c r="CZ113" s="62">
        <f t="shared" si="96"/>
        <v>390.81417197867484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7.1062282675428072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4.1872208899707207E-12</v>
      </c>
      <c r="DI113" s="24">
        <f t="shared" si="69"/>
        <v>7.1062282675469941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1.9895196601282805E-13</v>
      </c>
      <c r="O114" s="14">
        <f>N114*VLOOKUP('Données projet'!$B$9,Paramètres!$A$1:$I$89,3,0)*VLOOKUP('Données projet'!$B$9,Paramètres!$A$1:$I$89,5,0)</f>
        <v>1.8001173884840681E-13</v>
      </c>
      <c r="P114" s="14">
        <f t="shared" si="87"/>
        <v>2.5254331426407198E-12</v>
      </c>
      <c r="Q114" s="22">
        <f t="shared" si="107"/>
        <v>4.7119831685935622E-12</v>
      </c>
      <c r="R114" s="62">
        <f t="shared" si="55"/>
        <v>280.19336229462829</v>
      </c>
      <c r="S114" s="62">
        <f ca="1">AVERAGE(OFFSET($R$3,0,0,'Données projet'!$E$9+1,1))-AVERAGE(OFFSET($H$3,0,0,'Données projet'!$E$9+1,1))</f>
        <v>312.43110610485337</v>
      </c>
      <c r="T114" s="62">
        <f t="shared" si="88"/>
        <v>442.54749157177571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0.10859855424374475</v>
      </c>
      <c r="AA114" s="23">
        <f>EXP(-LN(2)/25)*AA113+(1-EXP(-LN(2)/25))/(LN(2)/25)*Calculateur!V114*Calculateur!X114*VLOOKUP('Données projet'!$B$9,Paramètres!$A$1:$I$89,3,0)*0.475*44/12</f>
        <v>9.9650840645599939E-2</v>
      </c>
      <c r="AB114" s="23">
        <f>EXP(-LN(2)/2)*AB113+(1-EXP(-LN(2)/2))/(LN(2)/2)*V114*Y114*VLOOKUP('Données projet'!$B$9,Paramètres!$A$1:$I$89,3,0)*0.475*44/12</f>
        <v>2.4706121590622517E-12</v>
      </c>
      <c r="AC114" s="24">
        <f t="shared" si="57"/>
        <v>0.20824939489181529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2.8</v>
      </c>
      <c r="AI114" s="14">
        <f>IF('Données projet'!$A$62&gt;35,AI113+AH114-AQ113,IF(A114&lt;'Données projet'!$A$62,$AF$205^A114,IF(A114='Données projet'!$A$62,'Données projet'!$B$62,AI113+AH114-AQ113)))</f>
        <v>309.7999999999999</v>
      </c>
      <c r="AJ114" s="14">
        <f>AI114*VLOOKUP('Données projet'!$B$10,Paramètres!$A$1:$I$89,3,0)*VLOOKUP('Données projet'!$B$10,Paramètres!$A$1:$I$89,5,0)</f>
        <v>260.9755199999999</v>
      </c>
      <c r="AK114" s="14">
        <f t="shared" si="89"/>
        <v>62.930274054356879</v>
      </c>
      <c r="AL114" s="22">
        <f t="shared" si="58"/>
        <v>564.13592464467138</v>
      </c>
      <c r="AM114" s="62">
        <f t="shared" si="59"/>
        <v>844.32928693929489</v>
      </c>
      <c r="AN114" s="62">
        <f ca="1">AVERAGE(OFFSET($AM$3,0,0,'Données projet'!$E$10+1,1))-AVERAGE(OFFSET($H$3,0,0,'Données projet'!$E$10+1,1))</f>
        <v>445.02659128831181</v>
      </c>
      <c r="AO114" s="62">
        <f t="shared" si="90"/>
        <v>281.06176764290592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0.93849290791418871</v>
      </c>
      <c r="AV114" s="23">
        <f>EXP(-LN(2)/25)*AV113+(1-EXP(-LN(2)/25))/(LN(2)/25)*Calculateur!AQ114*Calculateur!AS114*VLOOKUP('Données projet'!$B$10,Paramètres!$A$1:$I$89,3,0)*0.475*44/12</f>
        <v>0.11820651442098766</v>
      </c>
      <c r="AW114" s="23">
        <f>EXP(-LN(2)/2)*AW113+(1-EXP(-LN(2)/2))/(LN(2)/2)*AQ114*AT114*VLOOKUP('Données projet'!$B$10,Paramètres!$A$1:$I$89,3,0)*0.475*44/12</f>
        <v>1.211952727553101E-11</v>
      </c>
      <c r="AX114" s="23">
        <f t="shared" si="60"/>
        <v>1.0566994223472959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2.8</v>
      </c>
      <c r="BD114" s="13">
        <f>IF('Données projet'!$A$88&gt;35,BD113+BC114-BL113,IF(A114&lt;'Données projet'!$A$88,$BA$205^A114,IF(A114='Données projet'!$A$88,'Données projet'!$B$88,BD113+BC114-BL113)))</f>
        <v>309.7999999999999</v>
      </c>
      <c r="BE114" s="14">
        <f>BD114*VLOOKUP('Données projet'!$B$11,Paramètres!$A$1:$I$89,3,0)*VLOOKUP('Données projet'!$B$11,Paramètres!$A$1:$I$89,5,0)</f>
        <v>280.30703999999992</v>
      </c>
      <c r="BF114" s="14">
        <f t="shared" si="91"/>
        <v>67.03189112007388</v>
      </c>
      <c r="BG114" s="22">
        <f t="shared" si="61"/>
        <v>604.94863836746174</v>
      </c>
      <c r="BH114" s="62">
        <f t="shared" si="62"/>
        <v>885.14200066208537</v>
      </c>
      <c r="BI114" s="62">
        <f ca="1">AVERAGE(OFFSET($BH$3,0,0,'Données projet'!$E$11+1,1))-AVERAGE(OFFSET($H$3,0,0,'Données projet'!$E$11+1,1))</f>
        <v>472.46893084347687</v>
      </c>
      <c r="BJ114" s="62">
        <f t="shared" si="92"/>
        <v>297.32483725004136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1.0080109010930176</v>
      </c>
      <c r="BQ114" s="23">
        <f>EXP(-LN(2)/25)*BQ113+(1-EXP(-LN(2)/25))/(LN(2)/25)*Calculateur!BL114*Calculateur!BN114*VLOOKUP('Données projet'!$B$11,Paramètres!$A$1:$I$89,3,0)*0.475*44/12</f>
        <v>0.12696255252624594</v>
      </c>
      <c r="BR114" s="23">
        <f>EXP(-LN(2)/2)*BR113+(1-EXP(-LN(2)/2))/(LN(2)/2)*BL114*BO114*VLOOKUP('Données projet'!$B$11,Paramètres!$A$1:$I$89,3,0)*0.475*44/12</f>
        <v>1.301727003668145E-11</v>
      </c>
      <c r="BS114" s="24">
        <f t="shared" si="63"/>
        <v>1.1349734536322809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-1.1368683772161603E-13</v>
      </c>
      <c r="BZ114" s="14">
        <f>BY114*VLOOKUP('Données projet'!$B$12,Paramètres!$A$1:$I$89,3,0)*VLOOKUP('Données projet'!$B$12,Paramètres!$A$1:$I$89,5,0)</f>
        <v>-5.3205440053716299E-14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426.87921482911719</v>
      </c>
      <c r="CE114" s="62">
        <f t="shared" si="94"/>
        <v>313.49594674441835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-1.1368683772161603E-13</v>
      </c>
      <c r="CU114" s="18">
        <f>CT114*VLOOKUP('Données projet'!$B$13,Paramètres!$A$1:$I$89,3,0)*VLOOKUP('Données projet'!$B$13,Paramètres!$A$1:$I$89,5,0)</f>
        <v>-6.7984728957526396E-14</v>
      </c>
      <c r="CV114" s="14" t="e">
        <f t="shared" si="95"/>
        <v>#NUM!</v>
      </c>
      <c r="CW114" s="22" t="e">
        <f t="shared" si="67"/>
        <v>#NUM!</v>
      </c>
      <c r="CX114" s="62" t="e">
        <f t="shared" si="68"/>
        <v>#NUM!</v>
      </c>
      <c r="CY114" s="62">
        <f ca="1">AVERAGE(OFFSET($CX$3,0,0,'Données projet'!$E$13+1,1))-AVERAGE(OFFSET($H$3,0,0,'Données projet'!$E$13+1,1))</f>
        <v>367.11994336501527</v>
      </c>
      <c r="CZ114" s="62">
        <f t="shared" si="96"/>
        <v>390.81417197867484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6.9668794655875521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2.9608122856242673E-12</v>
      </c>
      <c r="DI114" s="24">
        <f t="shared" si="69"/>
        <v>6.9668794655905133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1.9895196601282805E-13</v>
      </c>
      <c r="O115" s="14">
        <f>N115*VLOOKUP('Données projet'!$B$9,Paramètres!$A$1:$I$89,3,0)*VLOOKUP('Données projet'!$B$9,Paramètres!$A$1:$I$89,5,0)</f>
        <v>1.8001173884840681E-13</v>
      </c>
      <c r="P115" s="14">
        <f t="shared" si="87"/>
        <v>2.5254331426407198E-12</v>
      </c>
      <c r="Q115" s="22">
        <f t="shared" si="107"/>
        <v>4.7119831685935622E-12</v>
      </c>
      <c r="R115" s="62">
        <f t="shared" si="55"/>
        <v>280.42131141557559</v>
      </c>
      <c r="S115" s="62">
        <f ca="1">AVERAGE(OFFSET($R$3,0,0,'Données projet'!$E$9+1,1))-AVERAGE(OFFSET($H$3,0,0,'Données projet'!$E$9+1,1))</f>
        <v>312.43110610485337</v>
      </c>
      <c r="T115" s="62">
        <f t="shared" si="88"/>
        <v>442.54749157177571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0.10646900283360249</v>
      </c>
      <c r="AA115" s="23">
        <f>EXP(-LN(2)/25)*AA114+(1-EXP(-LN(2)/25))/(LN(2)/25)*Calculateur!V115*Calculateur!X115*VLOOKUP('Données projet'!$B$9,Paramètres!$A$1:$I$89,3,0)*0.475*44/12</f>
        <v>9.6925883167736052E-2</v>
      </c>
      <c r="AB115" s="23">
        <f>EXP(-LN(2)/2)*AB114+(1-EXP(-LN(2)/2))/(LN(2)/2)*V115*Y115*VLOOKUP('Données projet'!$B$9,Paramètres!$A$1:$I$89,3,0)*0.475*44/12</f>
        <v>1.7469866113548554E-12</v>
      </c>
      <c r="AC115" s="24">
        <f t="shared" si="57"/>
        <v>0.20339488600308553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2.8</v>
      </c>
      <c r="AI115" s="14">
        <f>IF('Données projet'!$A$62&gt;35,AI114+AH115-AQ114,IF(A115&lt;'Données projet'!$A$62,$AF$205^A115,IF(A115='Données projet'!$A$62,'Données projet'!$B$62,AI114+AH115-AQ114)))</f>
        <v>312.59999999999991</v>
      </c>
      <c r="AJ115" s="14">
        <f>AI115*VLOOKUP('Données projet'!$B$10,Paramètres!$A$1:$I$89,3,0)*VLOOKUP('Données projet'!$B$10,Paramètres!$A$1:$I$89,5,0)</f>
        <v>263.33423999999997</v>
      </c>
      <c r="AK115" s="14">
        <f t="shared" si="89"/>
        <v>63.432575244281175</v>
      </c>
      <c r="AL115" s="22">
        <f t="shared" si="58"/>
        <v>569.11886988378967</v>
      </c>
      <c r="AM115" s="62">
        <f t="shared" si="59"/>
        <v>849.54018129936048</v>
      </c>
      <c r="AN115" s="62">
        <f ca="1">AVERAGE(OFFSET($AM$3,0,0,'Données projet'!$E$10+1,1))-AVERAGE(OFFSET($H$3,0,0,'Données projet'!$E$10+1,1))</f>
        <v>445.02659128831181</v>
      </c>
      <c r="AO115" s="62">
        <f t="shared" si="90"/>
        <v>281.06176764290592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0.92008963441414315</v>
      </c>
      <c r="AV115" s="23">
        <f>EXP(-LN(2)/25)*AV114+(1-EXP(-LN(2)/25))/(LN(2)/25)*Calculateur!AQ115*Calculateur!AS115*VLOOKUP('Données projet'!$B$10,Paramètres!$A$1:$I$89,3,0)*0.475*44/12</f>
        <v>0.11497415106793532</v>
      </c>
      <c r="AW115" s="23">
        <f>EXP(-LN(2)/2)*AW114+(1-EXP(-LN(2)/2))/(LN(2)/2)*AQ115*AT115*VLOOKUP('Données projet'!$B$10,Paramètres!$A$1:$I$89,3,0)*0.475*44/12</f>
        <v>8.5697999213033E-12</v>
      </c>
      <c r="AX115" s="23">
        <f t="shared" si="60"/>
        <v>1.0350637854906484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2.8</v>
      </c>
      <c r="BD115" s="13">
        <f>IF('Données projet'!$A$88&gt;35,BD114+BC115-BL114,IF(A115&lt;'Données projet'!$A$88,$BA$205^A115,IF(A115='Données projet'!$A$88,'Données projet'!$B$88,BD114+BC115-BL114)))</f>
        <v>312.59999999999991</v>
      </c>
      <c r="BE115" s="14">
        <f>BD115*VLOOKUP('Données projet'!$B$11,Paramètres!$A$1:$I$89,3,0)*VLOOKUP('Données projet'!$B$11,Paramètres!$A$1:$I$89,5,0)</f>
        <v>282.8404799999999</v>
      </c>
      <c r="BF115" s="14">
        <f t="shared" si="91"/>
        <v>67.56693087921127</v>
      </c>
      <c r="BG115" s="22">
        <f t="shared" si="61"/>
        <v>610.29290728129274</v>
      </c>
      <c r="BH115" s="62">
        <f t="shared" si="62"/>
        <v>890.71421869686355</v>
      </c>
      <c r="BI115" s="62">
        <f ca="1">AVERAGE(OFFSET($BH$3,0,0,'Données projet'!$E$11+1,1))-AVERAGE(OFFSET($H$3,0,0,'Données projet'!$E$11+1,1))</f>
        <v>472.46893084347687</v>
      </c>
      <c r="BJ115" s="62">
        <f t="shared" si="92"/>
        <v>297.32483725004136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0.98824442214852415</v>
      </c>
      <c r="BQ115" s="23">
        <f>EXP(-LN(2)/25)*BQ114+(1-EXP(-LN(2)/25))/(LN(2)/25)*Calculateur!BL115*Calculateur!BN115*VLOOKUP('Données projet'!$B$11,Paramètres!$A$1:$I$89,3,0)*0.475*44/12</f>
        <v>0.12349075485074529</v>
      </c>
      <c r="BR115" s="23">
        <f>EXP(-LN(2)/2)*BR114+(1-EXP(-LN(2)/2))/(LN(2)/2)*BL115*BO115*VLOOKUP('Données projet'!$B$11,Paramètres!$A$1:$I$89,3,0)*0.475*44/12</f>
        <v>9.2045999154739115E-12</v>
      </c>
      <c r="BS115" s="24">
        <f t="shared" si="63"/>
        <v>1.111735177008474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-1.1368683772161603E-13</v>
      </c>
      <c r="BZ115" s="14">
        <f>BY115*VLOOKUP('Données projet'!$B$12,Paramètres!$A$1:$I$89,3,0)*VLOOKUP('Données projet'!$B$12,Paramètres!$A$1:$I$89,5,0)</f>
        <v>-5.3205440053716299E-14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426.87921482911719</v>
      </c>
      <c r="CE115" s="62">
        <f t="shared" si="94"/>
        <v>313.49594674441835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-1.1368683772161603E-13</v>
      </c>
      <c r="CU115" s="18">
        <f>CT115*VLOOKUP('Données projet'!$B$13,Paramètres!$A$1:$I$89,3,0)*VLOOKUP('Données projet'!$B$13,Paramètres!$A$1:$I$89,5,0)</f>
        <v>-6.7984728957526396E-14</v>
      </c>
      <c r="CV115" s="14" t="e">
        <f t="shared" si="95"/>
        <v>#NUM!</v>
      </c>
      <c r="CW115" s="22" t="e">
        <f t="shared" si="67"/>
        <v>#NUM!</v>
      </c>
      <c r="CX115" s="62" t="e">
        <f t="shared" si="68"/>
        <v>#NUM!</v>
      </c>
      <c r="CY115" s="62">
        <f ca="1">AVERAGE(OFFSET($CX$3,0,0,'Données projet'!$E$13+1,1))-AVERAGE(OFFSET($H$3,0,0,'Données projet'!$E$13+1,1))</f>
        <v>367.11994336501527</v>
      </c>
      <c r="CZ115" s="62">
        <f t="shared" si="96"/>
        <v>390.81417197867484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6.8302632086442632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2.0936104449853604E-12</v>
      </c>
      <c r="DI115" s="24">
        <f t="shared" si="69"/>
        <v>6.8302632086463566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1.9895196601282805E-13</v>
      </c>
      <c r="O116" s="14">
        <f>N116*VLOOKUP('Données projet'!$B$9,Paramètres!$A$1:$I$89,3,0)*VLOOKUP('Données projet'!$B$9,Paramètres!$A$1:$I$89,5,0)</f>
        <v>1.8001173884840681E-13</v>
      </c>
      <c r="P116" s="14">
        <f t="shared" si="87"/>
        <v>2.5254331426407198E-12</v>
      </c>
      <c r="Q116" s="22">
        <f t="shared" si="107"/>
        <v>4.7119831685935622E-12</v>
      </c>
      <c r="R116" s="62">
        <f t="shared" si="55"/>
        <v>280.64530612889234</v>
      </c>
      <c r="S116" s="62">
        <f ca="1">AVERAGE(OFFSET($R$3,0,0,'Données projet'!$E$9+1,1))-AVERAGE(OFFSET($H$3,0,0,'Données projet'!$E$9+1,1))</f>
        <v>312.43110610485337</v>
      </c>
      <c r="T116" s="62">
        <f t="shared" si="88"/>
        <v>442.54749157177571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0.10438121062771501</v>
      </c>
      <c r="AA116" s="23">
        <f>EXP(-LN(2)/25)*AA115+(1-EXP(-LN(2)/25))/(LN(2)/25)*Calculateur!V116*Calculateur!X116*VLOOKUP('Données projet'!$B$9,Paramètres!$A$1:$I$89,3,0)*0.475*44/12</f>
        <v>9.4275439795403634E-2</v>
      </c>
      <c r="AB116" s="23">
        <f>EXP(-LN(2)/2)*AB115+(1-EXP(-LN(2)/2))/(LN(2)/2)*V116*Y116*VLOOKUP('Données projet'!$B$9,Paramètres!$A$1:$I$89,3,0)*0.475*44/12</f>
        <v>1.2353060795311258E-12</v>
      </c>
      <c r="AC116" s="24">
        <f t="shared" si="57"/>
        <v>0.19865665042435396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2.8</v>
      </c>
      <c r="AI116" s="14">
        <f>IF('Données projet'!$A$62&gt;35,AI115+AH116-AQ115,IF(A116&lt;'Données projet'!$A$62,$AF$205^A116,IF(A116='Données projet'!$A$62,'Données projet'!$B$62,AI115+AH116-AQ115)))</f>
        <v>315.39999999999992</v>
      </c>
      <c r="AJ116" s="14">
        <f>AI116*VLOOKUP('Données projet'!$B$10,Paramètres!$A$1:$I$89,3,0)*VLOOKUP('Données projet'!$B$10,Paramètres!$A$1:$I$89,5,0)</f>
        <v>265.69295999999997</v>
      </c>
      <c r="AK116" s="14">
        <f t="shared" si="89"/>
        <v>63.934352995290837</v>
      </c>
      <c r="AL116" s="22">
        <f t="shared" si="58"/>
        <v>574.10090346679817</v>
      </c>
      <c r="AM116" s="62">
        <f t="shared" si="59"/>
        <v>854.74620959568574</v>
      </c>
      <c r="AN116" s="62">
        <f ca="1">AVERAGE(OFFSET($AM$3,0,0,'Données projet'!$E$10+1,1))-AVERAGE(OFFSET($H$3,0,0,'Données projet'!$E$10+1,1))</f>
        <v>445.02659128831181</v>
      </c>
      <c r="AO116" s="62">
        <f t="shared" si="90"/>
        <v>281.06176764290592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0.90204723788254493</v>
      </c>
      <c r="AV116" s="23">
        <f>EXP(-LN(2)/25)*AV115+(1-EXP(-LN(2)/25))/(LN(2)/25)*Calculateur!AQ116*Calculateur!AS116*VLOOKUP('Données projet'!$B$10,Paramètres!$A$1:$I$89,3,0)*0.475*44/12</f>
        <v>0.1118301768607548</v>
      </c>
      <c r="AW116" s="23">
        <f>EXP(-LN(2)/2)*AW115+(1-EXP(-LN(2)/2))/(LN(2)/2)*AQ116*AT116*VLOOKUP('Données projet'!$B$10,Paramètres!$A$1:$I$89,3,0)*0.475*44/12</f>
        <v>6.0597636377655049E-12</v>
      </c>
      <c r="AX116" s="23">
        <f t="shared" si="60"/>
        <v>1.0138774147493594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2.8</v>
      </c>
      <c r="BD116" s="13">
        <f>IF('Données projet'!$A$88&gt;35,BD115+BC116-BL115,IF(A116&lt;'Données projet'!$A$88,$BA$205^A116,IF(A116='Données projet'!$A$88,'Données projet'!$B$88,BD115+BC116-BL115)))</f>
        <v>315.39999999999992</v>
      </c>
      <c r="BE116" s="14">
        <f>BD116*VLOOKUP('Données projet'!$B$11,Paramètres!$A$1:$I$89,3,0)*VLOOKUP('Données projet'!$B$11,Paramètres!$A$1:$I$89,5,0)</f>
        <v>285.37391999999988</v>
      </c>
      <c r="BF116" s="14">
        <f t="shared" si="91"/>
        <v>68.101413083167643</v>
      </c>
      <c r="BG116" s="22">
        <f t="shared" si="61"/>
        <v>615.63620511985016</v>
      </c>
      <c r="BH116" s="62">
        <f t="shared" si="62"/>
        <v>896.28151124873784</v>
      </c>
      <c r="BI116" s="62">
        <f ca="1">AVERAGE(OFFSET($BH$3,0,0,'Données projet'!$E$11+1,1))-AVERAGE(OFFSET($H$3,0,0,'Données projet'!$E$11+1,1))</f>
        <v>472.46893084347687</v>
      </c>
      <c r="BJ116" s="62">
        <f t="shared" si="92"/>
        <v>297.32483725004136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0.96886555179977052</v>
      </c>
      <c r="BQ116" s="23">
        <f>EXP(-LN(2)/25)*BQ115+(1-EXP(-LN(2)/25))/(LN(2)/25)*Calculateur!BL116*Calculateur!BN116*VLOOKUP('Données projet'!$B$11,Paramètres!$A$1:$I$89,3,0)*0.475*44/12</f>
        <v>0.1201138936652551</v>
      </c>
      <c r="BR116" s="23">
        <f>EXP(-LN(2)/2)*BR115+(1-EXP(-LN(2)/2))/(LN(2)/2)*BL116*BO116*VLOOKUP('Données projet'!$B$11,Paramètres!$A$1:$I$89,3,0)*0.475*44/12</f>
        <v>6.5086350183407251E-12</v>
      </c>
      <c r="BS116" s="24">
        <f t="shared" si="63"/>
        <v>1.0889794454715342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-1.1368683772161603E-13</v>
      </c>
      <c r="BZ116" s="14">
        <f>BY116*VLOOKUP('Données projet'!$B$12,Paramètres!$A$1:$I$89,3,0)*VLOOKUP('Données projet'!$B$12,Paramètres!$A$1:$I$89,5,0)</f>
        <v>-5.3205440053716299E-14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426.87921482911719</v>
      </c>
      <c r="CE116" s="62">
        <f t="shared" si="94"/>
        <v>313.49594674441835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-1.1368683772161603E-13</v>
      </c>
      <c r="CU116" s="18">
        <f>CT116*VLOOKUP('Données projet'!$B$13,Paramètres!$A$1:$I$89,3,0)*VLOOKUP('Données projet'!$B$13,Paramètres!$A$1:$I$89,5,0)</f>
        <v>-6.7984728957526396E-14</v>
      </c>
      <c r="CV116" s="14" t="e">
        <f t="shared" si="95"/>
        <v>#NUM!</v>
      </c>
      <c r="CW116" s="22" t="e">
        <f t="shared" si="67"/>
        <v>#NUM!</v>
      </c>
      <c r="CX116" s="62" t="e">
        <f t="shared" si="68"/>
        <v>#NUM!</v>
      </c>
      <c r="CY116" s="62">
        <f ca="1">AVERAGE(OFFSET($CX$3,0,0,'Données projet'!$E$13+1,1))-AVERAGE(OFFSET($H$3,0,0,'Données projet'!$E$13+1,1))</f>
        <v>367.11994336501527</v>
      </c>
      <c r="CZ116" s="62">
        <f t="shared" si="96"/>
        <v>390.81417197867484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6.6963259131719433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1.4804061428121336E-12</v>
      </c>
      <c r="DI116" s="24">
        <f t="shared" si="69"/>
        <v>6.6963259131734238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1.9895196601282805E-13</v>
      </c>
      <c r="O117" s="14">
        <f>N117*VLOOKUP('Données projet'!$B$9,Paramètres!$A$1:$I$89,3,0)*VLOOKUP('Données projet'!$B$9,Paramètres!$A$1:$I$89,5,0)</f>
        <v>1.8001173884840681E-13</v>
      </c>
      <c r="P117" s="14">
        <f t="shared" si="87"/>
        <v>2.5254331426407198E-12</v>
      </c>
      <c r="Q117" s="22">
        <f t="shared" si="107"/>
        <v>4.7119831685935622E-12</v>
      </c>
      <c r="R117" s="62">
        <f t="shared" si="55"/>
        <v>280.86541503471017</v>
      </c>
      <c r="S117" s="62">
        <f ca="1">AVERAGE(OFFSET($R$3,0,0,'Données projet'!$E$9+1,1))-AVERAGE(OFFSET($H$3,0,0,'Données projet'!$E$9+1,1))</f>
        <v>312.43110610485337</v>
      </c>
      <c r="T117" s="62">
        <f t="shared" si="88"/>
        <v>442.54749157177571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0.10233435875355748</v>
      </c>
      <c r="AA117" s="23">
        <f>EXP(-LN(2)/25)*AA116+(1-EXP(-LN(2)/25))/(LN(2)/25)*Calculateur!V117*Calculateur!X117*VLOOKUP('Données projet'!$B$9,Paramètres!$A$1:$I$89,3,0)*0.475*44/12</f>
        <v>9.1697472936468419E-2</v>
      </c>
      <c r="AB117" s="23">
        <f>EXP(-LN(2)/2)*AB116+(1-EXP(-LN(2)/2))/(LN(2)/2)*V117*Y117*VLOOKUP('Données projet'!$B$9,Paramètres!$A$1:$I$89,3,0)*0.475*44/12</f>
        <v>8.7349330567742768E-13</v>
      </c>
      <c r="AC117" s="24">
        <f t="shared" si="57"/>
        <v>0.19403183169089941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2.8</v>
      </c>
      <c r="AI117" s="14">
        <f>IF('Données projet'!$A$62&gt;35,AI116+AH117-AQ116,IF(A117&lt;'Données projet'!$A$62,$AF$205^A117,IF(A117='Données projet'!$A$62,'Données projet'!$B$62,AI116+AH117-AQ116)))</f>
        <v>318.19999999999993</v>
      </c>
      <c r="AJ117" s="14">
        <f>AI117*VLOOKUP('Données projet'!$B$10,Paramètres!$A$1:$I$89,3,0)*VLOOKUP('Données projet'!$B$10,Paramètres!$A$1:$I$89,5,0)</f>
        <v>268.05167999999998</v>
      </c>
      <c r="AK117" s="14">
        <f t="shared" si="89"/>
        <v>64.435612492630426</v>
      </c>
      <c r="AL117" s="22">
        <f t="shared" si="58"/>
        <v>579.08203442466458</v>
      </c>
      <c r="AM117" s="62">
        <f t="shared" si="59"/>
        <v>859.94744945937009</v>
      </c>
      <c r="AN117" s="62">
        <f ca="1">AVERAGE(OFFSET($AM$3,0,0,'Données projet'!$E$10+1,1))-AVERAGE(OFFSET($H$3,0,0,'Données projet'!$E$10+1,1))</f>
        <v>445.02659128831181</v>
      </c>
      <c r="AO117" s="62">
        <f t="shared" si="90"/>
        <v>281.06176764290592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0.88435864174215617</v>
      </c>
      <c r="AV117" s="23">
        <f>EXP(-LN(2)/25)*AV116+(1-EXP(-LN(2)/25))/(LN(2)/25)*Calculateur!AQ117*Calculateur!AS117*VLOOKUP('Données projet'!$B$10,Paramètres!$A$1:$I$89,3,0)*0.475*44/12</f>
        <v>0.10877217479360406</v>
      </c>
      <c r="AW117" s="23">
        <f>EXP(-LN(2)/2)*AW116+(1-EXP(-LN(2)/2))/(LN(2)/2)*AQ117*AT117*VLOOKUP('Données projet'!$B$10,Paramètres!$A$1:$I$89,3,0)*0.475*44/12</f>
        <v>4.28489996065165E-12</v>
      </c>
      <c r="AX117" s="23">
        <f t="shared" si="60"/>
        <v>0.99313081654004509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2.8</v>
      </c>
      <c r="BD117" s="13">
        <f>IF('Données projet'!$A$88&gt;35,BD116+BC117-BL116,IF(A117&lt;'Données projet'!$A$88,$BA$205^A117,IF(A117='Données projet'!$A$88,'Données projet'!$B$88,BD116+BC117-BL116)))</f>
        <v>318.19999999999993</v>
      </c>
      <c r="BE117" s="14">
        <f>BD117*VLOOKUP('Données projet'!$B$11,Paramètres!$A$1:$I$89,3,0)*VLOOKUP('Données projet'!$B$11,Paramètres!$A$1:$I$89,5,0)</f>
        <v>287.90735999999993</v>
      </c>
      <c r="BF117" s="14">
        <f t="shared" si="91"/>
        <v>68.635343255147305</v>
      </c>
      <c r="BG117" s="22">
        <f t="shared" si="61"/>
        <v>620.97854150271473</v>
      </c>
      <c r="BH117" s="62">
        <f t="shared" si="62"/>
        <v>901.84395653742013</v>
      </c>
      <c r="BI117" s="62">
        <f ca="1">AVERAGE(OFFSET($BH$3,0,0,'Données projet'!$E$11+1,1))-AVERAGE(OFFSET($H$3,0,0,'Données projet'!$E$11+1,1))</f>
        <v>472.46893084347687</v>
      </c>
      <c r="BJ117" s="62">
        <f t="shared" si="92"/>
        <v>297.32483725004136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0.94986668927861218</v>
      </c>
      <c r="BQ117" s="23">
        <f>EXP(-LN(2)/25)*BQ116+(1-EXP(-LN(2)/25))/(LN(2)/25)*Calculateur!BL117*Calculateur!BN117*VLOOKUP('Données projet'!$B$11,Paramètres!$A$1:$I$89,3,0)*0.475*44/12</f>
        <v>0.11682937292646356</v>
      </c>
      <c r="BR117" s="23">
        <f>EXP(-LN(2)/2)*BR116+(1-EXP(-LN(2)/2))/(LN(2)/2)*BL117*BO117*VLOOKUP('Données projet'!$B$11,Paramètres!$A$1:$I$89,3,0)*0.475*44/12</f>
        <v>4.6022999577369558E-12</v>
      </c>
      <c r="BS117" s="24">
        <f t="shared" si="63"/>
        <v>1.0666960622096779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-1.1368683772161603E-13</v>
      </c>
      <c r="BZ117" s="14">
        <f>BY117*VLOOKUP('Données projet'!$B$12,Paramètres!$A$1:$I$89,3,0)*VLOOKUP('Données projet'!$B$12,Paramètres!$A$1:$I$89,5,0)</f>
        <v>-5.3205440053716299E-14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426.87921482911719</v>
      </c>
      <c r="CE117" s="62">
        <f t="shared" si="94"/>
        <v>313.49594674441835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-1.1368683772161603E-13</v>
      </c>
      <c r="CU117" s="18">
        <f>CT117*VLOOKUP('Données projet'!$B$13,Paramètres!$A$1:$I$89,3,0)*VLOOKUP('Données projet'!$B$13,Paramètres!$A$1:$I$89,5,0)</f>
        <v>-6.7984728957526396E-14</v>
      </c>
      <c r="CV117" s="14" t="e">
        <f t="shared" si="95"/>
        <v>#NUM!</v>
      </c>
      <c r="CW117" s="22" t="e">
        <f t="shared" si="67"/>
        <v>#NUM!</v>
      </c>
      <c r="CX117" s="62" t="e">
        <f t="shared" si="68"/>
        <v>#NUM!</v>
      </c>
      <c r="CY117" s="62">
        <f ca="1">AVERAGE(OFFSET($CX$3,0,0,'Données projet'!$E$13+1,1))-AVERAGE(OFFSET($H$3,0,0,'Données projet'!$E$13+1,1))</f>
        <v>367.11994336501527</v>
      </c>
      <c r="CZ117" s="62">
        <f t="shared" si="96"/>
        <v>390.81417197867484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6.565015046370152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1.0468052224926802E-12</v>
      </c>
      <c r="DI117" s="24">
        <f t="shared" si="69"/>
        <v>6.5650150463711991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1.9895196601282805E-13</v>
      </c>
      <c r="O118" s="14">
        <f>N118*VLOOKUP('Données projet'!$B$9,Paramètres!$A$1:$I$89,3,0)*VLOOKUP('Données projet'!$B$9,Paramètres!$A$1:$I$89,5,0)</f>
        <v>1.8001173884840681E-13</v>
      </c>
      <c r="P118" s="14">
        <f t="shared" si="87"/>
        <v>2.5254331426407198E-12</v>
      </c>
      <c r="Q118" s="22">
        <f t="shared" si="107"/>
        <v>4.7119831685935622E-12</v>
      </c>
      <c r="R118" s="62">
        <f t="shared" si="55"/>
        <v>281.08170554310198</v>
      </c>
      <c r="S118" s="62">
        <f ca="1">AVERAGE(OFFSET($R$3,0,0,'Données projet'!$E$9+1,1))-AVERAGE(OFFSET($H$3,0,0,'Données projet'!$E$9+1,1))</f>
        <v>312.43110610485337</v>
      </c>
      <c r="T118" s="62">
        <f t="shared" si="88"/>
        <v>442.54749157177571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0.10032764439619581</v>
      </c>
      <c r="AA118" s="23">
        <f>EXP(-LN(2)/25)*AA117+(1-EXP(-LN(2)/25))/(LN(2)/25)*Calculateur!V118*Calculateur!X118*VLOOKUP('Données projet'!$B$9,Paramètres!$A$1:$I$89,3,0)*0.475*44/12</f>
        <v>8.919000071686016E-2</v>
      </c>
      <c r="AB118" s="23">
        <f>EXP(-LN(2)/2)*AB117+(1-EXP(-LN(2)/2))/(LN(2)/2)*V118*Y118*VLOOKUP('Données projet'!$B$9,Paramètres!$A$1:$I$89,3,0)*0.475*44/12</f>
        <v>6.1765303976556291E-13</v>
      </c>
      <c r="AC118" s="24">
        <f t="shared" si="57"/>
        <v>0.18951764511367361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321</v>
      </c>
      <c r="AG118" s="13">
        <f>VLOOKUP(A118,'Données projet'!$A$61:$I$81,9,0)</f>
        <v>2.8</v>
      </c>
      <c r="AH118" s="13">
        <f t="array" ref="AH118">INDEX(AG:AG,MIN(IF(ISNUMBER(AG118:AG314),ROW(AG118:AG314),"")))</f>
        <v>2.8</v>
      </c>
      <c r="AI118" s="14">
        <f>IF('Données projet'!$A$62&gt;35,AI117+AH118-AQ117,IF(A118&lt;'Données projet'!$A$62,$AF$205^A118,IF(A118='Données projet'!$A$62,'Données projet'!$B$62,AI117+AH118-AQ117)))</f>
        <v>320.99999999999994</v>
      </c>
      <c r="AJ118" s="14">
        <f>AI118*VLOOKUP('Données projet'!$B$10,Paramètres!$A$1:$I$89,3,0)*VLOOKUP('Données projet'!$B$10,Paramètres!$A$1:$I$89,5,0)</f>
        <v>270.41039999999998</v>
      </c>
      <c r="AK118" s="14">
        <f t="shared" si="89"/>
        <v>64.936358825024399</v>
      </c>
      <c r="AL118" s="22">
        <f t="shared" si="58"/>
        <v>584.06227162025073</v>
      </c>
      <c r="AM118" s="62">
        <f t="shared" si="59"/>
        <v>865.14397716334793</v>
      </c>
      <c r="AN118" s="62">
        <f ca="1">AVERAGE(OFFSET($AM$3,0,0,'Données projet'!$E$10+1,1))-AVERAGE(OFFSET($H$3,0,0,'Données projet'!$E$10+1,1))</f>
        <v>445.02659128831181</v>
      </c>
      <c r="AO118" s="62">
        <f t="shared" si="90"/>
        <v>281.06176764290592</v>
      </c>
      <c r="AP118" s="16">
        <f>IF(ISNA(VLOOKUP(A118,'Données projet'!$A$61:$I$81,3,0)),0,VLOOKUP(A118,'Données projet'!$A$61:$I$81,3,0))</f>
        <v>20</v>
      </c>
      <c r="AQ118" s="16">
        <f>IF(ISNA(VLOOKUP(A118,'Données projet'!$A$61:$I$81,4,0)),0,VLOOKUP(A118,'Données projet'!$A$61:$I$81,4,0))</f>
        <v>321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0.86701690818310206</v>
      </c>
      <c r="AV118" s="23">
        <f>EXP(-LN(2)/25)*AV117+(1-EXP(-LN(2)/25))/(LN(2)/25)*Calculateur!AQ118*Calculateur!AS118*VLOOKUP('Données projet'!$B$10,Paramètres!$A$1:$I$89,3,0)*0.475*44/12</f>
        <v>0.10579779395379288</v>
      </c>
      <c r="AW118" s="23">
        <f>EXP(-LN(2)/2)*AW117+(1-EXP(-LN(2)/2))/(LN(2)/2)*AQ118*AT118*VLOOKUP('Données projet'!$B$10,Paramètres!$A$1:$I$89,3,0)*0.475*44/12</f>
        <v>3.0298818188827524E-12</v>
      </c>
      <c r="AX118" s="23">
        <f t="shared" si="60"/>
        <v>0.97281470213992483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>
        <f>VLOOKUP(A118,'Données projet'!$A$87:$I$107,2,0)</f>
        <v>321</v>
      </c>
      <c r="BB118" s="13">
        <f>VLOOKUP(A118,'Données projet'!$A$87:$I$107,9,0)</f>
        <v>2.8</v>
      </c>
      <c r="BC118" s="13">
        <f t="array" ref="BC118">INDEX(BB:BB,MIN(IF(ISNUMBER(BB118:BB314),ROW(BB118:BB314),"")))</f>
        <v>2.8</v>
      </c>
      <c r="BD118" s="13">
        <f>IF('Données projet'!$A$88&gt;35,BD117+BC118-BL117,IF(A118&lt;'Données projet'!$A$88,$BA$205^A118,IF(A118='Données projet'!$A$88,'Données projet'!$B$88,BD117+BC118-BL117)))</f>
        <v>320.99999999999994</v>
      </c>
      <c r="BE118" s="14">
        <f>BD118*VLOOKUP('Données projet'!$B$11,Paramètres!$A$1:$I$89,3,0)*VLOOKUP('Données projet'!$B$11,Paramètres!$A$1:$I$89,5,0)</f>
        <v>290.44079999999991</v>
      </c>
      <c r="BF118" s="14">
        <f t="shared" si="91"/>
        <v>69.168726815543309</v>
      </c>
      <c r="BG118" s="22">
        <f t="shared" si="61"/>
        <v>626.31992587040452</v>
      </c>
      <c r="BH118" s="62">
        <f t="shared" si="62"/>
        <v>907.40163141350172</v>
      </c>
      <c r="BI118" s="62">
        <f ca="1">AVERAGE(OFFSET($BH$3,0,0,'Données projet'!$E$11+1,1))-AVERAGE(OFFSET($H$3,0,0,'Données projet'!$E$11+1,1))</f>
        <v>472.46893084347687</v>
      </c>
      <c r="BJ118" s="62">
        <f t="shared" si="92"/>
        <v>297.32483725004136</v>
      </c>
      <c r="BK118" s="16">
        <f>IF(ISNA(VLOOKUP(A118,'Données projet'!$A$87:$I$107,3,0)),0,VLOOKUP(A118,'Données projet'!$A$87:$I$107,3,0))</f>
        <v>20</v>
      </c>
      <c r="BL118" s="16">
        <f>IF(ISNA(VLOOKUP(A118,'Données projet'!$A$87:$I$107,4,0)),0,VLOOKUP(A118,'Données projet'!$A$87:$I$107,4,0))</f>
        <v>321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0.93124038286333188</v>
      </c>
      <c r="BQ118" s="23">
        <f>EXP(-LN(2)/25)*BQ117+(1-EXP(-LN(2)/25))/(LN(2)/25)*Calculateur!BL118*Calculateur!BN118*VLOOKUP('Données projet'!$B$11,Paramètres!$A$1:$I$89,3,0)*0.475*44/12</f>
        <v>0.11363466757999971</v>
      </c>
      <c r="BR118" s="23">
        <f>EXP(-LN(2)/2)*BR117+(1-EXP(-LN(2)/2))/(LN(2)/2)*BL118*BO118*VLOOKUP('Données projet'!$B$11,Paramètres!$A$1:$I$89,3,0)*0.475*44/12</f>
        <v>3.2543175091703626E-12</v>
      </c>
      <c r="BS118" s="24">
        <f t="shared" si="63"/>
        <v>1.0448750504465858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-1.1368683772161603E-13</v>
      </c>
      <c r="BZ118" s="14">
        <f>BY118*VLOOKUP('Données projet'!$B$12,Paramètres!$A$1:$I$89,3,0)*VLOOKUP('Données projet'!$B$12,Paramètres!$A$1:$I$89,5,0)</f>
        <v>-5.3205440053716299E-14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426.87921482911719</v>
      </c>
      <c r="CE118" s="62">
        <f t="shared" si="94"/>
        <v>313.49594674441835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-1.1368683772161603E-13</v>
      </c>
      <c r="CU118" s="18">
        <f>CT118*VLOOKUP('Données projet'!$B$13,Paramètres!$A$1:$I$89,3,0)*VLOOKUP('Données projet'!$B$13,Paramètres!$A$1:$I$89,5,0)</f>
        <v>-6.7984728957526396E-14</v>
      </c>
      <c r="CV118" s="14" t="e">
        <f t="shared" si="95"/>
        <v>#NUM!</v>
      </c>
      <c r="CW118" s="22" t="e">
        <f t="shared" si="67"/>
        <v>#NUM!</v>
      </c>
      <c r="CX118" s="62" t="e">
        <f t="shared" si="68"/>
        <v>#NUM!</v>
      </c>
      <c r="CY118" s="62">
        <f ca="1">AVERAGE(OFFSET($CX$3,0,0,'Données projet'!$E$13+1,1))-AVERAGE(OFFSET($H$3,0,0,'Données projet'!$E$13+1,1))</f>
        <v>367.11994336501527</v>
      </c>
      <c r="CZ118" s="62">
        <f t="shared" si="96"/>
        <v>390.81417197867484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6.4362791055746236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7.4020307140606682E-13</v>
      </c>
      <c r="DI118" s="24">
        <f t="shared" si="69"/>
        <v>6.4362791055753634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1.9895196601282805E-13</v>
      </c>
      <c r="O119" s="14">
        <f>N119*VLOOKUP('Données projet'!$B$9,Paramètres!$A$1:$I$89,3,0)*VLOOKUP('Données projet'!$B$9,Paramètres!$A$1:$I$89,5,0)</f>
        <v>1.8001173884840681E-13</v>
      </c>
      <c r="P119" s="14">
        <f t="shared" si="87"/>
        <v>2.5254331426407198E-12</v>
      </c>
      <c r="Q119" s="22">
        <f t="shared" si="107"/>
        <v>4.7119831685935622E-12</v>
      </c>
      <c r="R119" s="62">
        <f t="shared" si="55"/>
        <v>281.29424389472621</v>
      </c>
      <c r="S119" s="62">
        <f ca="1">AVERAGE(OFFSET($R$3,0,0,'Données projet'!$E$9+1,1))-AVERAGE(OFFSET($H$3,0,0,'Données projet'!$E$9+1,1))</f>
        <v>312.43110610485337</v>
      </c>
      <c r="T119" s="62">
        <f t="shared" si="88"/>
        <v>442.54749157177571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9.83602804834071E-2</v>
      </c>
      <c r="AA119" s="23">
        <f>EXP(-LN(2)/25)*AA118+(1-EXP(-LN(2)/25))/(LN(2)/25)*Calculateur!V119*Calculateur!X119*VLOOKUP('Données projet'!$B$9,Paramètres!$A$1:$I$89,3,0)*0.475*44/12</f>
        <v>8.6751095456959332E-2</v>
      </c>
      <c r="AB119" s="23">
        <f>EXP(-LN(2)/2)*AB118+(1-EXP(-LN(2)/2))/(LN(2)/2)*V119*Y119*VLOOKUP('Données projet'!$B$9,Paramètres!$A$1:$I$89,3,0)*0.475*44/12</f>
        <v>4.3674665283871384E-13</v>
      </c>
      <c r="AC119" s="24">
        <f t="shared" si="57"/>
        <v>0.18511137594080315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-5.6843418860808015E-14</v>
      </c>
      <c r="AJ119" s="14">
        <f>AI119*VLOOKUP('Données projet'!$B$10,Paramètres!$A$1:$I$89,3,0)*VLOOKUP('Données projet'!$B$10,Paramètres!$A$1:$I$89,5,0)</f>
        <v>-4.7884896048344674E-14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445.02659128831181</v>
      </c>
      <c r="AO119" s="62">
        <f t="shared" si="90"/>
        <v>281.06176764290592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0.85001523544172797</v>
      </c>
      <c r="AV119" s="23">
        <f>EXP(-LN(2)/25)*AV118+(1-EXP(-LN(2)/25))/(LN(2)/25)*Calculateur!AQ119*Calculateur!AS119*VLOOKUP('Données projet'!$B$10,Paramètres!$A$1:$I$89,3,0)*0.475*44/12</f>
        <v>0.10290474771446223</v>
      </c>
      <c r="AW119" s="23">
        <f>EXP(-LN(2)/2)*AW118+(1-EXP(-LN(2)/2))/(LN(2)/2)*AQ119*AT119*VLOOKUP('Données projet'!$B$10,Paramètres!$A$1:$I$89,3,0)*0.475*44/12</f>
        <v>2.142449980325825E-12</v>
      </c>
      <c r="AX119" s="23">
        <f t="shared" si="60"/>
        <v>0.9529199831583326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-5.6843418860808015E-14</v>
      </c>
      <c r="BE119" s="14">
        <f>BD119*VLOOKUP('Données projet'!$B$11,Paramètres!$A$1:$I$89,3,0)*VLOOKUP('Données projet'!$B$11,Paramètres!$A$1:$I$89,5,0)</f>
        <v>-5.1431925385259088E-14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472.46893084347687</v>
      </c>
      <c r="BJ119" s="62">
        <f t="shared" si="92"/>
        <v>297.32483725004136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0.91297932695593009</v>
      </c>
      <c r="BQ119" s="23">
        <f>EXP(-LN(2)/25)*BQ118+(1-EXP(-LN(2)/25))/(LN(2)/25)*Calculateur!BL119*Calculateur!BN119*VLOOKUP('Données projet'!$B$11,Paramètres!$A$1:$I$89,3,0)*0.475*44/12</f>
        <v>0.11052732161923716</v>
      </c>
      <c r="BR119" s="23">
        <f>EXP(-LN(2)/2)*BR118+(1-EXP(-LN(2)/2))/(LN(2)/2)*BL119*BO119*VLOOKUP('Données projet'!$B$11,Paramètres!$A$1:$I$89,3,0)*0.475*44/12</f>
        <v>2.3011499788684779E-12</v>
      </c>
      <c r="BS119" s="24">
        <f t="shared" si="63"/>
        <v>1.0235066485774682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-1.1368683772161603E-13</v>
      </c>
      <c r="BZ119" s="14">
        <f>BY119*VLOOKUP('Données projet'!$B$12,Paramètres!$A$1:$I$89,3,0)*VLOOKUP('Données projet'!$B$12,Paramètres!$A$1:$I$89,5,0)</f>
        <v>-5.3205440053716299E-14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426.87921482911719</v>
      </c>
      <c r="CE119" s="62">
        <f t="shared" si="94"/>
        <v>313.49594674441835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-1.1368683772161603E-13</v>
      </c>
      <c r="CU119" s="18">
        <f>CT119*VLOOKUP('Données projet'!$B$13,Paramètres!$A$1:$I$89,3,0)*VLOOKUP('Données projet'!$B$13,Paramètres!$A$1:$I$89,5,0)</f>
        <v>-6.7984728957526396E-14</v>
      </c>
      <c r="CV119" s="14" t="e">
        <f t="shared" si="95"/>
        <v>#NUM!</v>
      </c>
      <c r="CW119" s="22" t="e">
        <f t="shared" si="67"/>
        <v>#NUM!</v>
      </c>
      <c r="CX119" s="62" t="e">
        <f t="shared" si="68"/>
        <v>#NUM!</v>
      </c>
      <c r="CY119" s="62">
        <f ca="1">AVERAGE(OFFSET($CX$3,0,0,'Données projet'!$E$13+1,1))-AVERAGE(OFFSET($H$3,0,0,'Données projet'!$E$13+1,1))</f>
        <v>367.11994336501527</v>
      </c>
      <c r="CZ119" s="62">
        <f t="shared" si="96"/>
        <v>390.81417197867484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6.310067598056925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5.2340261124634009E-13</v>
      </c>
      <c r="DI119" s="24">
        <f t="shared" si="69"/>
        <v>6.3100675980574481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1.9895196601282805E-13</v>
      </c>
      <c r="O120" s="14">
        <f>N120*VLOOKUP('Données projet'!$B$9,Paramètres!$A$1:$I$89,3,0)*VLOOKUP('Données projet'!$B$9,Paramètres!$A$1:$I$89,5,0)</f>
        <v>1.8001173884840681E-13</v>
      </c>
      <c r="P120" s="14">
        <f t="shared" si="87"/>
        <v>2.5254331426407198E-12</v>
      </c>
      <c r="Q120" s="22">
        <f t="shared" si="107"/>
        <v>4.7119831685935622E-12</v>
      </c>
      <c r="R120" s="62">
        <f t="shared" si="55"/>
        <v>281.50309518111436</v>
      </c>
      <c r="S120" s="62">
        <f ca="1">AVERAGE(OFFSET($R$3,0,0,'Données projet'!$E$9+1,1))-AVERAGE(OFFSET($H$3,0,0,'Données projet'!$E$9+1,1))</f>
        <v>312.43110610485337</v>
      </c>
      <c r="T120" s="62">
        <f t="shared" si="88"/>
        <v>442.54749157177571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9.643149537697468E-2</v>
      </c>
      <c r="AA120" s="23">
        <f>EXP(-LN(2)/25)*AA119+(1-EXP(-LN(2)/25))/(LN(2)/25)*Calculateur!V120*Calculateur!X120*VLOOKUP('Données projet'!$B$9,Paramètres!$A$1:$I$89,3,0)*0.475*44/12</f>
        <v>8.4378882189646939E-2</v>
      </c>
      <c r="AB120" s="23">
        <f>EXP(-LN(2)/2)*AB119+(1-EXP(-LN(2)/2))/(LN(2)/2)*V120*Y120*VLOOKUP('Données projet'!$B$9,Paramètres!$A$1:$I$89,3,0)*0.475*44/12</f>
        <v>3.0882651988278146E-13</v>
      </c>
      <c r="AC120" s="24">
        <f t="shared" si="57"/>
        <v>0.18081037756693044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-5.6843418860808015E-14</v>
      </c>
      <c r="AJ120" s="14">
        <f>AI120*VLOOKUP('Données projet'!$B$10,Paramètres!$A$1:$I$89,3,0)*VLOOKUP('Données projet'!$B$10,Paramètres!$A$1:$I$89,5,0)</f>
        <v>-4.7884896048344674E-14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445.02659128831181</v>
      </c>
      <c r="AO120" s="62">
        <f t="shared" si="90"/>
        <v>281.06176764290592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0.83334695513281587</v>
      </c>
      <c r="AV120" s="23">
        <f>EXP(-LN(2)/25)*AV119+(1-EXP(-LN(2)/25))/(LN(2)/25)*Calculateur!AQ120*Calculateur!AS120*VLOOKUP('Données projet'!$B$10,Paramètres!$A$1:$I$89,3,0)*0.475*44/12</f>
        <v>0.10009081197668478</v>
      </c>
      <c r="AW120" s="23">
        <f>EXP(-LN(2)/2)*AW119+(1-EXP(-LN(2)/2))/(LN(2)/2)*AQ120*AT120*VLOOKUP('Données projet'!$B$10,Paramètres!$A$1:$I$89,3,0)*0.475*44/12</f>
        <v>1.5149409094413762E-12</v>
      </c>
      <c r="AX120" s="23">
        <f t="shared" si="60"/>
        <v>0.93343776711101556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-5.6843418860808015E-14</v>
      </c>
      <c r="BE120" s="14">
        <f>BD120*VLOOKUP('Données projet'!$B$11,Paramètres!$A$1:$I$89,3,0)*VLOOKUP('Données projet'!$B$11,Paramètres!$A$1:$I$89,5,0)</f>
        <v>-5.1431925385259088E-14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472.46893084347687</v>
      </c>
      <c r="BJ120" s="62">
        <f t="shared" si="92"/>
        <v>297.32483725004136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0.89507635921672812</v>
      </c>
      <c r="BQ120" s="23">
        <f>EXP(-LN(2)/25)*BQ119+(1-EXP(-LN(2)/25))/(LN(2)/25)*Calculateur!BL120*Calculateur!BN120*VLOOKUP('Données projet'!$B$11,Paramètres!$A$1:$I$89,3,0)*0.475*44/12</f>
        <v>0.10750494619717989</v>
      </c>
      <c r="BR120" s="23">
        <f>EXP(-LN(2)/2)*BR119+(1-EXP(-LN(2)/2))/(LN(2)/2)*BL120*BO120*VLOOKUP('Données projet'!$B$11,Paramètres!$A$1:$I$89,3,0)*0.475*44/12</f>
        <v>1.6271587545851813E-12</v>
      </c>
      <c r="BS120" s="24">
        <f t="shared" si="63"/>
        <v>1.0025813054155353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-1.1368683772161603E-13</v>
      </c>
      <c r="BZ120" s="14">
        <f>BY120*VLOOKUP('Données projet'!$B$12,Paramètres!$A$1:$I$89,3,0)*VLOOKUP('Données projet'!$B$12,Paramètres!$A$1:$I$89,5,0)</f>
        <v>-5.3205440053716299E-14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426.87921482911719</v>
      </c>
      <c r="CE120" s="62">
        <f t="shared" si="94"/>
        <v>313.49594674441835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-1.1368683772161603E-13</v>
      </c>
      <c r="CU120" s="18">
        <f>CT120*VLOOKUP('Données projet'!$B$13,Paramètres!$A$1:$I$89,3,0)*VLOOKUP('Données projet'!$B$13,Paramètres!$A$1:$I$89,5,0)</f>
        <v>-6.7984728957526396E-14</v>
      </c>
      <c r="CV120" s="14" t="e">
        <f t="shared" si="95"/>
        <v>#NUM!</v>
      </c>
      <c r="CW120" s="22" t="e">
        <f t="shared" si="67"/>
        <v>#NUM!</v>
      </c>
      <c r="CX120" s="62" t="e">
        <f t="shared" si="68"/>
        <v>#NUM!</v>
      </c>
      <c r="CY120" s="62">
        <f ca="1">AVERAGE(OFFSET($CX$3,0,0,'Données projet'!$E$13+1,1))-AVERAGE(OFFSET($H$3,0,0,'Données projet'!$E$13+1,1))</f>
        <v>367.11994336501527</v>
      </c>
      <c r="CZ120" s="62">
        <f t="shared" si="96"/>
        <v>390.81417197867484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6.18633102122023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3.7010153570303341E-13</v>
      </c>
      <c r="DI120" s="24">
        <f t="shared" si="69"/>
        <v>6.1863310212206004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1.9895196601282805E-13</v>
      </c>
      <c r="O121" s="14">
        <f>N121*VLOOKUP('Données projet'!$B$9,Paramètres!$A$1:$I$89,3,0)*VLOOKUP('Données projet'!$B$9,Paramètres!$A$1:$I$89,5,0)</f>
        <v>1.8001173884840681E-13</v>
      </c>
      <c r="P121" s="14">
        <f t="shared" si="87"/>
        <v>2.5254331426407198E-12</v>
      </c>
      <c r="Q121" s="22">
        <f t="shared" si="107"/>
        <v>4.7119831685935622E-12</v>
      </c>
      <c r="R121" s="62">
        <f t="shared" si="55"/>
        <v>281.70832336460512</v>
      </c>
      <c r="S121" s="62">
        <f ca="1">AVERAGE(OFFSET($R$3,0,0,'Données projet'!$E$9+1,1))-AVERAGE(OFFSET($H$3,0,0,'Données projet'!$E$9+1,1))</f>
        <v>312.43110610485337</v>
      </c>
      <c r="T121" s="62">
        <f t="shared" si="88"/>
        <v>442.54749157177571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9.4540532570036653E-2</v>
      </c>
      <c r="AA121" s="23">
        <f>EXP(-LN(2)/25)*AA120+(1-EXP(-LN(2)/25))/(LN(2)/25)*Calculateur!V121*Calculateur!X121*VLOOKUP('Données projet'!$B$9,Paramètres!$A$1:$I$89,3,0)*0.475*44/12</f>
        <v>8.2071537218878485E-2</v>
      </c>
      <c r="AB121" s="23">
        <f>EXP(-LN(2)/2)*AB120+(1-EXP(-LN(2)/2))/(LN(2)/2)*V121*Y121*VLOOKUP('Données projet'!$B$9,Paramètres!$A$1:$I$89,3,0)*0.475*44/12</f>
        <v>2.1837332641935692E-13</v>
      </c>
      <c r="AC121" s="24">
        <f t="shared" si="57"/>
        <v>0.17661206978913352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-5.6843418860808015E-14</v>
      </c>
      <c r="AJ121" s="14">
        <f>AI121*VLOOKUP('Données projet'!$B$10,Paramètres!$A$1:$I$89,3,0)*VLOOKUP('Données projet'!$B$10,Paramètres!$A$1:$I$89,5,0)</f>
        <v>-4.7884896048344674E-14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445.02659128831181</v>
      </c>
      <c r="AO121" s="62">
        <f t="shared" si="90"/>
        <v>281.06176764290592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0.81700552963411432</v>
      </c>
      <c r="AV121" s="23">
        <f>EXP(-LN(2)/25)*AV120+(1-EXP(-LN(2)/25))/(LN(2)/25)*Calculateur!AQ121*Calculateur!AS121*VLOOKUP('Données projet'!$B$10,Paramètres!$A$1:$I$89,3,0)*0.475*44/12</f>
        <v>9.7353823459635294E-2</v>
      </c>
      <c r="AW121" s="23">
        <f>EXP(-LN(2)/2)*AW120+(1-EXP(-LN(2)/2))/(LN(2)/2)*AQ121*AT121*VLOOKUP('Données projet'!$B$10,Paramètres!$A$1:$I$89,3,0)*0.475*44/12</f>
        <v>1.0712249901629125E-12</v>
      </c>
      <c r="AX121" s="23">
        <f t="shared" si="60"/>
        <v>0.91435935309482086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-5.6843418860808015E-14</v>
      </c>
      <c r="BE121" s="14">
        <f>BD121*VLOOKUP('Données projet'!$B$11,Paramètres!$A$1:$I$89,3,0)*VLOOKUP('Données projet'!$B$11,Paramètres!$A$1:$I$89,5,0)</f>
        <v>-5.1431925385259088E-14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472.46893084347687</v>
      </c>
      <c r="BJ121" s="62">
        <f t="shared" si="92"/>
        <v>297.32483725004136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0.87752445775515986</v>
      </c>
      <c r="BQ121" s="23">
        <f>EXP(-LN(2)/25)*BQ120+(1-EXP(-LN(2)/25))/(LN(2)/25)*Calculateur!BL121*Calculateur!BN121*VLOOKUP('Données projet'!$B$11,Paramètres!$A$1:$I$89,3,0)*0.475*44/12</f>
        <v>0.10456521778997858</v>
      </c>
      <c r="BR121" s="23">
        <f>EXP(-LN(2)/2)*BR120+(1-EXP(-LN(2)/2))/(LN(2)/2)*BL121*BO121*VLOOKUP('Données projet'!$B$11,Paramètres!$A$1:$I$89,3,0)*0.475*44/12</f>
        <v>1.1505749894342389E-12</v>
      </c>
      <c r="BS121" s="24">
        <f t="shared" si="63"/>
        <v>0.98208967554628901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-1.1368683772161603E-13</v>
      </c>
      <c r="BZ121" s="14">
        <f>BY121*VLOOKUP('Données projet'!$B$12,Paramètres!$A$1:$I$89,3,0)*VLOOKUP('Données projet'!$B$12,Paramètres!$A$1:$I$89,5,0)</f>
        <v>-5.3205440053716299E-14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426.87921482911719</v>
      </c>
      <c r="CE121" s="62">
        <f t="shared" si="94"/>
        <v>313.49594674441835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-1.1368683772161603E-13</v>
      </c>
      <c r="CU121" s="18">
        <f>CT121*VLOOKUP('Données projet'!$B$13,Paramètres!$A$1:$I$89,3,0)*VLOOKUP('Données projet'!$B$13,Paramètres!$A$1:$I$89,5,0)</f>
        <v>-6.7984728957526396E-14</v>
      </c>
      <c r="CV121" s="14" t="e">
        <f t="shared" si="95"/>
        <v>#NUM!</v>
      </c>
      <c r="CW121" s="22" t="e">
        <f t="shared" si="67"/>
        <v>#NUM!</v>
      </c>
      <c r="CX121" s="62" t="e">
        <f t="shared" si="68"/>
        <v>#NUM!</v>
      </c>
      <c r="CY121" s="62">
        <f ca="1">AVERAGE(OFFSET($CX$3,0,0,'Données projet'!$E$13+1,1))-AVERAGE(OFFSET($H$3,0,0,'Données projet'!$E$13+1,1))</f>
        <v>367.11994336501527</v>
      </c>
      <c r="CZ121" s="62">
        <f t="shared" si="96"/>
        <v>390.81417197867484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6.0650208431834427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2.6170130562317005E-13</v>
      </c>
      <c r="DI121" s="24">
        <f t="shared" si="69"/>
        <v>6.0650208431837047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1.9895196601282805E-13</v>
      </c>
      <c r="O122" s="14">
        <f>N122*VLOOKUP('Données projet'!$B$9,Paramètres!$A$1:$I$89,3,0)*VLOOKUP('Données projet'!$B$9,Paramètres!$A$1:$I$89,5,0)</f>
        <v>1.8001173884840681E-13</v>
      </c>
      <c r="P122" s="14">
        <f t="shared" si="87"/>
        <v>2.5254331426407198E-12</v>
      </c>
      <c r="Q122" s="22">
        <f t="shared" si="107"/>
        <v>4.7119831685935622E-12</v>
      </c>
      <c r="R122" s="62">
        <f t="shared" si="55"/>
        <v>281.90999129793386</v>
      </c>
      <c r="S122" s="62">
        <f ca="1">AVERAGE(OFFSET($R$3,0,0,'Données projet'!$E$9+1,1))-AVERAGE(OFFSET($H$3,0,0,'Données projet'!$E$9+1,1))</f>
        <v>312.43110610485337</v>
      </c>
      <c r="T122" s="62">
        <f t="shared" si="88"/>
        <v>442.54749157177571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9.2686650390369246E-2</v>
      </c>
      <c r="AA122" s="23">
        <f>EXP(-LN(2)/25)*AA121+(1-EXP(-LN(2)/25))/(LN(2)/25)*Calculateur!V122*Calculateur!X122*VLOOKUP('Données projet'!$B$9,Paramètres!$A$1:$I$89,3,0)*0.475*44/12</f>
        <v>7.9827286717673682E-2</v>
      </c>
      <c r="AB122" s="23">
        <f>EXP(-LN(2)/2)*AB121+(1-EXP(-LN(2)/2))/(LN(2)/2)*V122*Y122*VLOOKUP('Données projet'!$B$9,Paramètres!$A$1:$I$89,3,0)*0.475*44/12</f>
        <v>1.5441325994139073E-13</v>
      </c>
      <c r="AC122" s="24">
        <f t="shared" si="57"/>
        <v>0.17251393710819732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-5.6843418860808015E-14</v>
      </c>
      <c r="AJ122" s="14">
        <f>AI122*VLOOKUP('Données projet'!$B$10,Paramètres!$A$1:$I$89,3,0)*VLOOKUP('Données projet'!$B$10,Paramètres!$A$1:$I$89,5,0)</f>
        <v>-4.7884896048344674E-14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445.02659128831181</v>
      </c>
      <c r="AO122" s="62">
        <f t="shared" si="90"/>
        <v>281.06176764290592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0.80098454952215703</v>
      </c>
      <c r="AV122" s="23">
        <f>EXP(-LN(2)/25)*AV121+(1-EXP(-LN(2)/25))/(LN(2)/25)*Calculateur!AQ122*Calculateur!AS122*VLOOKUP('Données projet'!$B$10,Paramètres!$A$1:$I$89,3,0)*0.475*44/12</f>
        <v>9.4691678037516491E-2</v>
      </c>
      <c r="AW122" s="23">
        <f>EXP(-LN(2)/2)*AW121+(1-EXP(-LN(2)/2))/(LN(2)/2)*AQ122*AT122*VLOOKUP('Données projet'!$B$10,Paramètres!$A$1:$I$89,3,0)*0.475*44/12</f>
        <v>7.5747045472068811E-13</v>
      </c>
      <c r="AX122" s="23">
        <f t="shared" si="60"/>
        <v>0.89567622756043097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-5.6843418860808015E-14</v>
      </c>
      <c r="BE122" s="14">
        <f>BD122*VLOOKUP('Données projet'!$B$11,Paramètres!$A$1:$I$89,3,0)*VLOOKUP('Données projet'!$B$11,Paramètres!$A$1:$I$89,5,0)</f>
        <v>-5.1431925385259088E-14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472.46893084347687</v>
      </c>
      <c r="BJ122" s="62">
        <f t="shared" si="92"/>
        <v>297.32483725004136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0.86031673837565015</v>
      </c>
      <c r="BQ122" s="23">
        <f>EXP(-LN(2)/25)*BQ121+(1-EXP(-LN(2)/25))/(LN(2)/25)*Calculateur!BL122*Calculateur!BN122*VLOOKUP('Données projet'!$B$11,Paramètres!$A$1:$I$89,3,0)*0.475*44/12</f>
        <v>0.10170587641066581</v>
      </c>
      <c r="BR122" s="23">
        <f>EXP(-LN(2)/2)*BR121+(1-EXP(-LN(2)/2))/(LN(2)/2)*BL122*BO122*VLOOKUP('Données projet'!$B$11,Paramètres!$A$1:$I$89,3,0)*0.475*44/12</f>
        <v>8.1357937729259064E-13</v>
      </c>
      <c r="BS122" s="24">
        <f t="shared" si="63"/>
        <v>0.96202261478712958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-1.1368683772161603E-13</v>
      </c>
      <c r="BZ122" s="14">
        <f>BY122*VLOOKUP('Données projet'!$B$12,Paramètres!$A$1:$I$89,3,0)*VLOOKUP('Données projet'!$B$12,Paramètres!$A$1:$I$89,5,0)</f>
        <v>-5.3205440053716299E-14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426.87921482911719</v>
      </c>
      <c r="CE122" s="62">
        <f t="shared" si="94"/>
        <v>313.49594674441835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-1.1368683772161603E-13</v>
      </c>
      <c r="CU122" s="18">
        <f>CT122*VLOOKUP('Données projet'!$B$13,Paramètres!$A$1:$I$89,3,0)*VLOOKUP('Données projet'!$B$13,Paramètres!$A$1:$I$89,5,0)</f>
        <v>-6.7984728957526396E-14</v>
      </c>
      <c r="CV122" s="14" t="e">
        <f t="shared" si="95"/>
        <v>#NUM!</v>
      </c>
      <c r="CW122" s="22" t="e">
        <f t="shared" si="67"/>
        <v>#NUM!</v>
      </c>
      <c r="CX122" s="62" t="e">
        <f t="shared" si="68"/>
        <v>#NUM!</v>
      </c>
      <c r="CY122" s="62">
        <f ca="1">AVERAGE(OFFSET($CX$3,0,0,'Données projet'!$E$13+1,1))-AVERAGE(OFFSET($H$3,0,0,'Données projet'!$E$13+1,1))</f>
        <v>367.11994336501527</v>
      </c>
      <c r="CZ122" s="62">
        <f t="shared" si="96"/>
        <v>390.81417197867484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5.9460894837460545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1.8505076785151671E-13</v>
      </c>
      <c r="DI122" s="24">
        <f t="shared" si="69"/>
        <v>5.9460894837462392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1.9895196601282805E-13</v>
      </c>
      <c r="O123" s="14">
        <f>N123*VLOOKUP('Données projet'!$B$9,Paramètres!$A$1:$I$89,3,0)*VLOOKUP('Données projet'!$B$9,Paramètres!$A$1:$I$89,5,0)</f>
        <v>1.8001173884840681E-13</v>
      </c>
      <c r="P123" s="14">
        <f t="shared" si="87"/>
        <v>2.5254331426407198E-12</v>
      </c>
      <c r="Q123" s="22">
        <f t="shared" si="107"/>
        <v>4.7119831685935622E-12</v>
      </c>
      <c r="R123" s="62">
        <f t="shared" si="55"/>
        <v>282.10816074348133</v>
      </c>
      <c r="S123" s="62">
        <f ca="1">AVERAGE(OFFSET($R$3,0,0,'Données projet'!$E$9+1,1))-AVERAGE(OFFSET($H$3,0,0,'Données projet'!$E$9+1,1))</f>
        <v>312.43110610485337</v>
      </c>
      <c r="T123" s="62">
        <f t="shared" si="88"/>
        <v>442.54749157177571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9.0869121709488646E-2</v>
      </c>
      <c r="AA123" s="23">
        <f>EXP(-LN(2)/25)*AA122+(1-EXP(-LN(2)/25))/(LN(2)/25)*Calculateur!V123*Calculateur!X123*VLOOKUP('Données projet'!$B$9,Paramètres!$A$1:$I$89,3,0)*0.475*44/12</f>
        <v>7.7644405364444335E-2</v>
      </c>
      <c r="AB123" s="23">
        <f>EXP(-LN(2)/2)*AB122+(1-EXP(-LN(2)/2))/(LN(2)/2)*V123*Y123*VLOOKUP('Données projet'!$B$9,Paramètres!$A$1:$I$89,3,0)*0.475*44/12</f>
        <v>1.0918666320967846E-13</v>
      </c>
      <c r="AC123" s="24">
        <f t="shared" si="57"/>
        <v>0.16851352707404216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-5.6843418860808015E-14</v>
      </c>
      <c r="AJ123" s="14">
        <f>AI123*VLOOKUP('Données projet'!$B$10,Paramètres!$A$1:$I$89,3,0)*VLOOKUP('Données projet'!$B$10,Paramètres!$A$1:$I$89,5,0)</f>
        <v>-4.7884896048344674E-14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445.02659128831181</v>
      </c>
      <c r="AO123" s="62">
        <f t="shared" si="90"/>
        <v>281.06176764290592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0.78527773105836218</v>
      </c>
      <c r="AV123" s="23">
        <f>EXP(-LN(2)/25)*AV122+(1-EXP(-LN(2)/25))/(LN(2)/25)*Calculateur!AQ123*Calculateur!AS123*VLOOKUP('Données projet'!$B$10,Paramètres!$A$1:$I$89,3,0)*0.475*44/12</f>
        <v>9.2102329121961674E-2</v>
      </c>
      <c r="AW123" s="23">
        <f>EXP(-LN(2)/2)*AW122+(1-EXP(-LN(2)/2))/(LN(2)/2)*AQ123*AT123*VLOOKUP('Données projet'!$B$10,Paramètres!$A$1:$I$89,3,0)*0.475*44/12</f>
        <v>5.3561249508145625E-13</v>
      </c>
      <c r="AX123" s="23">
        <f t="shared" si="60"/>
        <v>0.87738006018085946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-5.6843418860808015E-14</v>
      </c>
      <c r="BE123" s="14">
        <f>BD123*VLOOKUP('Données projet'!$B$11,Paramètres!$A$1:$I$89,3,0)*VLOOKUP('Données projet'!$B$11,Paramètres!$A$1:$I$89,5,0)</f>
        <v>-5.1431925385259088E-14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472.46893084347687</v>
      </c>
      <c r="BJ123" s="62">
        <f t="shared" si="92"/>
        <v>297.32483725004136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0.84344645187750011</v>
      </c>
      <c r="BQ123" s="23">
        <f>EXP(-LN(2)/25)*BQ122+(1-EXP(-LN(2)/25))/(LN(2)/25)*Calculateur!BL123*Calculateur!BN123*VLOOKUP('Données projet'!$B$11,Paramètres!$A$1:$I$89,3,0)*0.475*44/12</f>
        <v>9.8924723871736564E-2</v>
      </c>
      <c r="BR123" s="23">
        <f>EXP(-LN(2)/2)*BR122+(1-EXP(-LN(2)/2))/(LN(2)/2)*BL123*BO123*VLOOKUP('Données projet'!$B$11,Paramètres!$A$1:$I$89,3,0)*0.475*44/12</f>
        <v>5.7528749471711947E-13</v>
      </c>
      <c r="BS123" s="24">
        <f t="shared" si="63"/>
        <v>0.942371175749812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-1.1368683772161603E-13</v>
      </c>
      <c r="BZ123" s="14">
        <f>BY123*VLOOKUP('Données projet'!$B$12,Paramètres!$A$1:$I$89,3,0)*VLOOKUP('Données projet'!$B$12,Paramètres!$A$1:$I$89,5,0)</f>
        <v>-5.3205440053716299E-14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426.87921482911719</v>
      </c>
      <c r="CE123" s="62">
        <f t="shared" si="94"/>
        <v>313.49594674441835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-1.1368683772161603E-13</v>
      </c>
      <c r="CU123" s="18">
        <f>CT123*VLOOKUP('Données projet'!$B$13,Paramètres!$A$1:$I$89,3,0)*VLOOKUP('Données projet'!$B$13,Paramètres!$A$1:$I$89,5,0)</f>
        <v>-6.7984728957526396E-14</v>
      </c>
      <c r="CV123" s="14" t="e">
        <f t="shared" si="95"/>
        <v>#NUM!</v>
      </c>
      <c r="CW123" s="22" t="e">
        <f t="shared" si="67"/>
        <v>#NUM!</v>
      </c>
      <c r="CX123" s="62" t="e">
        <f t="shared" si="68"/>
        <v>#NUM!</v>
      </c>
      <c r="CY123" s="62">
        <f ca="1">AVERAGE(OFFSET($CX$3,0,0,'Données projet'!$E$13+1,1))-AVERAGE(OFFSET($H$3,0,0,'Données projet'!$E$13+1,1))</f>
        <v>367.11994336501527</v>
      </c>
      <c r="CZ123" s="62">
        <f t="shared" si="96"/>
        <v>390.81417197867484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5.8294902957262673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1.3085065281158502E-13</v>
      </c>
      <c r="DI123" s="24">
        <f t="shared" si="69"/>
        <v>5.8294902957263979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1.9895196601282805E-13</v>
      </c>
      <c r="O124" s="14">
        <f>N124*VLOOKUP('Données projet'!$B$9,Paramètres!$A$1:$I$89,3,0)*VLOOKUP('Données projet'!$B$9,Paramètres!$A$1:$I$89,5,0)</f>
        <v>1.8001173884840681E-13</v>
      </c>
      <c r="P124" s="14">
        <f t="shared" si="87"/>
        <v>2.5254331426407198E-12</v>
      </c>
      <c r="Q124" s="22">
        <f t="shared" si="107"/>
        <v>4.7119831685935622E-12</v>
      </c>
      <c r="R124" s="62">
        <f t="shared" si="55"/>
        <v>282.30289239218911</v>
      </c>
      <c r="S124" s="62">
        <f ca="1">AVERAGE(OFFSET($R$3,0,0,'Données projet'!$E$9+1,1))-AVERAGE(OFFSET($H$3,0,0,'Données projet'!$E$9+1,1))</f>
        <v>312.43110610485337</v>
      </c>
      <c r="T124" s="62">
        <f t="shared" si="88"/>
        <v>442.54749157177571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8.9087233657457077E-2</v>
      </c>
      <c r="AA124" s="23">
        <f>EXP(-LN(2)/25)*AA123+(1-EXP(-LN(2)/25))/(LN(2)/25)*Calculateur!V124*Calculateur!X124*VLOOKUP('Données projet'!$B$9,Paramètres!$A$1:$I$89,3,0)*0.475*44/12</f>
        <v>7.5521215016611784E-2</v>
      </c>
      <c r="AB124" s="23">
        <f>EXP(-LN(2)/2)*AB123+(1-EXP(-LN(2)/2))/(LN(2)/2)*V124*Y124*VLOOKUP('Données projet'!$B$9,Paramètres!$A$1:$I$89,3,0)*0.475*44/12</f>
        <v>7.7206629970695364E-14</v>
      </c>
      <c r="AC124" s="24">
        <f t="shared" si="57"/>
        <v>0.16460844867414609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-5.6843418860808015E-14</v>
      </c>
      <c r="AJ124" s="14">
        <f>AI124*VLOOKUP('Données projet'!$B$10,Paramètres!$A$1:$I$89,3,0)*VLOOKUP('Données projet'!$B$10,Paramètres!$A$1:$I$89,5,0)</f>
        <v>-4.7884896048344674E-14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445.02659128831181</v>
      </c>
      <c r="AO124" s="62">
        <f t="shared" si="90"/>
        <v>281.06176764290592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0.76987891372442907</v>
      </c>
      <c r="AV124" s="23">
        <f>EXP(-LN(2)/25)*AV123+(1-EXP(-LN(2)/25))/(LN(2)/25)*Calculateur!AQ124*Calculateur!AS124*VLOOKUP('Données projet'!$B$10,Paramètres!$A$1:$I$89,3,0)*0.475*44/12</f>
        <v>8.9583786088670639E-2</v>
      </c>
      <c r="AW124" s="23">
        <f>EXP(-LN(2)/2)*AW123+(1-EXP(-LN(2)/2))/(LN(2)/2)*AQ124*AT124*VLOOKUP('Données projet'!$B$10,Paramètres!$A$1:$I$89,3,0)*0.475*44/12</f>
        <v>3.7873522736034406E-13</v>
      </c>
      <c r="AX124" s="23">
        <f t="shared" si="60"/>
        <v>0.85946269981347845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-5.6843418860808015E-14</v>
      </c>
      <c r="BE124" s="14">
        <f>BD124*VLOOKUP('Données projet'!$B$11,Paramètres!$A$1:$I$89,3,0)*VLOOKUP('Données projet'!$B$11,Paramètres!$A$1:$I$89,5,0)</f>
        <v>-5.1431925385259088E-14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472.46893084347687</v>
      </c>
      <c r="BJ124" s="62">
        <f t="shared" si="92"/>
        <v>297.32483725004136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0.82690698140772012</v>
      </c>
      <c r="BQ124" s="23">
        <f>EXP(-LN(2)/25)*BQ123+(1-EXP(-LN(2)/25))/(LN(2)/25)*Calculateur!BL124*Calculateur!BN124*VLOOKUP('Données projet'!$B$11,Paramètres!$A$1:$I$89,3,0)*0.475*44/12</f>
        <v>9.6219622095238794E-2</v>
      </c>
      <c r="BR124" s="23">
        <f>EXP(-LN(2)/2)*BR123+(1-EXP(-LN(2)/2))/(LN(2)/2)*BL124*BO124*VLOOKUP('Données projet'!$B$11,Paramètres!$A$1:$I$89,3,0)*0.475*44/12</f>
        <v>4.0678968864629532E-13</v>
      </c>
      <c r="BS124" s="24">
        <f t="shared" si="63"/>
        <v>0.92312660350336573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-1.1368683772161603E-13</v>
      </c>
      <c r="BZ124" s="14">
        <f>BY124*VLOOKUP('Données projet'!$B$12,Paramètres!$A$1:$I$89,3,0)*VLOOKUP('Données projet'!$B$12,Paramètres!$A$1:$I$89,5,0)</f>
        <v>-5.3205440053716299E-14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426.87921482911719</v>
      </c>
      <c r="CE124" s="62">
        <f t="shared" si="94"/>
        <v>313.49594674441835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-1.1368683772161603E-13</v>
      </c>
      <c r="CU124" s="18">
        <f>CT124*VLOOKUP('Données projet'!$B$13,Paramètres!$A$1:$I$89,3,0)*VLOOKUP('Données projet'!$B$13,Paramètres!$A$1:$I$89,5,0)</f>
        <v>-6.7984728957526396E-14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367.11994336501527</v>
      </c>
      <c r="CZ124" s="62">
        <f t="shared" si="96"/>
        <v>390.81417197867484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5.7151775466650658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9.2525383925758353E-14</v>
      </c>
      <c r="DI124" s="24">
        <f t="shared" si="69"/>
        <v>5.7151775466651582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1.9895196601282805E-13</v>
      </c>
      <c r="O125" s="14">
        <f>N125*VLOOKUP('Données projet'!$B$9,Paramètres!$A$1:$I$89,3,0)*VLOOKUP('Données projet'!$B$9,Paramètres!$A$1:$I$89,5,0)</f>
        <v>1.8001173884840681E-13</v>
      </c>
      <c r="P125" s="14">
        <f t="shared" si="87"/>
        <v>2.5254331426407198E-12</v>
      </c>
      <c r="Q125" s="22">
        <f t="shared" si="107"/>
        <v>4.7119831685935622E-12</v>
      </c>
      <c r="R125" s="62">
        <f t="shared" si="55"/>
        <v>282.49424588214652</v>
      </c>
      <c r="S125" s="62">
        <f ca="1">AVERAGE(OFFSET($R$3,0,0,'Données projet'!$E$9+1,1))-AVERAGE(OFFSET($H$3,0,0,'Données projet'!$E$9+1,1))</f>
        <v>312.43110610485337</v>
      </c>
      <c r="T125" s="62">
        <f t="shared" si="88"/>
        <v>442.54749157177571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8.7340287343281461E-2</v>
      </c>
      <c r="AA125" s="23">
        <f>EXP(-LN(2)/25)*AA124+(1-EXP(-LN(2)/25))/(LN(2)/25)*Calculateur!V125*Calculateur!X125*VLOOKUP('Données projet'!$B$9,Paramètres!$A$1:$I$89,3,0)*0.475*44/12</f>
        <v>7.3456083420494436E-2</v>
      </c>
      <c r="AB125" s="23">
        <f>EXP(-LN(2)/2)*AB124+(1-EXP(-LN(2)/2))/(LN(2)/2)*V125*Y125*VLOOKUP('Données projet'!$B$9,Paramètres!$A$1:$I$89,3,0)*0.475*44/12</f>
        <v>5.459333160483923E-14</v>
      </c>
      <c r="AC125" s="24">
        <f t="shared" si="57"/>
        <v>0.16079637076383049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-5.6843418860808015E-14</v>
      </c>
      <c r="AJ125" s="14">
        <f>AI125*VLOOKUP('Données projet'!$B$10,Paramètres!$A$1:$I$89,3,0)*VLOOKUP('Données projet'!$B$10,Paramètres!$A$1:$I$89,5,0)</f>
        <v>-4.7884896048344674E-14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445.02659128831181</v>
      </c>
      <c r="AO125" s="62">
        <f t="shared" si="90"/>
        <v>281.06176764290592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0.75478205780606322</v>
      </c>
      <c r="AV125" s="23">
        <f>EXP(-LN(2)/25)*AV124+(1-EXP(-LN(2)/25))/(LN(2)/25)*Calculateur!AQ125*Calculateur!AS125*VLOOKUP('Données projet'!$B$10,Paramètres!$A$1:$I$89,3,0)*0.475*44/12</f>
        <v>8.7134112747069378E-2</v>
      </c>
      <c r="AW125" s="23">
        <f>EXP(-LN(2)/2)*AW124+(1-EXP(-LN(2)/2))/(LN(2)/2)*AQ125*AT125*VLOOKUP('Données projet'!$B$10,Paramètres!$A$1:$I$89,3,0)*0.475*44/12</f>
        <v>2.6780624754072813E-13</v>
      </c>
      <c r="AX125" s="23">
        <f t="shared" si="60"/>
        <v>0.8419161705534004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-5.6843418860808015E-14</v>
      </c>
      <c r="BE125" s="14">
        <f>BD125*VLOOKUP('Données projet'!$B$11,Paramètres!$A$1:$I$89,3,0)*VLOOKUP('Données projet'!$B$11,Paramètres!$A$1:$I$89,5,0)</f>
        <v>-5.1431925385259088E-14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472.46893084347687</v>
      </c>
      <c r="BJ125" s="62">
        <f t="shared" si="92"/>
        <v>297.32483725004136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0.81069183986577165</v>
      </c>
      <c r="BQ125" s="23">
        <f>EXP(-LN(2)/25)*BQ124+(1-EXP(-LN(2)/25))/(LN(2)/25)*Calculateur!BL125*Calculateur!BN125*VLOOKUP('Données projet'!$B$11,Paramètres!$A$1:$I$89,3,0)*0.475*44/12</f>
        <v>9.358849146907447E-2</v>
      </c>
      <c r="BR125" s="23">
        <f>EXP(-LN(2)/2)*BR124+(1-EXP(-LN(2)/2))/(LN(2)/2)*BL125*BO125*VLOOKUP('Données projet'!$B$11,Paramètres!$A$1:$I$89,3,0)*0.475*44/12</f>
        <v>2.8764374735855974E-13</v>
      </c>
      <c r="BS125" s="24">
        <f t="shared" si="63"/>
        <v>0.90428033133513375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-1.1368683772161603E-13</v>
      </c>
      <c r="BZ125" s="14">
        <f>BY125*VLOOKUP('Données projet'!$B$12,Paramètres!$A$1:$I$89,3,0)*VLOOKUP('Données projet'!$B$12,Paramètres!$A$1:$I$89,5,0)</f>
        <v>-5.3205440053716299E-14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426.87921482911719</v>
      </c>
      <c r="CE125" s="62">
        <f t="shared" si="94"/>
        <v>313.49594674441835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-1.1368683772161603E-13</v>
      </c>
      <c r="CU125" s="18">
        <f>CT125*VLOOKUP('Données projet'!$B$13,Paramètres!$A$1:$I$89,3,0)*VLOOKUP('Données projet'!$B$13,Paramètres!$A$1:$I$89,5,0)</f>
        <v>-6.7984728957526396E-14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367.11994336501527</v>
      </c>
      <c r="CZ125" s="62">
        <f t="shared" si="96"/>
        <v>390.81417197867484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5.6031064008890619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6.5425326405792512E-14</v>
      </c>
      <c r="DI125" s="24">
        <f t="shared" si="69"/>
        <v>5.6031064008891276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1.9895196601282805E-13</v>
      </c>
      <c r="O126" s="14">
        <f>N126*VLOOKUP('Données projet'!$B$9,Paramètres!$A$1:$I$89,3,0)*VLOOKUP('Données projet'!$B$9,Paramètres!$A$1:$I$89,5,0)</f>
        <v>1.8001173884840681E-13</v>
      </c>
      <c r="P126" s="14">
        <f t="shared" si="87"/>
        <v>2.5254331426407198E-12</v>
      </c>
      <c r="Q126" s="22">
        <f t="shared" si="107"/>
        <v>4.7119831685935622E-12</v>
      </c>
      <c r="R126" s="62">
        <f t="shared" si="55"/>
        <v>282.68227981685538</v>
      </c>
      <c r="S126" s="62">
        <f ca="1">AVERAGE(OFFSET($R$3,0,0,'Données projet'!$E$9+1,1))-AVERAGE(OFFSET($H$3,0,0,'Données projet'!$E$9+1,1))</f>
        <v>312.43110610485337</v>
      </c>
      <c r="T126" s="62">
        <f t="shared" si="88"/>
        <v>442.54749157177571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8.5627597580794787E-2</v>
      </c>
      <c r="AA126" s="23">
        <f>EXP(-LN(2)/25)*AA125+(1-EXP(-LN(2)/25))/(LN(2)/25)*Calculateur!V126*Calculateur!X126*VLOOKUP('Données projet'!$B$9,Paramètres!$A$1:$I$89,3,0)*0.475*44/12</f>
        <v>7.144742295647348E-2</v>
      </c>
      <c r="AB126" s="23">
        <f>EXP(-LN(2)/2)*AB125+(1-EXP(-LN(2)/2))/(LN(2)/2)*V126*Y126*VLOOKUP('Données projet'!$B$9,Paramètres!$A$1:$I$89,3,0)*0.475*44/12</f>
        <v>3.8603314985347682E-14</v>
      </c>
      <c r="AC126" s="24">
        <f t="shared" si="57"/>
        <v>0.15707502053730688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-5.6843418860808015E-14</v>
      </c>
      <c r="AJ126" s="14">
        <f>AI126*VLOOKUP('Données projet'!$B$10,Paramètres!$A$1:$I$89,3,0)*VLOOKUP('Données projet'!$B$10,Paramètres!$A$1:$I$89,5,0)</f>
        <v>-4.7884896048344674E-14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445.02659128831181</v>
      </c>
      <c r="AO126" s="62">
        <f t="shared" si="90"/>
        <v>281.06176764290592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0.73998124202408366</v>
      </c>
      <c r="AV126" s="23">
        <f>EXP(-LN(2)/25)*AV125+(1-EXP(-LN(2)/25))/(LN(2)/25)*Calculateur!AQ126*Calculateur!AS126*VLOOKUP('Données projet'!$B$10,Paramètres!$A$1:$I$89,3,0)*0.475*44/12</f>
        <v>8.4751425851816928E-2</v>
      </c>
      <c r="AW126" s="23">
        <f>EXP(-LN(2)/2)*AW125+(1-EXP(-LN(2)/2))/(LN(2)/2)*AQ126*AT126*VLOOKUP('Données projet'!$B$10,Paramètres!$A$1:$I$89,3,0)*0.475*44/12</f>
        <v>1.8936761368017203E-13</v>
      </c>
      <c r="AX126" s="23">
        <f t="shared" si="60"/>
        <v>0.82473266787609001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-5.6843418860808015E-14</v>
      </c>
      <c r="BE126" s="14">
        <f>BD126*VLOOKUP('Données projet'!$B$11,Paramètres!$A$1:$I$89,3,0)*VLOOKUP('Données projet'!$B$11,Paramètres!$A$1:$I$89,5,0)</f>
        <v>-5.1431925385259088E-14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472.46893084347687</v>
      </c>
      <c r="BJ126" s="62">
        <f t="shared" si="92"/>
        <v>297.32483725004136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0.79479466735920101</v>
      </c>
      <c r="BQ126" s="23">
        <f>EXP(-LN(2)/25)*BQ125+(1-EXP(-LN(2)/25))/(LN(2)/25)*Calculateur!BL126*Calculateur!BN126*VLOOKUP('Données projet'!$B$11,Paramètres!$A$1:$I$89,3,0)*0.475*44/12</f>
        <v>9.1029309248247758E-2</v>
      </c>
      <c r="BR126" s="23">
        <f>EXP(-LN(2)/2)*BR125+(1-EXP(-LN(2)/2))/(LN(2)/2)*BL126*BO126*VLOOKUP('Données projet'!$B$11,Paramètres!$A$1:$I$89,3,0)*0.475*44/12</f>
        <v>2.0339484432314766E-13</v>
      </c>
      <c r="BS126" s="24">
        <f t="shared" si="63"/>
        <v>0.88582397660765211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-1.1368683772161603E-13</v>
      </c>
      <c r="BZ126" s="14">
        <f>BY126*VLOOKUP('Données projet'!$B$12,Paramètres!$A$1:$I$89,3,0)*VLOOKUP('Données projet'!$B$12,Paramètres!$A$1:$I$89,5,0)</f>
        <v>-5.3205440053716299E-14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426.87921482911719</v>
      </c>
      <c r="CE126" s="62">
        <f t="shared" si="94"/>
        <v>313.49594674441835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-1.1368683772161603E-13</v>
      </c>
      <c r="CU126" s="18">
        <f>CT126*VLOOKUP('Données projet'!$B$13,Paramètres!$A$1:$I$89,3,0)*VLOOKUP('Données projet'!$B$13,Paramètres!$A$1:$I$89,5,0)</f>
        <v>-6.7984728957526396E-14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367.11994336501527</v>
      </c>
      <c r="CZ126" s="62">
        <f t="shared" si="96"/>
        <v>390.81417197867484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5.4932329019250759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4.6262691962879176E-14</v>
      </c>
      <c r="DI126" s="24">
        <f t="shared" si="69"/>
        <v>5.493232901925122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1.9895196601282805E-13</v>
      </c>
      <c r="O127" s="14">
        <f>N127*VLOOKUP('Données projet'!$B$9,Paramètres!$A$1:$I$89,3,0)*VLOOKUP('Données projet'!$B$9,Paramètres!$A$1:$I$89,5,0)</f>
        <v>1.8001173884840681E-13</v>
      </c>
      <c r="P127" s="14">
        <f t="shared" si="87"/>
        <v>2.5254331426407198E-12</v>
      </c>
      <c r="Q127" s="22">
        <f t="shared" si="107"/>
        <v>4.7119831685935622E-12</v>
      </c>
      <c r="R127" s="62">
        <f t="shared" si="55"/>
        <v>282.86705178317806</v>
      </c>
      <c r="S127" s="62">
        <f ca="1">AVERAGE(OFFSET($R$3,0,0,'Données projet'!$E$9+1,1))-AVERAGE(OFFSET($H$3,0,0,'Données projet'!$E$9+1,1))</f>
        <v>312.43110610485337</v>
      </c>
      <c r="T127" s="62">
        <f t="shared" si="88"/>
        <v>442.54749157177571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8.3948492619912871E-2</v>
      </c>
      <c r="AA127" s="23">
        <f>EXP(-LN(2)/25)*AA126+(1-EXP(-LN(2)/25))/(LN(2)/25)*Calculateur!V127*Calculateur!X127*VLOOKUP('Données projet'!$B$9,Paramètres!$A$1:$I$89,3,0)*0.475*44/12</f>
        <v>6.9493689418472032E-2</v>
      </c>
      <c r="AB127" s="23">
        <f>EXP(-LN(2)/2)*AB126+(1-EXP(-LN(2)/2))/(LN(2)/2)*V127*Y127*VLOOKUP('Données projet'!$B$9,Paramètres!$A$1:$I$89,3,0)*0.475*44/12</f>
        <v>2.7296665802419615E-14</v>
      </c>
      <c r="AC127" s="24">
        <f t="shared" si="57"/>
        <v>0.15344218203841217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-5.6843418860808015E-14</v>
      </c>
      <c r="AJ127" s="14">
        <f>AI127*VLOOKUP('Données projet'!$B$10,Paramètres!$A$1:$I$89,3,0)*VLOOKUP('Données projet'!$B$10,Paramètres!$A$1:$I$89,5,0)</f>
        <v>-4.7884896048344674E-14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445.02659128831181</v>
      </c>
      <c r="AO127" s="62">
        <f t="shared" si="90"/>
        <v>281.06176764290592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0.72547066121198245</v>
      </c>
      <c r="AV127" s="23">
        <f>EXP(-LN(2)/25)*AV126+(1-EXP(-LN(2)/25))/(LN(2)/25)*Calculateur!AQ127*Calculateur!AS127*VLOOKUP('Données projet'!$B$10,Paramètres!$A$1:$I$89,3,0)*0.475*44/12</f>
        <v>8.2433893655015217E-2</v>
      </c>
      <c r="AW127" s="23">
        <f>EXP(-LN(2)/2)*AW126+(1-EXP(-LN(2)/2))/(LN(2)/2)*AQ127*AT127*VLOOKUP('Données projet'!$B$10,Paramètres!$A$1:$I$89,3,0)*0.475*44/12</f>
        <v>1.3390312377036406E-13</v>
      </c>
      <c r="AX127" s="23">
        <f t="shared" si="60"/>
        <v>0.80790455486713153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-5.6843418860808015E-14</v>
      </c>
      <c r="BE127" s="14">
        <f>BD127*VLOOKUP('Données projet'!$B$11,Paramètres!$A$1:$I$89,3,0)*VLOOKUP('Données projet'!$B$11,Paramètres!$A$1:$I$89,5,0)</f>
        <v>-5.1431925385259088E-14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472.46893084347687</v>
      </c>
      <c r="BJ127" s="62">
        <f t="shared" si="92"/>
        <v>297.32483725004136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0.77920922870916642</v>
      </c>
      <c r="BQ127" s="23">
        <f>EXP(-LN(2)/25)*BQ126+(1-EXP(-LN(2)/25))/(LN(2)/25)*Calculateur!BL127*Calculateur!BN127*VLOOKUP('Données projet'!$B$11,Paramètres!$A$1:$I$89,3,0)*0.475*44/12</f>
        <v>8.85401079998311E-2</v>
      </c>
      <c r="BR127" s="23">
        <f>EXP(-LN(2)/2)*BR126+(1-EXP(-LN(2)/2))/(LN(2)/2)*BL127*BO127*VLOOKUP('Données projet'!$B$11,Paramètres!$A$1:$I$89,3,0)*0.475*44/12</f>
        <v>1.4382187367927987E-13</v>
      </c>
      <c r="BS127" s="24">
        <f t="shared" si="63"/>
        <v>0.86774933670914134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-1.1368683772161603E-13</v>
      </c>
      <c r="BZ127" s="14">
        <f>BY127*VLOOKUP('Données projet'!$B$12,Paramètres!$A$1:$I$89,3,0)*VLOOKUP('Données projet'!$B$12,Paramètres!$A$1:$I$89,5,0)</f>
        <v>-5.3205440053716299E-14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426.87921482911719</v>
      </c>
      <c r="CE127" s="62">
        <f t="shared" si="94"/>
        <v>313.49594674441835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-1.1368683772161603E-13</v>
      </c>
      <c r="CU127" s="18">
        <f>CT127*VLOOKUP('Données projet'!$B$13,Paramètres!$A$1:$I$89,3,0)*VLOOKUP('Données projet'!$B$13,Paramètres!$A$1:$I$89,5,0)</f>
        <v>-6.7984728957526396E-14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367.11994336501527</v>
      </c>
      <c r="CZ127" s="62">
        <f t="shared" si="96"/>
        <v>390.81417197867484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5.3855139552595572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3.2712663202896256E-14</v>
      </c>
      <c r="DI127" s="24">
        <f t="shared" si="69"/>
        <v>5.3855139552595901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1.9895196601282805E-13</v>
      </c>
      <c r="O128" s="14">
        <f>N128*VLOOKUP('Données projet'!$B$9,Paramètres!$A$1:$I$89,3,0)*VLOOKUP('Données projet'!$B$9,Paramètres!$A$1:$I$89,5,0)</f>
        <v>1.8001173884840681E-13</v>
      </c>
      <c r="P128" s="14">
        <f t="shared" si="87"/>
        <v>2.5254331426407198E-12</v>
      </c>
      <c r="Q128" s="22">
        <f t="shared" si="107"/>
        <v>4.7119831685935622E-12</v>
      </c>
      <c r="R128" s="62">
        <f t="shared" si="55"/>
        <v>283.04861836897322</v>
      </c>
      <c r="S128" s="62">
        <f ca="1">AVERAGE(OFFSET($R$3,0,0,'Données projet'!$E$9+1,1))-AVERAGE(OFFSET($H$3,0,0,'Données projet'!$E$9+1,1))</f>
        <v>312.43110610485337</v>
      </c>
      <c r="T128" s="62">
        <f t="shared" si="88"/>
        <v>442.54749157177571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8.2302313883160949E-2</v>
      </c>
      <c r="AA128" s="23">
        <f>EXP(-LN(2)/25)*AA127+(1-EXP(-LN(2)/25))/(LN(2)/25)*Calculateur!V128*Calculateur!X128*VLOOKUP('Données projet'!$B$9,Paramètres!$A$1:$I$89,3,0)*0.475*44/12</f>
        <v>6.7593380826809615E-2</v>
      </c>
      <c r="AB128" s="23">
        <f>EXP(-LN(2)/2)*AB127+(1-EXP(-LN(2)/2))/(LN(2)/2)*V128*Y128*VLOOKUP('Données projet'!$B$9,Paramètres!$A$1:$I$89,3,0)*0.475*44/12</f>
        <v>1.9301657492673841E-14</v>
      </c>
      <c r="AC128" s="24">
        <f t="shared" si="57"/>
        <v>0.14989569470998984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-5.6843418860808015E-14</v>
      </c>
      <c r="AJ128" s="14">
        <f>AI128*VLOOKUP('Données projet'!$B$10,Paramètres!$A$1:$I$89,3,0)*VLOOKUP('Données projet'!$B$10,Paramètres!$A$1:$I$89,5,0)</f>
        <v>-4.7884896048344674E-14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445.02659128831181</v>
      </c>
      <c r="AO128" s="62">
        <f t="shared" si="90"/>
        <v>281.06176764290592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0.71124462403902622</v>
      </c>
      <c r="AV128" s="23">
        <f>EXP(-LN(2)/25)*AV127+(1-EXP(-LN(2)/25))/(LN(2)/25)*Calculateur!AQ128*Calculateur!AS128*VLOOKUP('Données projet'!$B$10,Paramètres!$A$1:$I$89,3,0)*0.475*44/12</f>
        <v>8.0179734498008762E-2</v>
      </c>
      <c r="AW128" s="23">
        <f>EXP(-LN(2)/2)*AW127+(1-EXP(-LN(2)/2))/(LN(2)/2)*AQ128*AT128*VLOOKUP('Données projet'!$B$10,Paramètres!$A$1:$I$89,3,0)*0.475*44/12</f>
        <v>9.4683806840086014E-14</v>
      </c>
      <c r="AX128" s="23">
        <f t="shared" si="60"/>
        <v>0.79142435853712967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-5.6843418860808015E-14</v>
      </c>
      <c r="BE128" s="14">
        <f>BD128*VLOOKUP('Données projet'!$B$11,Paramètres!$A$1:$I$89,3,0)*VLOOKUP('Données projet'!$B$11,Paramètres!$A$1:$I$89,5,0)</f>
        <v>-5.1431925385259088E-14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472.46893084347687</v>
      </c>
      <c r="BJ128" s="62">
        <f t="shared" si="92"/>
        <v>297.32483725004136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0.7639294110048801</v>
      </c>
      <c r="BQ128" s="23">
        <f>EXP(-LN(2)/25)*BQ127+(1-EXP(-LN(2)/25))/(LN(2)/25)*Calculateur!BL128*Calculateur!BN128*VLOOKUP('Données projet'!$B$11,Paramètres!$A$1:$I$89,3,0)*0.475*44/12</f>
        <v>8.6118974090453798E-2</v>
      </c>
      <c r="BR128" s="23">
        <f>EXP(-LN(2)/2)*BR127+(1-EXP(-LN(2)/2))/(LN(2)/2)*BL128*BO128*VLOOKUP('Données projet'!$B$11,Paramètres!$A$1:$I$89,3,0)*0.475*44/12</f>
        <v>1.0169742216157383E-13</v>
      </c>
      <c r="BS128" s="24">
        <f t="shared" si="63"/>
        <v>0.85004838509543557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-1.1368683772161603E-13</v>
      </c>
      <c r="BZ128" s="14">
        <f>BY128*VLOOKUP('Données projet'!$B$12,Paramètres!$A$1:$I$89,3,0)*VLOOKUP('Données projet'!$B$12,Paramètres!$A$1:$I$89,5,0)</f>
        <v>-5.3205440053716299E-14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426.87921482911719</v>
      </c>
      <c r="CE128" s="62">
        <f t="shared" si="94"/>
        <v>313.49594674441835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-1.1368683772161603E-13</v>
      </c>
      <c r="CU128" s="18">
        <f>CT128*VLOOKUP('Données projet'!$B$13,Paramètres!$A$1:$I$89,3,0)*VLOOKUP('Données projet'!$B$13,Paramètres!$A$1:$I$89,5,0)</f>
        <v>-6.7984728957526396E-14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367.11994336501527</v>
      </c>
      <c r="CZ128" s="62">
        <f t="shared" si="96"/>
        <v>390.81417197867484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5.2799073114360793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2.3131345981439588E-14</v>
      </c>
      <c r="DI128" s="24">
        <f t="shared" si="69"/>
        <v>5.2799073114361024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1.9895196601282805E-13</v>
      </c>
      <c r="O129" s="14">
        <f>N129*VLOOKUP('Données projet'!$B$9,Paramètres!$A$1:$I$89,3,0)*VLOOKUP('Données projet'!$B$9,Paramètres!$A$1:$I$89,5,0)</f>
        <v>1.8001173884840681E-13</v>
      </c>
      <c r="P129" s="14">
        <f t="shared" si="87"/>
        <v>2.5254331426407198E-12</v>
      </c>
      <c r="Q129" s="22">
        <f t="shared" si="107"/>
        <v>4.7119831685935622E-12</v>
      </c>
      <c r="R129" s="62">
        <f t="shared" si="55"/>
        <v>283.22703518042692</v>
      </c>
      <c r="S129" s="62">
        <f ca="1">AVERAGE(OFFSET($R$3,0,0,'Données projet'!$E$9+1,1))-AVERAGE(OFFSET($H$3,0,0,'Données projet'!$E$9+1,1))</f>
        <v>312.43110610485337</v>
      </c>
      <c r="T129" s="62">
        <f t="shared" si="88"/>
        <v>442.54749157177571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8.0688415707366845E-2</v>
      </c>
      <c r="AA129" s="23">
        <f>EXP(-LN(2)/25)*AA128+(1-EXP(-LN(2)/25))/(LN(2)/25)*Calculateur!V129*Calculateur!X129*VLOOKUP('Données projet'!$B$9,Paramètres!$A$1:$I$89,3,0)*0.475*44/12</f>
        <v>6.5745036273519089E-2</v>
      </c>
      <c r="AB129" s="23">
        <f>EXP(-LN(2)/2)*AB128+(1-EXP(-LN(2)/2))/(LN(2)/2)*V129*Y129*VLOOKUP('Données projet'!$B$9,Paramètres!$A$1:$I$89,3,0)*0.475*44/12</f>
        <v>1.3648332901209807E-14</v>
      </c>
      <c r="AC129" s="24">
        <f t="shared" si="57"/>
        <v>0.14643345198089958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-5.6843418860808015E-14</v>
      </c>
      <c r="AJ129" s="14">
        <f>AI129*VLOOKUP('Données projet'!$B$10,Paramètres!$A$1:$I$89,3,0)*VLOOKUP('Données projet'!$B$10,Paramètres!$A$1:$I$89,5,0)</f>
        <v>-4.7884896048344674E-14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445.02659128831181</v>
      </c>
      <c r="AO129" s="62">
        <f t="shared" si="90"/>
        <v>281.06176764290592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0.69729755077800581</v>
      </c>
      <c r="AV129" s="23">
        <f>EXP(-LN(2)/25)*AV128+(1-EXP(-LN(2)/25))/(LN(2)/25)*Calculateur!AQ129*Calculateur!AS129*VLOOKUP('Données projet'!$B$10,Paramètres!$A$1:$I$89,3,0)*0.475*44/12</f>
        <v>7.7987215441691723E-2</v>
      </c>
      <c r="AW129" s="23">
        <f>EXP(-LN(2)/2)*AW128+(1-EXP(-LN(2)/2))/(LN(2)/2)*AQ129*AT129*VLOOKUP('Données projet'!$B$10,Paramètres!$A$1:$I$89,3,0)*0.475*44/12</f>
        <v>6.6951561885182031E-14</v>
      </c>
      <c r="AX129" s="23">
        <f t="shared" si="60"/>
        <v>0.7752847662197645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-5.6843418860808015E-14</v>
      </c>
      <c r="BE129" s="14">
        <f>BD129*VLOOKUP('Données projet'!$B$11,Paramètres!$A$1:$I$89,3,0)*VLOOKUP('Données projet'!$B$11,Paramètres!$A$1:$I$89,5,0)</f>
        <v>-5.1431925385259088E-14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472.46893084347687</v>
      </c>
      <c r="BJ129" s="62">
        <f t="shared" si="92"/>
        <v>297.32483725004136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0.74894922120600627</v>
      </c>
      <c r="BQ129" s="23">
        <f>EXP(-LN(2)/25)*BQ128+(1-EXP(-LN(2)/25))/(LN(2)/25)*Calculateur!BL129*Calculateur!BN129*VLOOKUP('Données projet'!$B$11,Paramètres!$A$1:$I$89,3,0)*0.475*44/12</f>
        <v>8.3764046215150323E-2</v>
      </c>
      <c r="BR129" s="23">
        <f>EXP(-LN(2)/2)*BR128+(1-EXP(-LN(2)/2))/(LN(2)/2)*BL129*BO129*VLOOKUP('Données projet'!$B$11,Paramètres!$A$1:$I$89,3,0)*0.475*44/12</f>
        <v>7.1910936839639934E-14</v>
      </c>
      <c r="BS129" s="24">
        <f t="shared" si="63"/>
        <v>0.83271326742122853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-1.1368683772161603E-13</v>
      </c>
      <c r="BZ129" s="14">
        <f>BY129*VLOOKUP('Données projet'!$B$12,Paramètres!$A$1:$I$89,3,0)*VLOOKUP('Données projet'!$B$12,Paramètres!$A$1:$I$89,5,0)</f>
        <v>-5.3205440053716299E-14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426.87921482911719</v>
      </c>
      <c r="CE129" s="62">
        <f t="shared" si="94"/>
        <v>313.49594674441835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-1.1368683772161603E-13</v>
      </c>
      <c r="CU129" s="18">
        <f>CT129*VLOOKUP('Données projet'!$B$13,Paramètres!$A$1:$I$89,3,0)*VLOOKUP('Données projet'!$B$13,Paramètres!$A$1:$I$89,5,0)</f>
        <v>-6.7984728957526396E-14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367.11994336501527</v>
      </c>
      <c r="CZ129" s="62">
        <f t="shared" si="96"/>
        <v>390.81417197867484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5.176371549484287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1.6356331601448128E-14</v>
      </c>
      <c r="DI129" s="24">
        <f t="shared" si="69"/>
        <v>5.176371549484303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1.9895196601282805E-13</v>
      </c>
      <c r="O130" s="14">
        <f>N130*VLOOKUP('Données projet'!$B$9,Paramètres!$A$1:$I$89,3,0)*VLOOKUP('Données projet'!$B$9,Paramètres!$A$1:$I$89,5,0)</f>
        <v>1.8001173884840681E-13</v>
      </c>
      <c r="P130" s="14">
        <f t="shared" si="87"/>
        <v>2.5254331426407198E-12</v>
      </c>
      <c r="Q130" s="22">
        <f t="shared" si="107"/>
        <v>4.7119831685935622E-12</v>
      </c>
      <c r="R130" s="62">
        <f t="shared" si="55"/>
        <v>283.40235685908215</v>
      </c>
      <c r="S130" s="62">
        <f ca="1">AVERAGE(OFFSET($R$3,0,0,'Données projet'!$E$9+1,1))-AVERAGE(OFFSET($H$3,0,0,'Données projet'!$E$9+1,1))</f>
        <v>312.43110610485337</v>
      </c>
      <c r="T130" s="62">
        <f t="shared" si="88"/>
        <v>442.54749157177571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7.9106165090419372E-2</v>
      </c>
      <c r="AA130" s="23">
        <f>EXP(-LN(2)/25)*AA129+(1-EXP(-LN(2)/25))/(LN(2)/25)*Calculateur!V130*Calculateur!X130*VLOOKUP('Données projet'!$B$9,Paramètres!$A$1:$I$89,3,0)*0.475*44/12</f>
        <v>6.3947234799238514E-2</v>
      </c>
      <c r="AB130" s="23">
        <f>EXP(-LN(2)/2)*AB129+(1-EXP(-LN(2)/2))/(LN(2)/2)*V130*Y130*VLOOKUP('Données projet'!$B$9,Paramètres!$A$1:$I$89,3,0)*0.475*44/12</f>
        <v>9.6508287463369205E-15</v>
      </c>
      <c r="AC130" s="24">
        <f t="shared" si="57"/>
        <v>0.14305339988966753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-5.6843418860808015E-14</v>
      </c>
      <c r="AJ130" s="14">
        <f>AI130*VLOOKUP('Données projet'!$B$10,Paramètres!$A$1:$I$89,3,0)*VLOOKUP('Données projet'!$B$10,Paramètres!$A$1:$I$89,5,0)</f>
        <v>-4.7884896048344674E-14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445.02659128831181</v>
      </c>
      <c r="AO130" s="62">
        <f t="shared" si="90"/>
        <v>281.06176764290592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0.68362397111675932</v>
      </c>
      <c r="AV130" s="23">
        <f>EXP(-LN(2)/25)*AV129+(1-EXP(-LN(2)/25))/(LN(2)/25)*Calculateur!AQ130*Calculateur!AS130*VLOOKUP('Données projet'!$B$10,Paramètres!$A$1:$I$89,3,0)*0.475*44/12</f>
        <v>7.5854650934269241E-2</v>
      </c>
      <c r="AW130" s="23">
        <f>EXP(-LN(2)/2)*AW129+(1-EXP(-LN(2)/2))/(LN(2)/2)*AQ130*AT130*VLOOKUP('Données projet'!$B$10,Paramètres!$A$1:$I$89,3,0)*0.475*44/12</f>
        <v>4.7341903420043007E-14</v>
      </c>
      <c r="AX130" s="23">
        <f t="shared" si="60"/>
        <v>0.75947862205107586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-5.6843418860808015E-14</v>
      </c>
      <c r="BE130" s="14">
        <f>BD130*VLOOKUP('Données projet'!$B$11,Paramètres!$A$1:$I$89,3,0)*VLOOKUP('Données projet'!$B$11,Paramètres!$A$1:$I$89,5,0)</f>
        <v>-5.1431925385259088E-14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472.46893084347687</v>
      </c>
      <c r="BJ130" s="62">
        <f t="shared" si="92"/>
        <v>297.32483725004136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0.73426278379207477</v>
      </c>
      <c r="BQ130" s="23">
        <f>EXP(-LN(2)/25)*BQ129+(1-EXP(-LN(2)/25))/(LN(2)/25)*Calculateur!BL130*Calculateur!BN130*VLOOKUP('Données projet'!$B$11,Paramètres!$A$1:$I$89,3,0)*0.475*44/12</f>
        <v>8.1473513966437289E-2</v>
      </c>
      <c r="BR130" s="23">
        <f>EXP(-LN(2)/2)*BR129+(1-EXP(-LN(2)/2))/(LN(2)/2)*BL130*BO130*VLOOKUP('Données projet'!$B$11,Paramètres!$A$1:$I$89,3,0)*0.475*44/12</f>
        <v>5.0848711080786915E-14</v>
      </c>
      <c r="BS130" s="24">
        <f t="shared" si="63"/>
        <v>0.81573629775856293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-1.1368683772161603E-13</v>
      </c>
      <c r="BZ130" s="14">
        <f>BY130*VLOOKUP('Données projet'!$B$12,Paramètres!$A$1:$I$89,3,0)*VLOOKUP('Données projet'!$B$12,Paramètres!$A$1:$I$89,5,0)</f>
        <v>-5.3205440053716299E-14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426.87921482911719</v>
      </c>
      <c r="CE130" s="62">
        <f t="shared" si="94"/>
        <v>313.49594674441835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-1.1368683772161603E-13</v>
      </c>
      <c r="CU130" s="18">
        <f>CT130*VLOOKUP('Données projet'!$B$13,Paramètres!$A$1:$I$89,3,0)*VLOOKUP('Données projet'!$B$13,Paramètres!$A$1:$I$89,5,0)</f>
        <v>-6.7984728957526396E-14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367.11994336501527</v>
      </c>
      <c r="CZ130" s="62">
        <f t="shared" si="96"/>
        <v>390.81417197867484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5.0748660606737905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1.1565672990719794E-14</v>
      </c>
      <c r="DI130" s="24">
        <f t="shared" si="69"/>
        <v>5.0748660606738021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1.9895196601282805E-13</v>
      </c>
      <c r="O131" s="14">
        <f>N131*VLOOKUP('Données projet'!$B$9,Paramètres!$A$1:$I$89,3,0)*VLOOKUP('Données projet'!$B$9,Paramètres!$A$1:$I$89,5,0)</f>
        <v>1.8001173884840681E-13</v>
      </c>
      <c r="P131" s="14">
        <f t="shared" si="87"/>
        <v>2.5254331426407198E-12</v>
      </c>
      <c r="Q131" s="22">
        <f t="shared" ref="Q131:Q153" si="108">(O131+P131)*0.475*44/12</f>
        <v>4.7119831685935622E-12</v>
      </c>
      <c r="R131" s="62">
        <f t="shared" ref="R131:R194" si="109">Q131+(I131+J131)*44/12</f>
        <v>283.57463709857325</v>
      </c>
      <c r="S131" s="62">
        <f ca="1">AVERAGE(OFFSET($R$3,0,0,'Données projet'!$E$9+1,1))-AVERAGE(OFFSET($H$3,0,0,'Données projet'!$E$9+1,1))</f>
        <v>312.43110610485337</v>
      </c>
      <c r="T131" s="62">
        <f t="shared" si="88"/>
        <v>442.54749157177571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7.7554941442992659E-2</v>
      </c>
      <c r="AA131" s="23">
        <f>EXP(-LN(2)/25)*AA130+(1-EXP(-LN(2)/25))/(LN(2)/25)*Calculateur!V131*Calculateur!X131*VLOOKUP('Données projet'!$B$9,Paramètres!$A$1:$I$89,3,0)*0.475*44/12</f>
        <v>6.2198594300814411E-2</v>
      </c>
      <c r="AB131" s="23">
        <f>EXP(-LN(2)/2)*AB130+(1-EXP(-LN(2)/2))/(LN(2)/2)*V131*Y131*VLOOKUP('Données projet'!$B$9,Paramètres!$A$1:$I$89,3,0)*0.475*44/12</f>
        <v>6.8241664506049037E-15</v>
      </c>
      <c r="AC131" s="24">
        <f t="shared" si="57"/>
        <v>0.13975353574381388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-5.6843418860808015E-14</v>
      </c>
      <c r="AJ131" s="14">
        <f>AI131*VLOOKUP('Données projet'!$B$10,Paramètres!$A$1:$I$89,3,0)*VLOOKUP('Données projet'!$B$10,Paramètres!$A$1:$I$89,5,0)</f>
        <v>-4.7884896048344674E-14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445.02659128831181</v>
      </c>
      <c r="AO131" s="62">
        <f t="shared" si="90"/>
        <v>281.06176764290592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0.67021852201260979</v>
      </c>
      <c r="AV131" s="23">
        <f>EXP(-LN(2)/25)*AV130+(1-EXP(-LN(2)/25))/(LN(2)/25)*Calculateur!AQ131*Calculateur!AS131*VLOOKUP('Données projet'!$B$10,Paramètres!$A$1:$I$89,3,0)*0.475*44/12</f>
        <v>7.3780401515448929E-2</v>
      </c>
      <c r="AW131" s="23">
        <f>EXP(-LN(2)/2)*AW130+(1-EXP(-LN(2)/2))/(LN(2)/2)*AQ131*AT131*VLOOKUP('Données projet'!$B$10,Paramètres!$A$1:$I$89,3,0)*0.475*44/12</f>
        <v>3.3475780942591016E-14</v>
      </c>
      <c r="AX131" s="23">
        <f t="shared" si="60"/>
        <v>0.74399892352809227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-5.6843418860808015E-14</v>
      </c>
      <c r="BE131" s="14">
        <f>BD131*VLOOKUP('Données projet'!$B$11,Paramètres!$A$1:$I$89,3,0)*VLOOKUP('Données projet'!$B$11,Paramètres!$A$1:$I$89,5,0)</f>
        <v>-5.1431925385259088E-14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472.46893084347687</v>
      </c>
      <c r="BJ131" s="62">
        <f t="shared" si="92"/>
        <v>297.32483725004136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0.71986433845798814</v>
      </c>
      <c r="BQ131" s="23">
        <f>EXP(-LN(2)/25)*BQ130+(1-EXP(-LN(2)/25))/(LN(2)/25)*Calculateur!BL131*Calculateur!BN131*VLOOKUP('Données projet'!$B$11,Paramètres!$A$1:$I$89,3,0)*0.475*44/12</f>
        <v>7.9245616442519165E-2</v>
      </c>
      <c r="BR131" s="23">
        <f>EXP(-LN(2)/2)*BR130+(1-EXP(-LN(2)/2))/(LN(2)/2)*BL131*BO131*VLOOKUP('Données projet'!$B$11,Paramètres!$A$1:$I$89,3,0)*0.475*44/12</f>
        <v>3.5955468419819967E-14</v>
      </c>
      <c r="BS131" s="24">
        <f t="shared" si="63"/>
        <v>0.79910995490054326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-1.1368683772161603E-13</v>
      </c>
      <c r="BZ131" s="14">
        <f>BY131*VLOOKUP('Données projet'!$B$12,Paramètres!$A$1:$I$89,3,0)*VLOOKUP('Données projet'!$B$12,Paramètres!$A$1:$I$89,5,0)</f>
        <v>-5.3205440053716299E-14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426.87921482911719</v>
      </c>
      <c r="CE131" s="62">
        <f t="shared" si="94"/>
        <v>313.49594674441835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-1.1368683772161603E-13</v>
      </c>
      <c r="CU131" s="18">
        <f>CT131*VLOOKUP('Données projet'!$B$13,Paramètres!$A$1:$I$89,3,0)*VLOOKUP('Données projet'!$B$13,Paramètres!$A$1:$I$89,5,0)</f>
        <v>-6.7984728957526396E-14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367.11994336501527</v>
      </c>
      <c r="CZ131" s="62">
        <f t="shared" si="96"/>
        <v>390.81417197867484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4.9753510325866328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8.178165800724064E-15</v>
      </c>
      <c r="DI131" s="24">
        <f t="shared" si="69"/>
        <v>4.9753510325866408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1.9895196601282805E-13</v>
      </c>
      <c r="O132" s="14">
        <f>N132*VLOOKUP('Données projet'!$B$9,Paramètres!$A$1:$I$89,3,0)*VLOOKUP('Données projet'!$B$9,Paramètres!$A$1:$I$89,5,0)</f>
        <v>1.8001173884840681E-13</v>
      </c>
      <c r="P132" s="14">
        <f t="shared" si="87"/>
        <v>2.5254331426407198E-12</v>
      </c>
      <c r="Q132" s="22">
        <f t="shared" si="108"/>
        <v>4.7119831685935622E-12</v>
      </c>
      <c r="R132" s="62">
        <f t="shared" si="109"/>
        <v>283.74392866107007</v>
      </c>
      <c r="S132" s="62">
        <f ca="1">AVERAGE(OFFSET($R$3,0,0,'Données projet'!$E$9+1,1))-AVERAGE(OFFSET($H$3,0,0,'Données projet'!$E$9+1,1))</f>
        <v>312.43110610485337</v>
      </c>
      <c r="T132" s="62">
        <f t="shared" si="88"/>
        <v>442.54749157177571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7.6034136345138989E-2</v>
      </c>
      <c r="AA132" s="23">
        <f>EXP(-LN(2)/25)*AA131+(1-EXP(-LN(2)/25))/(LN(2)/25)*Calculateur!V132*Calculateur!X132*VLOOKUP('Données projet'!$B$9,Paramètres!$A$1:$I$89,3,0)*0.475*44/12</f>
        <v>6.0497770468776725E-2</v>
      </c>
      <c r="AB132" s="23">
        <f>EXP(-LN(2)/2)*AB131+(1-EXP(-LN(2)/2))/(LN(2)/2)*V132*Y132*VLOOKUP('Données projet'!$B$9,Paramètres!$A$1:$I$89,3,0)*0.475*44/12</f>
        <v>4.8254143731684603E-15</v>
      </c>
      <c r="AC132" s="24">
        <f t="shared" ref="AC132:AC153" si="111">SUM(Z132:AB132)</f>
        <v>0.13653190681392055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-5.6843418860808015E-14</v>
      </c>
      <c r="AJ132" s="14">
        <f>AI132*VLOOKUP('Données projet'!$B$10,Paramètres!$A$1:$I$89,3,0)*VLOOKUP('Données projet'!$B$10,Paramètres!$A$1:$I$89,5,0)</f>
        <v>-4.7884896048344674E-14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445.02659128831181</v>
      </c>
      <c r="AO132" s="62">
        <f t="shared" si="90"/>
        <v>281.06176764290592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0.65707594558887594</v>
      </c>
      <c r="AV132" s="23">
        <f>EXP(-LN(2)/25)*AV131+(1-EXP(-LN(2)/25))/(LN(2)/25)*Calculateur!AQ132*Calculateur!AS132*VLOOKUP('Données projet'!$B$10,Paramètres!$A$1:$I$89,3,0)*0.475*44/12</f>
        <v>7.1762872556066296E-2</v>
      </c>
      <c r="AW132" s="23">
        <f>EXP(-LN(2)/2)*AW131+(1-EXP(-LN(2)/2))/(LN(2)/2)*AQ132*AT132*VLOOKUP('Données projet'!$B$10,Paramètres!$A$1:$I$89,3,0)*0.475*44/12</f>
        <v>2.3670951710021503E-14</v>
      </c>
      <c r="AX132" s="23">
        <f t="shared" ref="AX132:AX153" si="114">SUM(AU132:AW132)</f>
        <v>0.72883881814496587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-5.6843418860808015E-14</v>
      </c>
      <c r="BE132" s="14">
        <f>BD132*VLOOKUP('Données projet'!$B$11,Paramètres!$A$1:$I$89,3,0)*VLOOKUP('Données projet'!$B$11,Paramètres!$A$1:$I$89,5,0)</f>
        <v>-5.1431925385259088E-14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472.46893084347687</v>
      </c>
      <c r="BJ132" s="62">
        <f t="shared" si="92"/>
        <v>297.32483725004136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0.70574823785471852</v>
      </c>
      <c r="BQ132" s="23">
        <f>EXP(-LN(2)/25)*BQ131+(1-EXP(-LN(2)/25))/(LN(2)/25)*Calculateur!BL132*Calculateur!BN132*VLOOKUP('Données projet'!$B$11,Paramètres!$A$1:$I$89,3,0)*0.475*44/12</f>
        <v>7.7078640893552625E-2</v>
      </c>
      <c r="BR132" s="23">
        <f>EXP(-LN(2)/2)*BR131+(1-EXP(-LN(2)/2))/(LN(2)/2)*BL132*BO132*VLOOKUP('Données projet'!$B$11,Paramètres!$A$1:$I$89,3,0)*0.475*44/12</f>
        <v>2.5424355540393457E-14</v>
      </c>
      <c r="BS132" s="24">
        <f t="shared" ref="BS132:BS153" si="117">SUM(BP132:BR132)</f>
        <v>0.7828268787482966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-1.1368683772161603E-13</v>
      </c>
      <c r="BZ132" s="14">
        <f>BY132*VLOOKUP('Données projet'!$B$12,Paramètres!$A$1:$I$89,3,0)*VLOOKUP('Données projet'!$B$12,Paramètres!$A$1:$I$89,5,0)</f>
        <v>-5.3205440053716299E-14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426.87921482911719</v>
      </c>
      <c r="CE132" s="62">
        <f t="shared" si="94"/>
        <v>313.49594674441835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-1.1368683772161603E-13</v>
      </c>
      <c r="CU132" s="18">
        <f>CT132*VLOOKUP('Données projet'!$B$13,Paramètres!$A$1:$I$89,3,0)*VLOOKUP('Données projet'!$B$13,Paramètres!$A$1:$I$89,5,0)</f>
        <v>-6.7984728957526396E-14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367.11994336501527</v>
      </c>
      <c r="CZ132" s="62">
        <f t="shared" si="96"/>
        <v>390.81417197867484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4.8777874335020908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5.782836495359897E-15</v>
      </c>
      <c r="DI132" s="24">
        <f t="shared" ref="DI132:DI153" si="123">SUM(DF132:DH132)</f>
        <v>4.877787433502097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1.9895196601282805E-13</v>
      </c>
      <c r="O133" s="14">
        <f>N133*VLOOKUP('Données projet'!$B$9,Paramètres!$A$1:$I$89,3,0)*VLOOKUP('Données projet'!$B$9,Paramètres!$A$1:$I$89,5,0)</f>
        <v>1.8001173884840681E-13</v>
      </c>
      <c r="P133" s="14">
        <f t="shared" ref="P133:P196" si="141">EXP(-1.0587+0.8836*LN(O133)+0.284)</f>
        <v>2.5254331426407198E-12</v>
      </c>
      <c r="Q133" s="22">
        <f t="shared" si="108"/>
        <v>4.7119831685935622E-12</v>
      </c>
      <c r="R133" s="62">
        <f t="shared" si="109"/>
        <v>283.91028339343683</v>
      </c>
      <c r="S133" s="62">
        <f ca="1">AVERAGE(OFFSET($R$3,0,0,'Données projet'!$E$9+1,1))-AVERAGE(OFFSET($H$3,0,0,'Données projet'!$E$9+1,1))</f>
        <v>312.43110610485337</v>
      </c>
      <c r="T133" s="62">
        <f t="shared" ref="T133:T196" si="142">$T$3</f>
        <v>442.54749157177571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7.4543153307654708E-2</v>
      </c>
      <c r="AA133" s="23">
        <f>EXP(-LN(2)/25)*AA132+(1-EXP(-LN(2)/25))/(LN(2)/25)*Calculateur!V133*Calculateur!X133*VLOOKUP('Données projet'!$B$9,Paramètres!$A$1:$I$89,3,0)*0.475*44/12</f>
        <v>5.8843455753868547E-2</v>
      </c>
      <c r="AB133" s="23">
        <f>EXP(-LN(2)/2)*AB132+(1-EXP(-LN(2)/2))/(LN(2)/2)*V133*Y133*VLOOKUP('Données projet'!$B$9,Paramètres!$A$1:$I$89,3,0)*0.475*44/12</f>
        <v>3.4120832253024519E-15</v>
      </c>
      <c r="AC133" s="24">
        <f t="shared" si="111"/>
        <v>0.13338660906152666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-5.6843418860808015E-14</v>
      </c>
      <c r="AJ133" s="14">
        <f>AI133*VLOOKUP('Données projet'!$B$10,Paramètres!$A$1:$I$89,3,0)*VLOOKUP('Données projet'!$B$10,Paramètres!$A$1:$I$89,5,0)</f>
        <v>-4.7884896048344674E-14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445.02659128831181</v>
      </c>
      <c r="AO133" s="62">
        <f t="shared" ref="AO133:AO196" si="144">$AO$3</f>
        <v>281.06176764290592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0.64419108707263151</v>
      </c>
      <c r="AV133" s="23">
        <f>EXP(-LN(2)/25)*AV132+(1-EXP(-LN(2)/25))/(LN(2)/25)*Calculateur!AQ133*Calculateur!AS133*VLOOKUP('Données projet'!$B$10,Paramètres!$A$1:$I$89,3,0)*0.475*44/12</f>
        <v>6.9800513032175215E-2</v>
      </c>
      <c r="AW133" s="23">
        <f>EXP(-LN(2)/2)*AW132+(1-EXP(-LN(2)/2))/(LN(2)/2)*AQ133*AT133*VLOOKUP('Données projet'!$B$10,Paramètres!$A$1:$I$89,3,0)*0.475*44/12</f>
        <v>1.6737890471295508E-14</v>
      </c>
      <c r="AX133" s="23">
        <f t="shared" si="114"/>
        <v>0.71399160010482354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-5.6843418860808015E-14</v>
      </c>
      <c r="BE133" s="14">
        <f>BD133*VLOOKUP('Données projet'!$B$11,Paramètres!$A$1:$I$89,3,0)*VLOOKUP('Données projet'!$B$11,Paramètres!$A$1:$I$89,5,0)</f>
        <v>-5.1431925385259088E-14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472.46893084347687</v>
      </c>
      <c r="BJ133" s="62">
        <f t="shared" ref="BJ133:BJ196" si="146">$BJ$3</f>
        <v>297.32483725004136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0.6919089453743078</v>
      </c>
      <c r="BQ133" s="23">
        <f>EXP(-LN(2)/25)*BQ132+(1-EXP(-LN(2)/25))/(LN(2)/25)*Calculateur!BL133*Calculateur!BN133*VLOOKUP('Données projet'!$B$11,Paramètres!$A$1:$I$89,3,0)*0.475*44/12</f>
        <v>7.4970921404928864E-2</v>
      </c>
      <c r="BR133" s="23">
        <f>EXP(-LN(2)/2)*BR132+(1-EXP(-LN(2)/2))/(LN(2)/2)*BL133*BO133*VLOOKUP('Données projet'!$B$11,Paramètres!$A$1:$I$89,3,0)*0.475*44/12</f>
        <v>1.7977734209909983E-14</v>
      </c>
      <c r="BS133" s="24">
        <f t="shared" si="117"/>
        <v>0.76687986677925468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-1.1368683772161603E-13</v>
      </c>
      <c r="BZ133" s="14">
        <f>BY133*VLOOKUP('Données projet'!$B$12,Paramètres!$A$1:$I$89,3,0)*VLOOKUP('Données projet'!$B$12,Paramètres!$A$1:$I$89,5,0)</f>
        <v>-5.3205440053716299E-14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426.87921482911719</v>
      </c>
      <c r="CE133" s="62">
        <f t="shared" ref="CE133:CE196" si="148">$CE$3</f>
        <v>313.49594674441835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-1.1368683772161603E-13</v>
      </c>
      <c r="CU133" s="18">
        <f>CT133*VLOOKUP('Données projet'!$B$13,Paramètres!$A$1:$I$89,3,0)*VLOOKUP('Données projet'!$B$13,Paramètres!$A$1:$I$89,5,0)</f>
        <v>-6.7984728957526396E-14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367.11994336501527</v>
      </c>
      <c r="CZ133" s="62">
        <f t="shared" ref="CZ133:CZ196" si="150">$CZ$3</f>
        <v>390.81417197867484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4.7821369970876768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4.089082900362032E-15</v>
      </c>
      <c r="DI133" s="24">
        <f t="shared" si="123"/>
        <v>4.7821369970876813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1.9895196601282805E-13</v>
      </c>
      <c r="O134" s="14">
        <f>N134*VLOOKUP('Données projet'!$B$9,Paramètres!$A$1:$I$89,3,0)*VLOOKUP('Données projet'!$B$9,Paramètres!$A$1:$I$89,5,0)</f>
        <v>1.8001173884840681E-13</v>
      </c>
      <c r="P134" s="14">
        <f t="shared" si="141"/>
        <v>2.5254331426407198E-12</v>
      </c>
      <c r="Q134" s="22">
        <f t="shared" si="108"/>
        <v>4.7119831685935622E-12</v>
      </c>
      <c r="R134" s="62">
        <f t="shared" si="109"/>
        <v>284.07375224311045</v>
      </c>
      <c r="S134" s="62">
        <f ca="1">AVERAGE(OFFSET($R$3,0,0,'Données projet'!$E$9+1,1))-AVERAGE(OFFSET($H$3,0,0,'Données projet'!$E$9+1,1))</f>
        <v>312.43110610485337</v>
      </c>
      <c r="T134" s="62">
        <f t="shared" si="142"/>
        <v>442.54749157177571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7.3081407538125642E-2</v>
      </c>
      <c r="AA134" s="23">
        <f>EXP(-LN(2)/25)*AA133+(1-EXP(-LN(2)/25))/(LN(2)/25)*Calculateur!V134*Calculateur!X134*VLOOKUP('Données projet'!$B$9,Paramètres!$A$1:$I$89,3,0)*0.475*44/12</f>
        <v>5.7234378361836161E-2</v>
      </c>
      <c r="AB134" s="23">
        <f>EXP(-LN(2)/2)*AB133+(1-EXP(-LN(2)/2))/(LN(2)/2)*V134*Y134*VLOOKUP('Données projet'!$B$9,Paramètres!$A$1:$I$89,3,0)*0.475*44/12</f>
        <v>2.4127071865842301E-15</v>
      </c>
      <c r="AC134" s="24">
        <f t="shared" si="111"/>
        <v>0.1303157858999642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-5.6843418860808015E-14</v>
      </c>
      <c r="AJ134" s="14">
        <f>AI134*VLOOKUP('Données projet'!$B$10,Paramètres!$A$1:$I$89,3,0)*VLOOKUP('Données projet'!$B$10,Paramètres!$A$1:$I$89,5,0)</f>
        <v>-4.7884896048344674E-14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445.02659128831181</v>
      </c>
      <c r="AO134" s="62">
        <f t="shared" si="144"/>
        <v>281.06176764290592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0.63155889277290289</v>
      </c>
      <c r="AV134" s="23">
        <f>EXP(-LN(2)/25)*AV133+(1-EXP(-LN(2)/25))/(LN(2)/25)*Calculateur!AQ134*Calculateur!AS134*VLOOKUP('Données projet'!$B$10,Paramètres!$A$1:$I$89,3,0)*0.475*44/12</f>
        <v>6.7891814332660935E-2</v>
      </c>
      <c r="AW134" s="23">
        <f>EXP(-LN(2)/2)*AW133+(1-EXP(-LN(2)/2))/(LN(2)/2)*AQ134*AT134*VLOOKUP('Données projet'!$B$10,Paramètres!$A$1:$I$89,3,0)*0.475*44/12</f>
        <v>1.1835475855010752E-14</v>
      </c>
      <c r="AX134" s="23">
        <f t="shared" si="114"/>
        <v>0.69945070710557566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-5.6843418860808015E-14</v>
      </c>
      <c r="BE134" s="14">
        <f>BD134*VLOOKUP('Données projet'!$B$11,Paramètres!$A$1:$I$89,3,0)*VLOOKUP('Données projet'!$B$11,Paramètres!$A$1:$I$89,5,0)</f>
        <v>-5.1431925385259088E-14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472.46893084347687</v>
      </c>
      <c r="BJ134" s="62">
        <f t="shared" si="146"/>
        <v>297.32483725004136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0.67834103297830306</v>
      </c>
      <c r="BQ134" s="23">
        <f>EXP(-LN(2)/25)*BQ133+(1-EXP(-LN(2)/25))/(LN(2)/25)*Calculateur!BL134*Calculateur!BN134*VLOOKUP('Données projet'!$B$11,Paramètres!$A$1:$I$89,3,0)*0.475*44/12</f>
        <v>7.2920837616561679E-2</v>
      </c>
      <c r="BR134" s="23">
        <f>EXP(-LN(2)/2)*BR133+(1-EXP(-LN(2)/2))/(LN(2)/2)*BL134*BO134*VLOOKUP('Données projet'!$B$11,Paramètres!$A$1:$I$89,3,0)*0.475*44/12</f>
        <v>1.2712177770196729E-14</v>
      </c>
      <c r="BS134" s="24">
        <f t="shared" si="117"/>
        <v>0.75126187059487748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-1.1368683772161603E-13</v>
      </c>
      <c r="BZ134" s="14">
        <f>BY134*VLOOKUP('Données projet'!$B$12,Paramètres!$A$1:$I$89,3,0)*VLOOKUP('Données projet'!$B$12,Paramètres!$A$1:$I$89,5,0)</f>
        <v>-5.3205440053716299E-14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426.87921482911719</v>
      </c>
      <c r="CE134" s="62">
        <f t="shared" si="148"/>
        <v>313.49594674441835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-1.1368683772161603E-13</v>
      </c>
      <c r="CU134" s="18">
        <f>CT134*VLOOKUP('Données projet'!$B$13,Paramètres!$A$1:$I$89,3,0)*VLOOKUP('Données projet'!$B$13,Paramètres!$A$1:$I$89,5,0)</f>
        <v>-6.7984728957526396E-14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367.11994336501527</v>
      </c>
      <c r="CZ134" s="62">
        <f t="shared" si="150"/>
        <v>390.81417197867484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4.6883622073903437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2.8914182476799485E-15</v>
      </c>
      <c r="DI134" s="24">
        <f t="shared" si="123"/>
        <v>4.6883622073903464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1.9895196601282805E-13</v>
      </c>
      <c r="O135" s="14">
        <f>N135*VLOOKUP('Données projet'!$B$9,Paramètres!$A$1:$I$89,3,0)*VLOOKUP('Données projet'!$B$9,Paramètres!$A$1:$I$89,5,0)</f>
        <v>1.8001173884840681E-13</v>
      </c>
      <c r="P135" s="14">
        <f t="shared" si="141"/>
        <v>2.5254331426407198E-12</v>
      </c>
      <c r="Q135" s="22">
        <f t="shared" si="108"/>
        <v>4.7119831685935622E-12</v>
      </c>
      <c r="R135" s="62">
        <f t="shared" si="109"/>
        <v>284.23438527370388</v>
      </c>
      <c r="S135" s="62">
        <f ca="1">AVERAGE(OFFSET($R$3,0,0,'Données projet'!$E$9+1,1))-AVERAGE(OFFSET($H$3,0,0,'Données projet'!$E$9+1,1))</f>
        <v>312.43110610485337</v>
      </c>
      <c r="T135" s="62">
        <f t="shared" si="142"/>
        <v>442.54749157177571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7.1648325711560157E-2</v>
      </c>
      <c r="AA135" s="23">
        <f>EXP(-LN(2)/25)*AA134+(1-EXP(-LN(2)/25))/(LN(2)/25)*Calculateur!V135*Calculateur!X135*VLOOKUP('Données projet'!$B$9,Paramètres!$A$1:$I$89,3,0)*0.475*44/12</f>
        <v>5.5669301275706601E-2</v>
      </c>
      <c r="AB135" s="23">
        <f>EXP(-LN(2)/2)*AB134+(1-EXP(-LN(2)/2))/(LN(2)/2)*V135*Y135*VLOOKUP('Données projet'!$B$9,Paramètres!$A$1:$I$89,3,0)*0.475*44/12</f>
        <v>1.7060416126512259E-15</v>
      </c>
      <c r="AC135" s="24">
        <f t="shared" si="111"/>
        <v>0.12731762698726845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-5.6843418860808015E-14</v>
      </c>
      <c r="AJ135" s="14">
        <f>AI135*VLOOKUP('Données projet'!$B$10,Paramètres!$A$1:$I$89,3,0)*VLOOKUP('Données projet'!$B$10,Paramètres!$A$1:$I$89,5,0)</f>
        <v>-4.7884896048344674E-14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445.02659128831181</v>
      </c>
      <c r="AO135" s="62">
        <f t="shared" si="144"/>
        <v>281.06176764290592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0.61917440809851421</v>
      </c>
      <c r="AV135" s="23">
        <f>EXP(-LN(2)/25)*AV134+(1-EXP(-LN(2)/25))/(LN(2)/25)*Calculateur!AQ135*Calculateur!AS135*VLOOKUP('Données projet'!$B$10,Paramètres!$A$1:$I$89,3,0)*0.475*44/12</f>
        <v>6.6035309099458969E-2</v>
      </c>
      <c r="AW135" s="23">
        <f>EXP(-LN(2)/2)*AW134+(1-EXP(-LN(2)/2))/(LN(2)/2)*AQ135*AT135*VLOOKUP('Données projet'!$B$10,Paramètres!$A$1:$I$89,3,0)*0.475*44/12</f>
        <v>8.3689452356477539E-15</v>
      </c>
      <c r="AX135" s="23">
        <f t="shared" si="114"/>
        <v>0.68520971719798152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-5.6843418860808015E-14</v>
      </c>
      <c r="BE135" s="14">
        <f>BD135*VLOOKUP('Données projet'!$B$11,Paramètres!$A$1:$I$89,3,0)*VLOOKUP('Données projet'!$B$11,Paramètres!$A$1:$I$89,5,0)</f>
        <v>-5.1431925385259088E-14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472.46893084347687</v>
      </c>
      <c r="BJ135" s="62">
        <f t="shared" si="146"/>
        <v>297.32483725004136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0.66503917906877452</v>
      </c>
      <c r="BQ135" s="23">
        <f>EXP(-LN(2)/25)*BQ134+(1-EXP(-LN(2)/25))/(LN(2)/25)*Calculateur!BL135*Calculateur!BN135*VLOOKUP('Données projet'!$B$11,Paramètres!$A$1:$I$89,3,0)*0.475*44/12</f>
        <v>7.0926813477196607E-2</v>
      </c>
      <c r="BR135" s="23">
        <f>EXP(-LN(2)/2)*BR134+(1-EXP(-LN(2)/2))/(LN(2)/2)*BL135*BO135*VLOOKUP('Données projet'!$B$11,Paramètres!$A$1:$I$89,3,0)*0.475*44/12</f>
        <v>8.9888671049549917E-15</v>
      </c>
      <c r="BS135" s="24">
        <f t="shared" si="117"/>
        <v>0.73596599254598016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-1.1368683772161603E-13</v>
      </c>
      <c r="BZ135" s="14">
        <f>BY135*VLOOKUP('Données projet'!$B$12,Paramètres!$A$1:$I$89,3,0)*VLOOKUP('Données projet'!$B$12,Paramètres!$A$1:$I$89,5,0)</f>
        <v>-5.3205440053716299E-14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426.87921482911719</v>
      </c>
      <c r="CE135" s="62">
        <f t="shared" si="148"/>
        <v>313.49594674441835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-1.1368683772161603E-13</v>
      </c>
      <c r="CU135" s="18">
        <f>CT135*VLOOKUP('Données projet'!$B$13,Paramètres!$A$1:$I$89,3,0)*VLOOKUP('Données projet'!$B$13,Paramètres!$A$1:$I$89,5,0)</f>
        <v>-6.7984728957526396E-14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367.11994336501527</v>
      </c>
      <c r="CZ135" s="62">
        <f t="shared" si="150"/>
        <v>390.81417197867484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4.5964262841220016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2.044541450181016E-15</v>
      </c>
      <c r="DI135" s="24">
        <f t="shared" si="123"/>
        <v>4.5964262841220034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1.9895196601282805E-13</v>
      </c>
      <c r="O136" s="14">
        <f>N136*VLOOKUP('Données projet'!$B$9,Paramètres!$A$1:$I$89,3,0)*VLOOKUP('Données projet'!$B$9,Paramètres!$A$1:$I$89,5,0)</f>
        <v>1.8001173884840681E-13</v>
      </c>
      <c r="P136" s="14">
        <f t="shared" si="141"/>
        <v>2.5254331426407198E-12</v>
      </c>
      <c r="Q136" s="22">
        <f t="shared" si="108"/>
        <v>4.7119831685935622E-12</v>
      </c>
      <c r="R136" s="62">
        <f t="shared" si="109"/>
        <v>284.39223168033811</v>
      </c>
      <c r="S136" s="62">
        <f ca="1">AVERAGE(OFFSET($R$3,0,0,'Données projet'!$E$9+1,1))-AVERAGE(OFFSET($H$3,0,0,'Données projet'!$E$9+1,1))</f>
        <v>312.43110610485337</v>
      </c>
      <c r="T136" s="62">
        <f t="shared" si="142"/>
        <v>442.54749157177571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7.0243345745520019E-2</v>
      </c>
      <c r="AA136" s="23">
        <f>EXP(-LN(2)/25)*AA135+(1-EXP(-LN(2)/25))/(LN(2)/25)*Calculateur!V136*Calculateur!X136*VLOOKUP('Données projet'!$B$9,Paramètres!$A$1:$I$89,3,0)*0.475*44/12</f>
        <v>5.4147021304801084E-2</v>
      </c>
      <c r="AB136" s="23">
        <f>EXP(-LN(2)/2)*AB135+(1-EXP(-LN(2)/2))/(LN(2)/2)*V136*Y136*VLOOKUP('Données projet'!$B$9,Paramètres!$A$1:$I$89,3,0)*0.475*44/12</f>
        <v>1.2063535932921151E-15</v>
      </c>
      <c r="AC136" s="24">
        <f t="shared" si="111"/>
        <v>0.12439036705032232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-5.6843418860808015E-14</v>
      </c>
      <c r="AJ136" s="14">
        <f>AI136*VLOOKUP('Données projet'!$B$10,Paramètres!$A$1:$I$89,3,0)*VLOOKUP('Données projet'!$B$10,Paramètres!$A$1:$I$89,5,0)</f>
        <v>-4.7884896048344674E-14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445.02659128831181</v>
      </c>
      <c r="AO136" s="62">
        <f t="shared" si="144"/>
        <v>281.06176764290592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0.60703277561480051</v>
      </c>
      <c r="AV136" s="23">
        <f>EXP(-LN(2)/25)*AV135+(1-EXP(-LN(2)/25))/(LN(2)/25)*Calculateur!AQ136*Calculateur!AS136*VLOOKUP('Données projet'!$B$10,Paramètres!$A$1:$I$89,3,0)*0.475*44/12</f>
        <v>6.4229570099488278E-2</v>
      </c>
      <c r="AW136" s="23">
        <f>EXP(-LN(2)/2)*AW135+(1-EXP(-LN(2)/2))/(LN(2)/2)*AQ136*AT136*VLOOKUP('Données projet'!$B$10,Paramètres!$A$1:$I$89,3,0)*0.475*44/12</f>
        <v>5.9177379275053759E-15</v>
      </c>
      <c r="AX136" s="23">
        <f t="shared" si="114"/>
        <v>0.67126234571429466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-5.6843418860808015E-14</v>
      </c>
      <c r="BE136" s="14">
        <f>BD136*VLOOKUP('Données projet'!$B$11,Paramètres!$A$1:$I$89,3,0)*VLOOKUP('Données projet'!$B$11,Paramètres!$A$1:$I$89,5,0)</f>
        <v>-5.1431925385259088E-14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472.46893084347687</v>
      </c>
      <c r="BJ136" s="62">
        <f t="shared" si="146"/>
        <v>297.32483725004136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0.6519981664010821</v>
      </c>
      <c r="BQ136" s="23">
        <f>EXP(-LN(2)/25)*BQ135+(1-EXP(-LN(2)/25))/(LN(2)/25)*Calculateur!BL136*Calculateur!BN136*VLOOKUP('Données projet'!$B$11,Paramètres!$A$1:$I$89,3,0)*0.475*44/12</f>
        <v>6.8987316032783644E-2</v>
      </c>
      <c r="BR136" s="23">
        <f>EXP(-LN(2)/2)*BR135+(1-EXP(-LN(2)/2))/(LN(2)/2)*BL136*BO136*VLOOKUP('Données projet'!$B$11,Paramètres!$A$1:$I$89,3,0)*0.475*44/12</f>
        <v>6.3560888850983644E-15</v>
      </c>
      <c r="BS136" s="24">
        <f t="shared" si="117"/>
        <v>0.72098548243387206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-1.1368683772161603E-13</v>
      </c>
      <c r="BZ136" s="14">
        <f>BY136*VLOOKUP('Données projet'!$B$12,Paramètres!$A$1:$I$89,3,0)*VLOOKUP('Données projet'!$B$12,Paramètres!$A$1:$I$89,5,0)</f>
        <v>-5.3205440053716299E-14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426.87921482911719</v>
      </c>
      <c r="CE136" s="62">
        <f t="shared" si="148"/>
        <v>313.49594674441835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-1.1368683772161603E-13</v>
      </c>
      <c r="CU136" s="18">
        <f>CT136*VLOOKUP('Données projet'!$B$13,Paramètres!$A$1:$I$89,3,0)*VLOOKUP('Données projet'!$B$13,Paramètres!$A$1:$I$89,5,0)</f>
        <v>-6.7984728957526396E-14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367.11994336501527</v>
      </c>
      <c r="CZ136" s="62">
        <f t="shared" si="150"/>
        <v>390.81417197867484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4.5062931682335758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1.4457091238399743E-15</v>
      </c>
      <c r="DI136" s="24">
        <f t="shared" si="123"/>
        <v>4.5062931682335776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1.9895196601282805E-13</v>
      </c>
      <c r="O137" s="14">
        <f>N137*VLOOKUP('Données projet'!$B$9,Paramètres!$A$1:$I$89,3,0)*VLOOKUP('Données projet'!$B$9,Paramètres!$A$1:$I$89,5,0)</f>
        <v>1.8001173884840681E-13</v>
      </c>
      <c r="P137" s="14">
        <f t="shared" si="141"/>
        <v>2.5254331426407198E-12</v>
      </c>
      <c r="Q137" s="22">
        <f t="shared" si="108"/>
        <v>4.7119831685935622E-12</v>
      </c>
      <c r="R137" s="62">
        <f t="shared" si="109"/>
        <v>284.547339804709</v>
      </c>
      <c r="S137" s="62">
        <f ca="1">AVERAGE(OFFSET($R$3,0,0,'Données projet'!$E$9+1,1))-AVERAGE(OFFSET($H$3,0,0,'Données projet'!$E$9+1,1))</f>
        <v>312.43110610485337</v>
      </c>
      <c r="T137" s="62">
        <f t="shared" si="142"/>
        <v>442.54749157177571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6.8865916579660763E-2</v>
      </c>
      <c r="AA137" s="23">
        <f>EXP(-LN(2)/25)*AA136+(1-EXP(-LN(2)/25))/(LN(2)/25)*Calculateur!V137*Calculateur!X137*VLOOKUP('Données projet'!$B$9,Paramètres!$A$1:$I$89,3,0)*0.475*44/12</f>
        <v>5.2666368159753202E-2</v>
      </c>
      <c r="AB137" s="23">
        <f>EXP(-LN(2)/2)*AB136+(1-EXP(-LN(2)/2))/(LN(2)/2)*V137*Y137*VLOOKUP('Données projet'!$B$9,Paramètres!$A$1:$I$89,3,0)*0.475*44/12</f>
        <v>8.5302080632561297E-16</v>
      </c>
      <c r="AC137" s="24">
        <f t="shared" si="111"/>
        <v>0.12153228473941481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-5.6843418860808015E-14</v>
      </c>
      <c r="AJ137" s="14">
        <f>AI137*VLOOKUP('Données projet'!$B$10,Paramètres!$A$1:$I$89,3,0)*VLOOKUP('Données projet'!$B$10,Paramètres!$A$1:$I$89,5,0)</f>
        <v>-4.7884896048344674E-14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445.02659128831181</v>
      </c>
      <c r="AO137" s="62">
        <f t="shared" si="144"/>
        <v>281.06176764290592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0.59512923313842792</v>
      </c>
      <c r="AV137" s="23">
        <f>EXP(-LN(2)/25)*AV136+(1-EXP(-LN(2)/25))/(LN(2)/25)*Calculateur!AQ137*Calculateur!AS137*VLOOKUP('Données projet'!$B$10,Paramètres!$A$1:$I$89,3,0)*0.475*44/12</f>
        <v>6.2473209127431477E-2</v>
      </c>
      <c r="AW137" s="23">
        <f>EXP(-LN(2)/2)*AW136+(1-EXP(-LN(2)/2))/(LN(2)/2)*AQ137*AT137*VLOOKUP('Données projet'!$B$10,Paramètres!$A$1:$I$89,3,0)*0.475*44/12</f>
        <v>4.184472617823877E-15</v>
      </c>
      <c r="AX137" s="23">
        <f t="shared" si="114"/>
        <v>0.65760244226586362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-5.6843418860808015E-14</v>
      </c>
      <c r="BE137" s="14">
        <f>BD137*VLOOKUP('Données projet'!$B$11,Paramètres!$A$1:$I$89,3,0)*VLOOKUP('Données projet'!$B$11,Paramètres!$A$1:$I$89,5,0)</f>
        <v>-5.1431925385259088E-14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472.46893084347687</v>
      </c>
      <c r="BJ137" s="62">
        <f t="shared" si="146"/>
        <v>297.32483725004136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0.63921288003757082</v>
      </c>
      <c r="BQ137" s="23">
        <f>EXP(-LN(2)/25)*BQ136+(1-EXP(-LN(2)/25))/(LN(2)/25)*Calculateur!BL137*Calculateur!BN137*VLOOKUP('Données projet'!$B$11,Paramètres!$A$1:$I$89,3,0)*0.475*44/12</f>
        <v>6.71008542479819E-2</v>
      </c>
      <c r="BR137" s="23">
        <f>EXP(-LN(2)/2)*BR136+(1-EXP(-LN(2)/2))/(LN(2)/2)*BL137*BO137*VLOOKUP('Données projet'!$B$11,Paramètres!$A$1:$I$89,3,0)*0.475*44/12</f>
        <v>4.4944335524774959E-15</v>
      </c>
      <c r="BS137" s="24">
        <f t="shared" si="117"/>
        <v>0.70631373428555722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-1.1368683772161603E-13</v>
      </c>
      <c r="BZ137" s="14">
        <f>BY137*VLOOKUP('Données projet'!$B$12,Paramètres!$A$1:$I$89,3,0)*VLOOKUP('Données projet'!$B$12,Paramètres!$A$1:$I$89,5,0)</f>
        <v>-5.3205440053716299E-14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426.87921482911719</v>
      </c>
      <c r="CE137" s="62">
        <f t="shared" si="148"/>
        <v>313.49594674441835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-1.1368683772161603E-13</v>
      </c>
      <c r="CU137" s="18">
        <f>CT137*VLOOKUP('Données projet'!$B$13,Paramètres!$A$1:$I$89,3,0)*VLOOKUP('Données projet'!$B$13,Paramètres!$A$1:$I$89,5,0)</f>
        <v>-6.7984728957526396E-14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367.11994336501527</v>
      </c>
      <c r="CZ137" s="62">
        <f t="shared" si="150"/>
        <v>390.81417197867484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4.4179275077719495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1.022270725090508E-15</v>
      </c>
      <c r="DI137" s="24">
        <f t="shared" si="123"/>
        <v>4.4179275077719504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1.9895196601282805E-13</v>
      </c>
      <c r="O138" s="14">
        <f>N138*VLOOKUP('Données projet'!$B$9,Paramètres!$A$1:$I$89,3,0)*VLOOKUP('Données projet'!$B$9,Paramètres!$A$1:$I$89,5,0)</f>
        <v>1.8001173884840681E-13</v>
      </c>
      <c r="P138" s="14">
        <f t="shared" si="141"/>
        <v>2.5254331426407198E-12</v>
      </c>
      <c r="Q138" s="22">
        <f t="shared" si="108"/>
        <v>4.7119831685935622E-12</v>
      </c>
      <c r="R138" s="62">
        <f t="shared" si="109"/>
        <v>284.69975714989187</v>
      </c>
      <c r="S138" s="62">
        <f ca="1">AVERAGE(OFFSET($R$3,0,0,'Données projet'!$E$9+1,1))-AVERAGE(OFFSET($H$3,0,0,'Données projet'!$E$9+1,1))</f>
        <v>312.43110610485337</v>
      </c>
      <c r="T138" s="62">
        <f t="shared" si="142"/>
        <v>442.54749157177571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6.7515497959595175E-2</v>
      </c>
      <c r="AA138" s="23">
        <f>EXP(-LN(2)/25)*AA137+(1-EXP(-LN(2)/25))/(LN(2)/25)*Calculateur!V138*Calculateur!X138*VLOOKUP('Données projet'!$B$9,Paramètres!$A$1:$I$89,3,0)*0.475*44/12</f>
        <v>5.1226203552820822E-2</v>
      </c>
      <c r="AB138" s="23">
        <f>EXP(-LN(2)/2)*AB137+(1-EXP(-LN(2)/2))/(LN(2)/2)*V138*Y138*VLOOKUP('Données projet'!$B$9,Paramètres!$A$1:$I$89,3,0)*0.475*44/12</f>
        <v>6.0317679664605753E-16</v>
      </c>
      <c r="AC138" s="24">
        <f t="shared" si="111"/>
        <v>0.1187417015124166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-5.6843418860808015E-14</v>
      </c>
      <c r="AJ138" s="14">
        <f>AI138*VLOOKUP('Données projet'!$B$10,Paramètres!$A$1:$I$89,3,0)*VLOOKUP('Données projet'!$B$10,Paramètres!$A$1:$I$89,5,0)</f>
        <v>-4.7884896048344674E-14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445.02659128831181</v>
      </c>
      <c r="AO138" s="62">
        <f t="shared" si="144"/>
        <v>281.06176764290592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0.583459111869573</v>
      </c>
      <c r="AV138" s="23">
        <f>EXP(-LN(2)/25)*AV137+(1-EXP(-LN(2)/25))/(LN(2)/25)*Calculateur!AQ138*Calculateur!AS138*VLOOKUP('Données projet'!$B$10,Paramètres!$A$1:$I$89,3,0)*0.475*44/12</f>
        <v>6.0764875938518578E-2</v>
      </c>
      <c r="AW138" s="23">
        <f>EXP(-LN(2)/2)*AW137+(1-EXP(-LN(2)/2))/(LN(2)/2)*AQ138*AT138*VLOOKUP('Données projet'!$B$10,Paramètres!$A$1:$I$89,3,0)*0.475*44/12</f>
        <v>2.9588689637526879E-15</v>
      </c>
      <c r="AX138" s="23">
        <f t="shared" si="114"/>
        <v>0.64422398780809453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-5.6843418860808015E-14</v>
      </c>
      <c r="BE138" s="14">
        <f>BD138*VLOOKUP('Données projet'!$B$11,Paramètres!$A$1:$I$89,3,0)*VLOOKUP('Données projet'!$B$11,Paramètres!$A$1:$I$89,5,0)</f>
        <v>-5.1431925385259088E-14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472.46893084347687</v>
      </c>
      <c r="BJ138" s="62">
        <f t="shared" si="146"/>
        <v>297.32483725004136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0.62667830534139324</v>
      </c>
      <c r="BQ138" s="23">
        <f>EXP(-LN(2)/25)*BQ137+(1-EXP(-LN(2)/25))/(LN(2)/25)*Calculateur!BL138*Calculateur!BN138*VLOOKUP('Données projet'!$B$11,Paramètres!$A$1:$I$89,3,0)*0.475*44/12</f>
        <v>6.5265977859890273E-2</v>
      </c>
      <c r="BR138" s="23">
        <f>EXP(-LN(2)/2)*BR137+(1-EXP(-LN(2)/2))/(LN(2)/2)*BL138*BO138*VLOOKUP('Données projet'!$B$11,Paramètres!$A$1:$I$89,3,0)*0.475*44/12</f>
        <v>3.1780444425491822E-15</v>
      </c>
      <c r="BS138" s="24">
        <f t="shared" si="117"/>
        <v>0.69194428320128676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-1.1368683772161603E-13</v>
      </c>
      <c r="BZ138" s="14">
        <f>BY138*VLOOKUP('Données projet'!$B$12,Paramètres!$A$1:$I$89,3,0)*VLOOKUP('Données projet'!$B$12,Paramètres!$A$1:$I$89,5,0)</f>
        <v>-5.3205440053716299E-14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426.87921482911719</v>
      </c>
      <c r="CE138" s="62">
        <f t="shared" si="148"/>
        <v>313.49594674441835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-1.1368683772161603E-13</v>
      </c>
      <c r="CU138" s="18">
        <f>CT138*VLOOKUP('Données projet'!$B$13,Paramètres!$A$1:$I$89,3,0)*VLOOKUP('Données projet'!$B$13,Paramètres!$A$1:$I$89,5,0)</f>
        <v>-6.7984728957526396E-14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367.11994336501527</v>
      </c>
      <c r="CZ138" s="62">
        <f t="shared" si="150"/>
        <v>390.81417197867484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4.3312946440142452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7.2285456191998713E-16</v>
      </c>
      <c r="DI138" s="24">
        <f t="shared" si="123"/>
        <v>4.3312946440142461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1.9895196601282805E-13</v>
      </c>
      <c r="O139" s="14">
        <f>N139*VLOOKUP('Données projet'!$B$9,Paramètres!$A$1:$I$89,3,0)*VLOOKUP('Données projet'!$B$9,Paramètres!$A$1:$I$89,5,0)</f>
        <v>1.8001173884840681E-13</v>
      </c>
      <c r="P139" s="14">
        <f t="shared" si="141"/>
        <v>2.5254331426407198E-12</v>
      </c>
      <c r="Q139" s="22">
        <f t="shared" si="108"/>
        <v>4.7119831685935622E-12</v>
      </c>
      <c r="R139" s="62">
        <f t="shared" si="109"/>
        <v>284.84953039488994</v>
      </c>
      <c r="S139" s="62">
        <f ca="1">AVERAGE(OFFSET($R$3,0,0,'Données projet'!$E$9+1,1))-AVERAGE(OFFSET($H$3,0,0,'Données projet'!$E$9+1,1))</f>
        <v>312.43110610485337</v>
      </c>
      <c r="T139" s="62">
        <f t="shared" si="142"/>
        <v>442.54749157177571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6.6191560224995047E-2</v>
      </c>
      <c r="AA139" s="23">
        <f>EXP(-LN(2)/25)*AA138+(1-EXP(-LN(2)/25))/(LN(2)/25)*Calculateur!V139*Calculateur!X139*VLOOKUP('Données projet'!$B$9,Paramètres!$A$1:$I$89,3,0)*0.475*44/12</f>
        <v>4.982542032279997E-2</v>
      </c>
      <c r="AB139" s="23">
        <f>EXP(-LN(2)/2)*AB138+(1-EXP(-LN(2)/2))/(LN(2)/2)*V139*Y139*VLOOKUP('Données projet'!$B$9,Paramètres!$A$1:$I$89,3,0)*0.475*44/12</f>
        <v>4.2651040316280648E-16</v>
      </c>
      <c r="AC139" s="24">
        <f t="shared" si="111"/>
        <v>0.11601698054779545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-5.6843418860808015E-14</v>
      </c>
      <c r="AJ139" s="14">
        <f>AI139*VLOOKUP('Données projet'!$B$10,Paramètres!$A$1:$I$89,3,0)*VLOOKUP('Données projet'!$B$10,Paramètres!$A$1:$I$89,5,0)</f>
        <v>-4.7884896048344674E-14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445.02659128831181</v>
      </c>
      <c r="AO139" s="62">
        <f t="shared" si="144"/>
        <v>281.06176764290592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0.57201783456072919</v>
      </c>
      <c r="AV139" s="23">
        <f>EXP(-LN(2)/25)*AV138+(1-EXP(-LN(2)/25))/(LN(2)/25)*Calculateur!AQ139*Calculateur!AS139*VLOOKUP('Données projet'!$B$10,Paramètres!$A$1:$I$89,3,0)*0.475*44/12</f>
        <v>5.9103257210493844E-2</v>
      </c>
      <c r="AW139" s="23">
        <f>EXP(-LN(2)/2)*AW138+(1-EXP(-LN(2)/2))/(LN(2)/2)*AQ139*AT139*VLOOKUP('Données projet'!$B$10,Paramètres!$A$1:$I$89,3,0)*0.475*44/12</f>
        <v>2.0922363089119385E-15</v>
      </c>
      <c r="AX139" s="23">
        <f t="shared" si="114"/>
        <v>0.63112109177122511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-5.6843418860808015E-14</v>
      </c>
      <c r="BE139" s="14">
        <f>BD139*VLOOKUP('Données projet'!$B$11,Paramètres!$A$1:$I$89,3,0)*VLOOKUP('Données projet'!$B$11,Paramètres!$A$1:$I$89,5,0)</f>
        <v>-5.1431925385259088E-14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472.46893084347687</v>
      </c>
      <c r="BJ139" s="62">
        <f t="shared" si="146"/>
        <v>297.32483725004136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0.61438952600967212</v>
      </c>
      <c r="BQ139" s="23">
        <f>EXP(-LN(2)/25)*BQ138+(1-EXP(-LN(2)/25))/(LN(2)/25)*Calculateur!BL139*Calculateur!BN139*VLOOKUP('Données projet'!$B$11,Paramètres!$A$1:$I$89,3,0)*0.475*44/12</f>
        <v>6.3481276263122971E-2</v>
      </c>
      <c r="BR139" s="23">
        <f>EXP(-LN(2)/2)*BR138+(1-EXP(-LN(2)/2))/(LN(2)/2)*BL139*BO139*VLOOKUP('Données projet'!$B$11,Paramètres!$A$1:$I$89,3,0)*0.475*44/12</f>
        <v>2.2472167762387479E-15</v>
      </c>
      <c r="BS139" s="24">
        <f t="shared" si="117"/>
        <v>0.67787080227279728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-1.1368683772161603E-13</v>
      </c>
      <c r="BZ139" s="14">
        <f>BY139*VLOOKUP('Données projet'!$B$12,Paramètres!$A$1:$I$89,3,0)*VLOOKUP('Données projet'!$B$12,Paramètres!$A$1:$I$89,5,0)</f>
        <v>-5.3205440053716299E-14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426.87921482911719</v>
      </c>
      <c r="CE139" s="62">
        <f t="shared" si="148"/>
        <v>313.49594674441835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-1.1368683772161603E-13</v>
      </c>
      <c r="CU139" s="18">
        <f>CT139*VLOOKUP('Données projet'!$B$13,Paramètres!$A$1:$I$89,3,0)*VLOOKUP('Données projet'!$B$13,Paramètres!$A$1:$I$89,5,0)</f>
        <v>-6.7984728957526396E-14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367.11994336501527</v>
      </c>
      <c r="CZ139" s="62">
        <f t="shared" si="150"/>
        <v>390.81417197867484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4.2463605978740002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5.11135362545254E-16</v>
      </c>
      <c r="DI139" s="24">
        <f t="shared" si="123"/>
        <v>4.2463605978740011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1.9895196601282805E-13</v>
      </c>
      <c r="O140" s="14">
        <f>N140*VLOOKUP('Données projet'!$B$9,Paramètres!$A$1:$I$89,3,0)*VLOOKUP('Données projet'!$B$9,Paramètres!$A$1:$I$89,5,0)</f>
        <v>1.8001173884840681E-13</v>
      </c>
      <c r="P140" s="14">
        <f t="shared" si="141"/>
        <v>2.5254331426407198E-12</v>
      </c>
      <c r="Q140" s="22">
        <f t="shared" si="108"/>
        <v>4.7119831685935622E-12</v>
      </c>
      <c r="R140" s="62">
        <f t="shared" si="109"/>
        <v>284.9967054089301</v>
      </c>
      <c r="S140" s="62">
        <f ca="1">AVERAGE(OFFSET($R$3,0,0,'Données projet'!$E$9+1,1))-AVERAGE(OFFSET($H$3,0,0,'Données projet'!$E$9+1,1))</f>
        <v>312.43110610485337</v>
      </c>
      <c r="T140" s="62">
        <f t="shared" si="142"/>
        <v>442.54749157177571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6.4893584101848145E-2</v>
      </c>
      <c r="AA140" s="23">
        <f>EXP(-LN(2)/25)*AA139+(1-EXP(-LN(2)/25))/(LN(2)/25)*Calculateur!V140*Calculateur!X140*VLOOKUP('Données projet'!$B$9,Paramètres!$A$1:$I$89,3,0)*0.475*44/12</f>
        <v>4.8462941583868026E-2</v>
      </c>
      <c r="AB140" s="23">
        <f>EXP(-LN(2)/2)*AB139+(1-EXP(-LN(2)/2))/(LN(2)/2)*V140*Y140*VLOOKUP('Données projet'!$B$9,Paramètres!$A$1:$I$89,3,0)*0.475*44/12</f>
        <v>3.0158839832302877E-16</v>
      </c>
      <c r="AC140" s="24">
        <f t="shared" si="111"/>
        <v>0.11335652568571647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-5.6843418860808015E-14</v>
      </c>
      <c r="AJ140" s="14">
        <f>AI140*VLOOKUP('Données projet'!$B$10,Paramètres!$A$1:$I$89,3,0)*VLOOKUP('Données projet'!$B$10,Paramètres!$A$1:$I$89,5,0)</f>
        <v>-4.7884896048344674E-14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445.02659128831181</v>
      </c>
      <c r="AO140" s="62">
        <f t="shared" si="144"/>
        <v>281.06176764290592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0.56080091372142171</v>
      </c>
      <c r="AV140" s="23">
        <f>EXP(-LN(2)/25)*AV139+(1-EXP(-LN(2)/25))/(LN(2)/25)*Calculateur!AQ140*Calculateur!AS140*VLOOKUP('Données projet'!$B$10,Paramètres!$A$1:$I$89,3,0)*0.475*44/12</f>
        <v>5.7487075533967674E-2</v>
      </c>
      <c r="AW140" s="23">
        <f>EXP(-LN(2)/2)*AW139+(1-EXP(-LN(2)/2))/(LN(2)/2)*AQ140*AT140*VLOOKUP('Données projet'!$B$10,Paramètres!$A$1:$I$89,3,0)*0.475*44/12</f>
        <v>1.479434481876344E-15</v>
      </c>
      <c r="AX140" s="23">
        <f t="shared" si="114"/>
        <v>0.61828798925539086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-5.6843418860808015E-14</v>
      </c>
      <c r="BE140" s="14">
        <f>BD140*VLOOKUP('Données projet'!$B$11,Paramètres!$A$1:$I$89,3,0)*VLOOKUP('Données projet'!$B$11,Paramètres!$A$1:$I$89,5,0)</f>
        <v>-5.1431925385259088E-14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472.46893084347687</v>
      </c>
      <c r="BJ140" s="62">
        <f t="shared" si="146"/>
        <v>297.32483725004136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0.60234172214523074</v>
      </c>
      <c r="BQ140" s="23">
        <f>EXP(-LN(2)/25)*BQ139+(1-EXP(-LN(2)/25))/(LN(2)/25)*Calculateur!BL140*Calculateur!BN140*VLOOKUP('Données projet'!$B$11,Paramètres!$A$1:$I$89,3,0)*0.475*44/12</f>
        <v>6.1745377425372644E-2</v>
      </c>
      <c r="BR140" s="23">
        <f>EXP(-LN(2)/2)*BR139+(1-EXP(-LN(2)/2))/(LN(2)/2)*BL140*BO140*VLOOKUP('Données projet'!$B$11,Paramètres!$A$1:$I$89,3,0)*0.475*44/12</f>
        <v>1.5890222212745911E-15</v>
      </c>
      <c r="BS140" s="24">
        <f t="shared" si="117"/>
        <v>0.66408709957060497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-1.1368683772161603E-13</v>
      </c>
      <c r="BZ140" s="14">
        <f>BY140*VLOOKUP('Données projet'!$B$12,Paramètres!$A$1:$I$89,3,0)*VLOOKUP('Données projet'!$B$12,Paramètres!$A$1:$I$89,5,0)</f>
        <v>-5.3205440053716299E-14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426.87921482911719</v>
      </c>
      <c r="CE140" s="62">
        <f t="shared" si="148"/>
        <v>313.49594674441835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-1.1368683772161603E-13</v>
      </c>
      <c r="CU140" s="18">
        <f>CT140*VLOOKUP('Données projet'!$B$13,Paramètres!$A$1:$I$89,3,0)*VLOOKUP('Données projet'!$B$13,Paramètres!$A$1:$I$89,5,0)</f>
        <v>-6.7984728957526396E-14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367.11994336501527</v>
      </c>
      <c r="CZ140" s="62">
        <f t="shared" si="150"/>
        <v>390.81417197867484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4.1630920565739125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3.6142728095999356E-16</v>
      </c>
      <c r="DI140" s="24">
        <f t="shared" si="123"/>
        <v>4.1630920565739125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1.9895196601282805E-13</v>
      </c>
      <c r="O141" s="14">
        <f>N141*VLOOKUP('Données projet'!$B$9,Paramètres!$A$1:$I$89,3,0)*VLOOKUP('Données projet'!$B$9,Paramètres!$A$1:$I$89,5,0)</f>
        <v>1.8001173884840681E-13</v>
      </c>
      <c r="P141" s="14">
        <f t="shared" si="141"/>
        <v>2.5254331426407198E-12</v>
      </c>
      <c r="Q141" s="22">
        <f t="shared" si="108"/>
        <v>4.7119831685935622E-12</v>
      </c>
      <c r="R141" s="62">
        <f t="shared" si="109"/>
        <v>285.14132726551065</v>
      </c>
      <c r="S141" s="62">
        <f ca="1">AVERAGE(OFFSET($R$3,0,0,'Données projet'!$E$9+1,1))-AVERAGE(OFFSET($H$3,0,0,'Données projet'!$E$9+1,1))</f>
        <v>312.43110610485337</v>
      </c>
      <c r="T141" s="62">
        <f t="shared" si="142"/>
        <v>442.54749157177571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6.3621060498788892E-2</v>
      </c>
      <c r="AA141" s="23">
        <f>EXP(-LN(2)/25)*AA140+(1-EXP(-LN(2)/25))/(LN(2)/25)*Calculateur!V141*Calculateur!X141*VLOOKUP('Données projet'!$B$9,Paramètres!$A$1:$I$89,3,0)*0.475*44/12</f>
        <v>4.7137719897701817E-2</v>
      </c>
      <c r="AB141" s="23">
        <f>EXP(-LN(2)/2)*AB140+(1-EXP(-LN(2)/2))/(LN(2)/2)*V141*Y141*VLOOKUP('Données projet'!$B$9,Paramètres!$A$1:$I$89,3,0)*0.475*44/12</f>
        <v>2.1325520158140324E-16</v>
      </c>
      <c r="AC141" s="24">
        <f t="shared" si="111"/>
        <v>0.11075878039649091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-5.6843418860808015E-14</v>
      </c>
      <c r="AJ141" s="14">
        <f>AI141*VLOOKUP('Données projet'!$B$10,Paramètres!$A$1:$I$89,3,0)*VLOOKUP('Données projet'!$B$10,Paramètres!$A$1:$I$89,5,0)</f>
        <v>-4.7884896048344674E-14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445.02659128831181</v>
      </c>
      <c r="AO141" s="62">
        <f t="shared" si="144"/>
        <v>281.06176764290592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0.54980394985812686</v>
      </c>
      <c r="AV141" s="23">
        <f>EXP(-LN(2)/25)*AV140+(1-EXP(-LN(2)/25))/(LN(2)/25)*Calculateur!AQ141*Calculateur!AS141*VLOOKUP('Données projet'!$B$10,Paramètres!$A$1:$I$89,3,0)*0.475*44/12</f>
        <v>5.5915088430377416E-2</v>
      </c>
      <c r="AW141" s="23">
        <f>EXP(-LN(2)/2)*AW140+(1-EXP(-LN(2)/2))/(LN(2)/2)*AQ141*AT141*VLOOKUP('Données projet'!$B$10,Paramètres!$A$1:$I$89,3,0)*0.475*44/12</f>
        <v>1.0461181544559692E-15</v>
      </c>
      <c r="AX141" s="23">
        <f t="shared" si="114"/>
        <v>0.60571903828850526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-5.6843418860808015E-14</v>
      </c>
      <c r="BE141" s="14">
        <f>BD141*VLOOKUP('Données projet'!$B$11,Paramètres!$A$1:$I$89,3,0)*VLOOKUP('Données projet'!$B$11,Paramètres!$A$1:$I$89,5,0)</f>
        <v>-5.1431925385259088E-14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472.46893084347687</v>
      </c>
      <c r="BJ141" s="62">
        <f t="shared" si="146"/>
        <v>297.32483725004136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0.59053016836613637</v>
      </c>
      <c r="BQ141" s="23">
        <f>EXP(-LN(2)/25)*BQ140+(1-EXP(-LN(2)/25))/(LN(2)/25)*Calculateur!BL141*Calculateur!BN141*VLOOKUP('Données projet'!$B$11,Paramètres!$A$1:$I$89,3,0)*0.475*44/12</f>
        <v>6.005694683262755E-2</v>
      </c>
      <c r="BR141" s="23">
        <f>EXP(-LN(2)/2)*BR140+(1-EXP(-LN(2)/2))/(LN(2)/2)*BL141*BO141*VLOOKUP('Données projet'!$B$11,Paramètres!$A$1:$I$89,3,0)*0.475*44/12</f>
        <v>1.123608388119374E-15</v>
      </c>
      <c r="BS141" s="24">
        <f t="shared" si="117"/>
        <v>0.650587115198765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-1.1368683772161603E-13</v>
      </c>
      <c r="BZ141" s="14">
        <f>BY141*VLOOKUP('Données projet'!$B$12,Paramètres!$A$1:$I$89,3,0)*VLOOKUP('Données projet'!$B$12,Paramètres!$A$1:$I$89,5,0)</f>
        <v>-5.3205440053716299E-14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426.87921482911719</v>
      </c>
      <c r="CE141" s="62">
        <f t="shared" si="148"/>
        <v>313.49594674441835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-1.1368683772161603E-13</v>
      </c>
      <c r="CU141" s="18">
        <f>CT141*VLOOKUP('Données projet'!$B$13,Paramètres!$A$1:$I$89,3,0)*VLOOKUP('Données projet'!$B$13,Paramètres!$A$1:$I$89,5,0)</f>
        <v>-6.7984728957526396E-14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367.11994336501527</v>
      </c>
      <c r="CZ141" s="62">
        <f t="shared" si="150"/>
        <v>390.81417197867484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4.0814563605799234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2.55567681272627E-16</v>
      </c>
      <c r="DI141" s="24">
        <f t="shared" si="123"/>
        <v>4.0814563605799234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1.9895196601282805E-13</v>
      </c>
      <c r="O142" s="14">
        <f>N142*VLOOKUP('Données projet'!$B$9,Paramètres!$A$1:$I$89,3,0)*VLOOKUP('Données projet'!$B$9,Paramètres!$A$1:$I$89,5,0)</f>
        <v>1.8001173884840681E-13</v>
      </c>
      <c r="P142" s="14">
        <f t="shared" si="141"/>
        <v>2.5254331426407198E-12</v>
      </c>
      <c r="Q142" s="22">
        <f t="shared" si="108"/>
        <v>4.7119831685935622E-12</v>
      </c>
      <c r="R142" s="62">
        <f t="shared" si="109"/>
        <v>285.28344025620561</v>
      </c>
      <c r="S142" s="62">
        <f ca="1">AVERAGE(OFFSET($R$3,0,0,'Données projet'!$E$9+1,1))-AVERAGE(OFFSET($H$3,0,0,'Données projet'!$E$9+1,1))</f>
        <v>312.43110610485337</v>
      </c>
      <c r="T142" s="62">
        <f t="shared" si="142"/>
        <v>442.54749157177571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6.2373490307422869E-2</v>
      </c>
      <c r="AA142" s="23">
        <f>EXP(-LN(2)/25)*AA141+(1-EXP(-LN(2)/25))/(LN(2)/25)*Calculateur!V142*Calculateur!X142*VLOOKUP('Données projet'!$B$9,Paramètres!$A$1:$I$89,3,0)*0.475*44/12</f>
        <v>4.5848736468234209E-2</v>
      </c>
      <c r="AB142" s="23">
        <f>EXP(-LN(2)/2)*AB141+(1-EXP(-LN(2)/2))/(LN(2)/2)*V142*Y142*VLOOKUP('Données projet'!$B$9,Paramètres!$A$1:$I$89,3,0)*0.475*44/12</f>
        <v>1.5079419916151438E-16</v>
      </c>
      <c r="AC142" s="24">
        <f t="shared" si="111"/>
        <v>0.10822222677565722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-5.6843418860808015E-14</v>
      </c>
      <c r="AJ142" s="14">
        <f>AI142*VLOOKUP('Données projet'!$B$10,Paramètres!$A$1:$I$89,3,0)*VLOOKUP('Données projet'!$B$10,Paramètres!$A$1:$I$89,5,0)</f>
        <v>-4.7884896048344674E-14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445.02659128831181</v>
      </c>
      <c r="AO142" s="62">
        <f t="shared" si="144"/>
        <v>281.06176764290592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0.53902262974870563</v>
      </c>
      <c r="AV142" s="23">
        <f>EXP(-LN(2)/25)*AV141+(1-EXP(-LN(2)/25))/(LN(2)/25)*Calculateur!AQ142*Calculateur!AS142*VLOOKUP('Données projet'!$B$10,Paramètres!$A$1:$I$89,3,0)*0.475*44/12</f>
        <v>5.4386087396802042E-2</v>
      </c>
      <c r="AW142" s="23">
        <f>EXP(-LN(2)/2)*AW141+(1-EXP(-LN(2)/2))/(LN(2)/2)*AQ142*AT142*VLOOKUP('Données projet'!$B$10,Paramètres!$A$1:$I$89,3,0)*0.475*44/12</f>
        <v>7.3971724093817198E-16</v>
      </c>
      <c r="AX142" s="23">
        <f t="shared" si="114"/>
        <v>0.59340871714550847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-5.6843418860808015E-14</v>
      </c>
      <c r="BE142" s="14">
        <f>BD142*VLOOKUP('Données projet'!$B$11,Paramètres!$A$1:$I$89,3,0)*VLOOKUP('Données projet'!$B$11,Paramètres!$A$1:$I$89,5,0)</f>
        <v>-5.1431925385259088E-14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472.46893084347687</v>
      </c>
      <c r="BJ142" s="62">
        <f t="shared" si="146"/>
        <v>297.32483725004136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0.57895023195231354</v>
      </c>
      <c r="BQ142" s="23">
        <f>EXP(-LN(2)/25)*BQ141+(1-EXP(-LN(2)/25))/(LN(2)/25)*Calculateur!BL142*Calculateur!BN142*VLOOKUP('Données projet'!$B$11,Paramètres!$A$1:$I$89,3,0)*0.475*44/12</f>
        <v>5.841468646323178E-2</v>
      </c>
      <c r="BR142" s="23">
        <f>EXP(-LN(2)/2)*BR141+(1-EXP(-LN(2)/2))/(LN(2)/2)*BL142*BO142*VLOOKUP('Données projet'!$B$11,Paramètres!$A$1:$I$89,3,0)*0.475*44/12</f>
        <v>7.9451111063729554E-16</v>
      </c>
      <c r="BS142" s="24">
        <f t="shared" si="117"/>
        <v>0.6373649184155461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-1.1368683772161603E-13</v>
      </c>
      <c r="BZ142" s="14">
        <f>BY142*VLOOKUP('Données projet'!$B$12,Paramètres!$A$1:$I$89,3,0)*VLOOKUP('Données projet'!$B$12,Paramètres!$A$1:$I$89,5,0)</f>
        <v>-5.3205440053716299E-14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426.87921482911719</v>
      </c>
      <c r="CE142" s="62">
        <f t="shared" si="148"/>
        <v>313.49594674441835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-1.1368683772161603E-13</v>
      </c>
      <c r="CU142" s="18">
        <f>CT142*VLOOKUP('Données projet'!$B$13,Paramètres!$A$1:$I$89,3,0)*VLOOKUP('Données projet'!$B$13,Paramètres!$A$1:$I$89,5,0)</f>
        <v>-6.7984728957526396E-14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367.11994336501527</v>
      </c>
      <c r="CZ142" s="62">
        <f t="shared" si="150"/>
        <v>390.81417197867484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4.0014214907915191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1.8071364047999678E-16</v>
      </c>
      <c r="DI142" s="24">
        <f t="shared" si="123"/>
        <v>4.0014214907915191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1.9895196601282805E-13</v>
      </c>
      <c r="O143" s="14">
        <f>N143*VLOOKUP('Données projet'!$B$9,Paramètres!$A$1:$I$89,3,0)*VLOOKUP('Données projet'!$B$9,Paramètres!$A$1:$I$89,5,0)</f>
        <v>1.8001173884840681E-13</v>
      </c>
      <c r="P143" s="14">
        <f t="shared" si="141"/>
        <v>2.5254331426407198E-12</v>
      </c>
      <c r="Q143" s="22">
        <f t="shared" si="108"/>
        <v>4.7119831685935622E-12</v>
      </c>
      <c r="R143" s="62">
        <f t="shared" si="109"/>
        <v>285.42308790422908</v>
      </c>
      <c r="S143" s="62">
        <f ca="1">AVERAGE(OFFSET($R$3,0,0,'Données projet'!$E$9+1,1))-AVERAGE(OFFSET($H$3,0,0,'Données projet'!$E$9+1,1))</f>
        <v>312.43110610485337</v>
      </c>
      <c r="T143" s="62">
        <f t="shared" si="142"/>
        <v>442.54749157177571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6.1150384206566856E-2</v>
      </c>
      <c r="AA143" s="23">
        <f>EXP(-LN(2)/25)*AA142+(1-EXP(-LN(2)/25))/(LN(2)/25)*Calculateur!V143*Calculateur!X143*VLOOKUP('Données projet'!$B$9,Paramètres!$A$1:$I$89,3,0)*0.475*44/12</f>
        <v>4.459500035843008E-2</v>
      </c>
      <c r="AB143" s="23">
        <f>EXP(-LN(2)/2)*AB142+(1-EXP(-LN(2)/2))/(LN(2)/2)*V143*Y143*VLOOKUP('Données projet'!$B$9,Paramètres!$A$1:$I$89,3,0)*0.475*44/12</f>
        <v>1.0662760079070162E-16</v>
      </c>
      <c r="AC143" s="24">
        <f t="shared" si="111"/>
        <v>0.10574538456499705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-5.6843418860808015E-14</v>
      </c>
      <c r="AJ143" s="14">
        <f>AI143*VLOOKUP('Données projet'!$B$10,Paramètres!$A$1:$I$89,3,0)*VLOOKUP('Données projet'!$B$10,Paramètres!$A$1:$I$89,5,0)</f>
        <v>-4.7884896048344674E-14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445.02659128831181</v>
      </c>
      <c r="AO143" s="62">
        <f t="shared" si="144"/>
        <v>281.06176764290592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0.52845272475067417</v>
      </c>
      <c r="AV143" s="23">
        <f>EXP(-LN(2)/25)*AV142+(1-EXP(-LN(2)/25))/(LN(2)/25)*Calculateur!AQ143*Calculateur!AS143*VLOOKUP('Données projet'!$B$10,Paramètres!$A$1:$I$89,3,0)*0.475*44/12</f>
        <v>5.2898896976896453E-2</v>
      </c>
      <c r="AW143" s="23">
        <f>EXP(-LN(2)/2)*AW142+(1-EXP(-LN(2)/2))/(LN(2)/2)*AQ143*AT143*VLOOKUP('Données projet'!$B$10,Paramètres!$A$1:$I$89,3,0)*0.475*44/12</f>
        <v>5.2305907722798462E-16</v>
      </c>
      <c r="AX143" s="23">
        <f t="shared" si="114"/>
        <v>0.58135162172757116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-5.6843418860808015E-14</v>
      </c>
      <c r="BE143" s="14">
        <f>BD143*VLOOKUP('Données projet'!$B$11,Paramètres!$A$1:$I$89,3,0)*VLOOKUP('Données projet'!$B$11,Paramètres!$A$1:$I$89,5,0)</f>
        <v>-5.1431925385259088E-14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472.46893084347687</v>
      </c>
      <c r="BJ143" s="62">
        <f t="shared" si="146"/>
        <v>297.32483725004136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0.56759737102850194</v>
      </c>
      <c r="BQ143" s="23">
        <f>EXP(-LN(2)/25)*BQ142+(1-EXP(-LN(2)/25))/(LN(2)/25)*Calculateur!BL143*Calculateur!BN143*VLOOKUP('Données projet'!$B$11,Paramètres!$A$1:$I$89,3,0)*0.475*44/12</f>
        <v>5.6817333789999855E-2</v>
      </c>
      <c r="BR143" s="23">
        <f>EXP(-LN(2)/2)*BR142+(1-EXP(-LN(2)/2))/(LN(2)/2)*BL143*BO143*VLOOKUP('Données projet'!$B$11,Paramètres!$A$1:$I$89,3,0)*0.475*44/12</f>
        <v>5.6180419405968698E-16</v>
      </c>
      <c r="BS143" s="24">
        <f t="shared" si="117"/>
        <v>0.62441470481850236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-1.1368683772161603E-13</v>
      </c>
      <c r="BZ143" s="14">
        <f>BY143*VLOOKUP('Données projet'!$B$12,Paramètres!$A$1:$I$89,3,0)*VLOOKUP('Données projet'!$B$12,Paramètres!$A$1:$I$89,5,0)</f>
        <v>-5.3205440053716299E-14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426.87921482911719</v>
      </c>
      <c r="CE143" s="62">
        <f t="shared" si="148"/>
        <v>313.49594674441835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-1.1368683772161603E-13</v>
      </c>
      <c r="CU143" s="18">
        <f>CT143*VLOOKUP('Données projet'!$B$13,Paramètres!$A$1:$I$89,3,0)*VLOOKUP('Données projet'!$B$13,Paramètres!$A$1:$I$89,5,0)</f>
        <v>-6.7984728957526396E-14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367.11994336501527</v>
      </c>
      <c r="CZ143" s="62">
        <f t="shared" si="150"/>
        <v>390.81417197867484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3.9229560559832151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1.277838406363135E-16</v>
      </c>
      <c r="DI143" s="24">
        <f t="shared" si="123"/>
        <v>3.9229560559832151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1.9895196601282805E-13</v>
      </c>
      <c r="O144" s="14">
        <f>N144*VLOOKUP('Données projet'!$B$9,Paramètres!$A$1:$I$89,3,0)*VLOOKUP('Données projet'!$B$9,Paramètres!$A$1:$I$89,5,0)</f>
        <v>1.8001173884840681E-13</v>
      </c>
      <c r="P144" s="14">
        <f t="shared" si="141"/>
        <v>2.5254331426407198E-12</v>
      </c>
      <c r="Q144" s="22">
        <f t="shared" si="108"/>
        <v>4.7119831685935622E-12</v>
      </c>
      <c r="R144" s="62">
        <f t="shared" si="109"/>
        <v>285.56031297776474</v>
      </c>
      <c r="S144" s="62">
        <f ca="1">AVERAGE(OFFSET($R$3,0,0,'Données projet'!$E$9+1,1))-AVERAGE(OFFSET($H$3,0,0,'Données projet'!$E$9+1,1))</f>
        <v>312.43110610485337</v>
      </c>
      <c r="T144" s="62">
        <f t="shared" si="142"/>
        <v>442.54749157177571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5.9951262470327567E-2</v>
      </c>
      <c r="AA144" s="23">
        <f>EXP(-LN(2)/25)*AA143+(1-EXP(-LN(2)/25))/(LN(2)/25)*Calculateur!V144*Calculateur!X144*VLOOKUP('Données projet'!$B$9,Paramètres!$A$1:$I$89,3,0)*0.475*44/12</f>
        <v>4.3375547728479666E-2</v>
      </c>
      <c r="AB144" s="23">
        <f>EXP(-LN(2)/2)*AB143+(1-EXP(-LN(2)/2))/(LN(2)/2)*V144*Y144*VLOOKUP('Données projet'!$B$9,Paramètres!$A$1:$I$89,3,0)*0.475*44/12</f>
        <v>7.5397099580757192E-17</v>
      </c>
      <c r="AC144" s="24">
        <f t="shared" si="111"/>
        <v>0.10332681019880731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-5.6843418860808015E-14</v>
      </c>
      <c r="AJ144" s="14">
        <f>AI144*VLOOKUP('Données projet'!$B$10,Paramètres!$A$1:$I$89,3,0)*VLOOKUP('Données projet'!$B$10,Paramètres!$A$1:$I$89,5,0)</f>
        <v>-4.7884896048344674E-14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445.02659128831181</v>
      </c>
      <c r="AO144" s="62">
        <f t="shared" si="144"/>
        <v>281.06176764290592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0.51809008914264865</v>
      </c>
      <c r="AV144" s="23">
        <f>EXP(-LN(2)/25)*AV143+(1-EXP(-LN(2)/25))/(LN(2)/25)*Calculateur!AQ144*Calculateur!AS144*VLOOKUP('Données projet'!$B$10,Paramètres!$A$1:$I$89,3,0)*0.475*44/12</f>
        <v>5.1452373857231129E-2</v>
      </c>
      <c r="AW144" s="23">
        <f>EXP(-LN(2)/2)*AW143+(1-EXP(-LN(2)/2))/(LN(2)/2)*AQ144*AT144*VLOOKUP('Données projet'!$B$10,Paramètres!$A$1:$I$89,3,0)*0.475*44/12</f>
        <v>3.6985862046908599E-16</v>
      </c>
      <c r="AX144" s="23">
        <f t="shared" si="114"/>
        <v>0.56954246299988009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-5.6843418860808015E-14</v>
      </c>
      <c r="BE144" s="14">
        <f>BD144*VLOOKUP('Données projet'!$B$11,Paramètres!$A$1:$I$89,3,0)*VLOOKUP('Données projet'!$B$11,Paramètres!$A$1:$I$89,5,0)</f>
        <v>-5.1431925385259088E-14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472.46893084347687</v>
      </c>
      <c r="BJ144" s="62">
        <f t="shared" si="146"/>
        <v>297.32483725004136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0.55646713278284488</v>
      </c>
      <c r="BQ144" s="23">
        <f>EXP(-LN(2)/25)*BQ143+(1-EXP(-LN(2)/25))/(LN(2)/25)*Calculateur!BL144*Calculateur!BN144*VLOOKUP('Données projet'!$B$11,Paramètres!$A$1:$I$89,3,0)*0.475*44/12</f>
        <v>5.526366080961858E-2</v>
      </c>
      <c r="BR144" s="23">
        <f>EXP(-LN(2)/2)*BR143+(1-EXP(-LN(2)/2))/(LN(2)/2)*BL144*BO144*VLOOKUP('Données projet'!$B$11,Paramètres!$A$1:$I$89,3,0)*0.475*44/12</f>
        <v>3.9725555531864777E-16</v>
      </c>
      <c r="BS144" s="24">
        <f t="shared" si="117"/>
        <v>0.61173079359246385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-1.1368683772161603E-13</v>
      </c>
      <c r="BZ144" s="14">
        <f>BY144*VLOOKUP('Données projet'!$B$12,Paramètres!$A$1:$I$89,3,0)*VLOOKUP('Données projet'!$B$12,Paramètres!$A$1:$I$89,5,0)</f>
        <v>-5.3205440053716299E-14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426.87921482911719</v>
      </c>
      <c r="CE144" s="62">
        <f t="shared" si="148"/>
        <v>313.49594674441835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-1.1368683772161603E-13</v>
      </c>
      <c r="CU144" s="18">
        <f>CT144*VLOOKUP('Données projet'!$B$13,Paramètres!$A$1:$I$89,3,0)*VLOOKUP('Données projet'!$B$13,Paramètres!$A$1:$I$89,5,0)</f>
        <v>-6.7984728957526396E-14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367.11994336501527</v>
      </c>
      <c r="CZ144" s="62">
        <f t="shared" si="150"/>
        <v>390.81417197867484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3.8460292804923122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9.0356820239998391E-17</v>
      </c>
      <c r="DI144" s="24">
        <f t="shared" si="123"/>
        <v>3.8460292804923122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1.9895196601282805E-13</v>
      </c>
      <c r="O145" s="14">
        <f>N145*VLOOKUP('Données projet'!$B$9,Paramètres!$A$1:$I$89,3,0)*VLOOKUP('Données projet'!$B$9,Paramètres!$A$1:$I$89,5,0)</f>
        <v>1.8001173884840681E-13</v>
      </c>
      <c r="P145" s="14">
        <f t="shared" si="141"/>
        <v>2.5254331426407198E-12</v>
      </c>
      <c r="Q145" s="22">
        <f t="shared" si="108"/>
        <v>4.7119831685935622E-12</v>
      </c>
      <c r="R145" s="62">
        <f t="shared" si="109"/>
        <v>285.6951575030638</v>
      </c>
      <c r="S145" s="62">
        <f ca="1">AVERAGE(OFFSET($R$3,0,0,'Données projet'!$E$9+1,1))-AVERAGE(OFFSET($H$3,0,0,'Données projet'!$E$9+1,1))</f>
        <v>312.43110610485337</v>
      </c>
      <c r="T145" s="62">
        <f t="shared" si="142"/>
        <v>442.54749157177571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5.8775654779943891E-2</v>
      </c>
      <c r="AA145" s="23">
        <f>EXP(-LN(2)/25)*AA144+(1-EXP(-LN(2)/25))/(LN(2)/25)*Calculateur!V145*Calculateur!X145*VLOOKUP('Données projet'!$B$9,Paramètres!$A$1:$I$89,3,0)*0.475*44/12</f>
        <v>4.218944109482347E-2</v>
      </c>
      <c r="AB145" s="23">
        <f>EXP(-LN(2)/2)*AB144+(1-EXP(-LN(2)/2))/(LN(2)/2)*V145*Y145*VLOOKUP('Données projet'!$B$9,Paramètres!$A$1:$I$89,3,0)*0.475*44/12</f>
        <v>5.331380039535081E-17</v>
      </c>
      <c r="AC145" s="24">
        <f t="shared" si="111"/>
        <v>0.10096509587476742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-5.6843418860808015E-14</v>
      </c>
      <c r="AJ145" s="14">
        <f>AI145*VLOOKUP('Données projet'!$B$10,Paramètres!$A$1:$I$89,3,0)*VLOOKUP('Données projet'!$B$10,Paramètres!$A$1:$I$89,5,0)</f>
        <v>-4.7884896048344674E-14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445.02659128831181</v>
      </c>
      <c r="AO145" s="62">
        <f t="shared" si="144"/>
        <v>281.06176764290592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0.50793065849831287</v>
      </c>
      <c r="AV145" s="23">
        <f>EXP(-LN(2)/25)*AV144+(1-EXP(-LN(2)/25))/(LN(2)/25)*Calculateur!AQ145*Calculateur!AS145*VLOOKUP('Données projet'!$B$10,Paramètres!$A$1:$I$89,3,0)*0.475*44/12</f>
        <v>5.0045405988342395E-2</v>
      </c>
      <c r="AW145" s="23">
        <f>EXP(-LN(2)/2)*AW144+(1-EXP(-LN(2)/2))/(LN(2)/2)*AQ145*AT145*VLOOKUP('Données projet'!$B$10,Paramètres!$A$1:$I$89,3,0)*0.475*44/12</f>
        <v>2.6152953861399231E-16</v>
      </c>
      <c r="AX145" s="23">
        <f t="shared" si="114"/>
        <v>0.55797606448665549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-5.6843418860808015E-14</v>
      </c>
      <c r="BE145" s="14">
        <f>BD145*VLOOKUP('Données projet'!$B$11,Paramètres!$A$1:$I$89,3,0)*VLOOKUP('Données projet'!$B$11,Paramètres!$A$1:$I$89,5,0)</f>
        <v>-5.1431925385259088E-14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472.46893084347687</v>
      </c>
      <c r="BJ145" s="62">
        <f t="shared" si="146"/>
        <v>297.32483725004136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0.54555515172041014</v>
      </c>
      <c r="BQ145" s="23">
        <f>EXP(-LN(2)/25)*BQ144+(1-EXP(-LN(2)/25))/(LN(2)/25)*Calculateur!BL145*Calculateur!BN145*VLOOKUP('Données projet'!$B$11,Paramètres!$A$1:$I$89,3,0)*0.475*44/12</f>
        <v>5.3752473098589944E-2</v>
      </c>
      <c r="BR145" s="23">
        <f>EXP(-LN(2)/2)*BR144+(1-EXP(-LN(2)/2))/(LN(2)/2)*BL145*BO145*VLOOKUP('Données projet'!$B$11,Paramètres!$A$1:$I$89,3,0)*0.475*44/12</f>
        <v>2.8090209702984349E-16</v>
      </c>
      <c r="BS145" s="24">
        <f t="shared" si="117"/>
        <v>0.59930762481900046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-1.1368683772161603E-13</v>
      </c>
      <c r="BZ145" s="14">
        <f>BY145*VLOOKUP('Données projet'!$B$12,Paramètres!$A$1:$I$89,3,0)*VLOOKUP('Données projet'!$B$12,Paramètres!$A$1:$I$89,5,0)</f>
        <v>-5.3205440053716299E-14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426.87921482911719</v>
      </c>
      <c r="CE145" s="62">
        <f t="shared" si="148"/>
        <v>313.49594674441835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-1.1368683772161603E-13</v>
      </c>
      <c r="CU145" s="18">
        <f>CT145*VLOOKUP('Données projet'!$B$13,Paramètres!$A$1:$I$89,3,0)*VLOOKUP('Données projet'!$B$13,Paramètres!$A$1:$I$89,5,0)</f>
        <v>-6.7984728957526396E-14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367.11994336501527</v>
      </c>
      <c r="CZ145" s="62">
        <f t="shared" si="150"/>
        <v>390.81417197867484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3.7706109921480859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6.389192031815675E-17</v>
      </c>
      <c r="DI145" s="24">
        <f t="shared" si="123"/>
        <v>3.7706109921480859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1.9895196601282805E-13</v>
      </c>
      <c r="O146" s="14">
        <f>N146*VLOOKUP('Données projet'!$B$9,Paramètres!$A$1:$I$89,3,0)*VLOOKUP('Données projet'!$B$9,Paramètres!$A$1:$I$89,5,0)</f>
        <v>1.8001173884840681E-13</v>
      </c>
      <c r="P146" s="14">
        <f t="shared" si="141"/>
        <v>2.5254331426407198E-12</v>
      </c>
      <c r="Q146" s="22">
        <f t="shared" si="108"/>
        <v>4.7119831685935622E-12</v>
      </c>
      <c r="R146" s="62">
        <f t="shared" si="109"/>
        <v>285.82766277731616</v>
      </c>
      <c r="S146" s="62">
        <f ca="1">AVERAGE(OFFSET($R$3,0,0,'Données projet'!$E$9+1,1))-AVERAGE(OFFSET($H$3,0,0,'Données projet'!$E$9+1,1))</f>
        <v>312.43110610485337</v>
      </c>
      <c r="T146" s="62">
        <f t="shared" si="142"/>
        <v>442.54749157177571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5.7623100039318753E-2</v>
      </c>
      <c r="AA146" s="23">
        <f>EXP(-LN(2)/25)*AA145+(1-EXP(-LN(2)/25))/(LN(2)/25)*Calculateur!V146*Calculateur!X146*VLOOKUP('Données projet'!$B$9,Paramètres!$A$1:$I$89,3,0)*0.475*44/12</f>
        <v>4.1035768609439242E-2</v>
      </c>
      <c r="AB146" s="23">
        <f>EXP(-LN(2)/2)*AB145+(1-EXP(-LN(2)/2))/(LN(2)/2)*V146*Y146*VLOOKUP('Données projet'!$B$9,Paramètres!$A$1:$I$89,3,0)*0.475*44/12</f>
        <v>3.7698549790378596E-17</v>
      </c>
      <c r="AC146" s="24">
        <f t="shared" si="111"/>
        <v>9.8658868648758044E-2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-5.6843418860808015E-14</v>
      </c>
      <c r="AJ146" s="14">
        <f>AI146*VLOOKUP('Données projet'!$B$10,Paramètres!$A$1:$I$89,3,0)*VLOOKUP('Données projet'!$B$10,Paramètres!$A$1:$I$89,5,0)</f>
        <v>-4.7884896048344674E-14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445.02659128831181</v>
      </c>
      <c r="AO146" s="62">
        <f t="shared" si="144"/>
        <v>281.06176764290592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0.4979704480922717</v>
      </c>
      <c r="AV146" s="23">
        <f>EXP(-LN(2)/25)*AV145+(1-EXP(-LN(2)/25))/(LN(2)/25)*Calculateur!AQ146*Calculateur!AS146*VLOOKUP('Données projet'!$B$10,Paramètres!$A$1:$I$89,3,0)*0.475*44/12</f>
        <v>4.8676911729817654E-2</v>
      </c>
      <c r="AW146" s="23">
        <f>EXP(-LN(2)/2)*AW145+(1-EXP(-LN(2)/2))/(LN(2)/2)*AQ146*AT146*VLOOKUP('Données projet'!$B$10,Paramètres!$A$1:$I$89,3,0)*0.475*44/12</f>
        <v>1.84929310234543E-16</v>
      </c>
      <c r="AX146" s="23">
        <f t="shared" si="114"/>
        <v>0.54664735982208956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-5.6843418860808015E-14</v>
      </c>
      <c r="BE146" s="14">
        <f>BD146*VLOOKUP('Données projet'!$B$11,Paramètres!$A$1:$I$89,3,0)*VLOOKUP('Données projet'!$B$11,Paramètres!$A$1:$I$89,5,0)</f>
        <v>-5.1431925385259088E-14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472.46893084347687</v>
      </c>
      <c r="BJ146" s="62">
        <f t="shared" si="146"/>
        <v>297.32483725004136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0.53485714795095851</v>
      </c>
      <c r="BQ146" s="23">
        <f>EXP(-LN(2)/25)*BQ145+(1-EXP(-LN(2)/25))/(LN(2)/25)*Calculateur!BL146*Calculateur!BN146*VLOOKUP('Données projet'!$B$11,Paramètres!$A$1:$I$89,3,0)*0.475*44/12</f>
        <v>5.2282608894989292E-2</v>
      </c>
      <c r="BR146" s="23">
        <f>EXP(-LN(2)/2)*BR145+(1-EXP(-LN(2)/2))/(LN(2)/2)*BL146*BO146*VLOOKUP('Données projet'!$B$11,Paramètres!$A$1:$I$89,3,0)*0.475*44/12</f>
        <v>1.9862777765932389E-16</v>
      </c>
      <c r="BS146" s="24">
        <f t="shared" si="117"/>
        <v>0.58713975684594799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-1.1368683772161603E-13</v>
      </c>
      <c r="BZ146" s="14">
        <f>BY146*VLOOKUP('Données projet'!$B$12,Paramètres!$A$1:$I$89,3,0)*VLOOKUP('Données projet'!$B$12,Paramètres!$A$1:$I$89,5,0)</f>
        <v>-5.3205440053716299E-14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426.87921482911719</v>
      </c>
      <c r="CE146" s="62">
        <f t="shared" si="148"/>
        <v>313.49594674441835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-1.1368683772161603E-13</v>
      </c>
      <c r="CU146" s="18">
        <f>CT146*VLOOKUP('Données projet'!$B$13,Paramètres!$A$1:$I$89,3,0)*VLOOKUP('Données projet'!$B$13,Paramètres!$A$1:$I$89,5,0)</f>
        <v>-6.7984728957526396E-14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367.11994336501527</v>
      </c>
      <c r="CZ146" s="62">
        <f t="shared" si="150"/>
        <v>390.81417197867484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3.6966716104376762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4.5178410119999196E-17</v>
      </c>
      <c r="DI146" s="24">
        <f t="shared" si="123"/>
        <v>3.6966716104376762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1.9895196601282805E-13</v>
      </c>
      <c r="O147" s="14">
        <f>N147*VLOOKUP('Données projet'!$B$9,Paramètres!$A$1:$I$89,3,0)*VLOOKUP('Données projet'!$B$9,Paramètres!$A$1:$I$89,5,0)</f>
        <v>1.8001173884840681E-13</v>
      </c>
      <c r="P147" s="14">
        <f t="shared" si="141"/>
        <v>2.5254331426407198E-12</v>
      </c>
      <c r="Q147" s="22">
        <f t="shared" si="108"/>
        <v>4.7119831685935622E-12</v>
      </c>
      <c r="R147" s="62">
        <f t="shared" si="109"/>
        <v>285.9578693812976</v>
      </c>
      <c r="S147" s="62">
        <f ca="1">AVERAGE(OFFSET($R$3,0,0,'Données projet'!$E$9+1,1))-AVERAGE(OFFSET($H$3,0,0,'Données projet'!$E$9+1,1))</f>
        <v>312.43110610485337</v>
      </c>
      <c r="T147" s="62">
        <f t="shared" si="142"/>
        <v>442.54749157177571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5.6493146194168294E-2</v>
      </c>
      <c r="AA147" s="23">
        <f>EXP(-LN(2)/25)*AA146+(1-EXP(-LN(2)/25))/(LN(2)/25)*Calculateur!V147*Calculateur!X147*VLOOKUP('Données projet'!$B$9,Paramètres!$A$1:$I$89,3,0)*0.475*44/12</f>
        <v>3.9913643358836841E-2</v>
      </c>
      <c r="AB147" s="23">
        <f>EXP(-LN(2)/2)*AB146+(1-EXP(-LN(2)/2))/(LN(2)/2)*V147*Y147*VLOOKUP('Données projet'!$B$9,Paramètres!$A$1:$I$89,3,0)*0.475*44/12</f>
        <v>2.6656900197675405E-17</v>
      </c>
      <c r="AC147" s="24">
        <f t="shared" si="111"/>
        <v>9.6406789553005162E-2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-5.6843418860808015E-14</v>
      </c>
      <c r="AJ147" s="14">
        <f>AI147*VLOOKUP('Données projet'!$B$10,Paramètres!$A$1:$I$89,3,0)*VLOOKUP('Données projet'!$B$10,Paramètres!$A$1:$I$89,5,0)</f>
        <v>-4.7884896048344674E-14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445.02659128831181</v>
      </c>
      <c r="AO147" s="62">
        <f t="shared" si="144"/>
        <v>281.06176764290592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0.48820555133716453</v>
      </c>
      <c r="AV147" s="23">
        <f>EXP(-LN(2)/25)*AV146+(1-EXP(-LN(2)/25))/(LN(2)/25)*Calculateur!AQ147*Calculateur!AS147*VLOOKUP('Données projet'!$B$10,Paramètres!$A$1:$I$89,3,0)*0.475*44/12</f>
        <v>4.7345839018758253E-2</v>
      </c>
      <c r="AW147" s="23">
        <f>EXP(-LN(2)/2)*AW146+(1-EXP(-LN(2)/2))/(LN(2)/2)*AQ147*AT147*VLOOKUP('Données projet'!$B$10,Paramètres!$A$1:$I$89,3,0)*0.475*44/12</f>
        <v>1.3076476930699615E-16</v>
      </c>
      <c r="AX147" s="23">
        <f t="shared" si="114"/>
        <v>0.53555139035592292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-5.6843418860808015E-14</v>
      </c>
      <c r="BE147" s="14">
        <f>BD147*VLOOKUP('Données projet'!$B$11,Paramètres!$A$1:$I$89,3,0)*VLOOKUP('Données projet'!$B$11,Paramètres!$A$1:$I$89,5,0)</f>
        <v>-5.1431925385259088E-14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472.46893084347687</v>
      </c>
      <c r="BJ147" s="62">
        <f t="shared" si="146"/>
        <v>297.32483725004136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0.52436892551028791</v>
      </c>
      <c r="BQ147" s="23">
        <f>EXP(-LN(2)/25)*BQ146+(1-EXP(-LN(2)/25))/(LN(2)/25)*Calculateur!BL147*Calculateur!BN147*VLOOKUP('Données projet'!$B$11,Paramètres!$A$1:$I$89,3,0)*0.475*44/12</f>
        <v>5.0852938205332904E-2</v>
      </c>
      <c r="BR147" s="23">
        <f>EXP(-LN(2)/2)*BR146+(1-EXP(-LN(2)/2))/(LN(2)/2)*BL147*BO147*VLOOKUP('Données projet'!$B$11,Paramètres!$A$1:$I$89,3,0)*0.475*44/12</f>
        <v>1.4045104851492175E-16</v>
      </c>
      <c r="BS147" s="24">
        <f t="shared" si="117"/>
        <v>0.5752218637156209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-1.1368683772161603E-13</v>
      </c>
      <c r="BZ147" s="14">
        <f>BY147*VLOOKUP('Données projet'!$B$12,Paramètres!$A$1:$I$89,3,0)*VLOOKUP('Données projet'!$B$12,Paramètres!$A$1:$I$89,5,0)</f>
        <v>-5.3205440053716299E-14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426.87921482911719</v>
      </c>
      <c r="CE147" s="62">
        <f t="shared" si="148"/>
        <v>313.49594674441835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-1.1368683772161603E-13</v>
      </c>
      <c r="CU147" s="18">
        <f>CT147*VLOOKUP('Données projet'!$B$13,Paramètres!$A$1:$I$89,3,0)*VLOOKUP('Données projet'!$B$13,Paramètres!$A$1:$I$89,5,0)</f>
        <v>-6.7984728957526396E-14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367.11994336501527</v>
      </c>
      <c r="CZ147" s="62">
        <f t="shared" si="150"/>
        <v>390.81417197867484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3.624182134904038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3.1945960159078375E-17</v>
      </c>
      <c r="DI147" s="24">
        <f t="shared" si="123"/>
        <v>3.624182134904038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1.9895196601282805E-13</v>
      </c>
      <c r="O148" s="14">
        <f>N148*VLOOKUP('Données projet'!$B$9,Paramètres!$A$1:$I$89,3,0)*VLOOKUP('Données projet'!$B$9,Paramètres!$A$1:$I$89,5,0)</f>
        <v>1.8001173884840681E-13</v>
      </c>
      <c r="P148" s="14">
        <f t="shared" si="141"/>
        <v>2.5254331426407198E-12</v>
      </c>
      <c r="Q148" s="22">
        <f t="shared" si="108"/>
        <v>4.7119831685935622E-12</v>
      </c>
      <c r="R148" s="62">
        <f t="shared" si="109"/>
        <v>286.0858171917983</v>
      </c>
      <c r="S148" s="62">
        <f ca="1">AVERAGE(OFFSET($R$3,0,0,'Données projet'!$E$9+1,1))-AVERAGE(OFFSET($H$3,0,0,'Données projet'!$E$9+1,1))</f>
        <v>312.43110610485337</v>
      </c>
      <c r="T148" s="62">
        <f t="shared" si="142"/>
        <v>442.54749157177571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5.5385350054717446E-2</v>
      </c>
      <c r="AA148" s="23">
        <f>EXP(-LN(2)/25)*AA147+(1-EXP(-LN(2)/25))/(LN(2)/25)*Calculateur!V148*Calculateur!X148*VLOOKUP('Données projet'!$B$9,Paramètres!$A$1:$I$89,3,0)*0.475*44/12</f>
        <v>3.8822202682222168E-2</v>
      </c>
      <c r="AB148" s="23">
        <f>EXP(-LN(2)/2)*AB147+(1-EXP(-LN(2)/2))/(LN(2)/2)*V148*Y148*VLOOKUP('Données projet'!$B$9,Paramètres!$A$1:$I$89,3,0)*0.475*44/12</f>
        <v>1.8849274895189298E-17</v>
      </c>
      <c r="AC148" s="24">
        <f t="shared" si="111"/>
        <v>9.4207552736939634E-2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-5.6843418860808015E-14</v>
      </c>
      <c r="AJ148" s="14">
        <f>AI148*VLOOKUP('Données projet'!$B$10,Paramètres!$A$1:$I$89,3,0)*VLOOKUP('Données projet'!$B$10,Paramètres!$A$1:$I$89,5,0)</f>
        <v>-4.7884896048344674E-14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445.02659128831181</v>
      </c>
      <c r="AO148" s="62">
        <f t="shared" si="144"/>
        <v>281.06176764290592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0.47863213825142614</v>
      </c>
      <c r="AV148" s="23">
        <f>EXP(-LN(2)/25)*AV147+(1-EXP(-LN(2)/25))/(LN(2)/25)*Calculateur!AQ148*Calculateur!AS148*VLOOKUP('Données projet'!$B$10,Paramètres!$A$1:$I$89,3,0)*0.475*44/12</f>
        <v>4.6051164560980844E-2</v>
      </c>
      <c r="AW148" s="23">
        <f>EXP(-LN(2)/2)*AW147+(1-EXP(-LN(2)/2))/(LN(2)/2)*AQ148*AT148*VLOOKUP('Données projet'!$B$10,Paramètres!$A$1:$I$89,3,0)*0.475*44/12</f>
        <v>9.2464655117271498E-17</v>
      </c>
      <c r="AX148" s="23">
        <f t="shared" si="114"/>
        <v>0.52468330281240705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-5.6843418860808015E-14</v>
      </c>
      <c r="BE148" s="14">
        <f>BD148*VLOOKUP('Données projet'!$B$11,Paramètres!$A$1:$I$89,3,0)*VLOOKUP('Données projet'!$B$11,Paramètres!$A$1:$I$89,5,0)</f>
        <v>-5.1431925385259088E-14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472.46893084347687</v>
      </c>
      <c r="BJ148" s="62">
        <f t="shared" si="146"/>
        <v>297.32483725004136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0.51408637071449481</v>
      </c>
      <c r="BQ148" s="23">
        <f>EXP(-LN(2)/25)*BQ147+(1-EXP(-LN(2)/25))/(LN(2)/25)*Calculateur!BL148*Calculateur!BN148*VLOOKUP('Données projet'!$B$11,Paramètres!$A$1:$I$89,3,0)*0.475*44/12</f>
        <v>4.9462361935868282E-2</v>
      </c>
      <c r="BR148" s="23">
        <f>EXP(-LN(2)/2)*BR147+(1-EXP(-LN(2)/2))/(LN(2)/2)*BL148*BO148*VLOOKUP('Données projet'!$B$11,Paramètres!$A$1:$I$89,3,0)*0.475*44/12</f>
        <v>9.9313888829661943E-17</v>
      </c>
      <c r="BS148" s="24">
        <f t="shared" si="117"/>
        <v>0.5635487326503632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-1.1368683772161603E-13</v>
      </c>
      <c r="BZ148" s="14">
        <f>BY148*VLOOKUP('Données projet'!$B$12,Paramètres!$A$1:$I$89,3,0)*VLOOKUP('Données projet'!$B$12,Paramètres!$A$1:$I$89,5,0)</f>
        <v>-5.3205440053716299E-14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426.87921482911719</v>
      </c>
      <c r="CE148" s="62">
        <f t="shared" si="148"/>
        <v>313.49594674441835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-1.1368683772161603E-13</v>
      </c>
      <c r="CU148" s="18">
        <f>CT148*VLOOKUP('Données projet'!$B$13,Paramètres!$A$1:$I$89,3,0)*VLOOKUP('Données projet'!$B$13,Paramètres!$A$1:$I$89,5,0)</f>
        <v>-6.7984728957526396E-14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367.11994336501527</v>
      </c>
      <c r="CZ148" s="62">
        <f t="shared" si="150"/>
        <v>390.81417197867484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3.5531141337714001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2.2589205059999598E-17</v>
      </c>
      <c r="DI148" s="24">
        <f t="shared" si="123"/>
        <v>3.5531141337714001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1.9895196601282805E-13</v>
      </c>
      <c r="O149" s="14">
        <f>N149*VLOOKUP('Données projet'!$B$9,Paramètres!$A$1:$I$89,3,0)*VLOOKUP('Données projet'!$B$9,Paramètres!$A$1:$I$89,5,0)</f>
        <v>1.8001173884840681E-13</v>
      </c>
      <c r="P149" s="14">
        <f t="shared" si="141"/>
        <v>2.5254331426407198E-12</v>
      </c>
      <c r="Q149" s="22">
        <f t="shared" si="108"/>
        <v>4.7119831685935622E-12</v>
      </c>
      <c r="R149" s="62">
        <f t="shared" si="109"/>
        <v>286.21154539383537</v>
      </c>
      <c r="S149" s="62">
        <f ca="1">AVERAGE(OFFSET($R$3,0,0,'Données projet'!$E$9+1,1))-AVERAGE(OFFSET($H$3,0,0,'Données projet'!$E$9+1,1))</f>
        <v>312.43110610485337</v>
      </c>
      <c r="T149" s="62">
        <f t="shared" si="142"/>
        <v>442.54749157177571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5.4299277121872304E-2</v>
      </c>
      <c r="AA149" s="23">
        <f>EXP(-LN(2)/25)*AA148+(1-EXP(-LN(2)/25))/(LN(2)/25)*Calculateur!V149*Calculateur!X149*VLOOKUP('Données projet'!$B$9,Paramètres!$A$1:$I$89,3,0)*0.475*44/12</f>
        <v>3.7760607508305892E-2</v>
      </c>
      <c r="AB149" s="23">
        <f>EXP(-LN(2)/2)*AB148+(1-EXP(-LN(2)/2))/(LN(2)/2)*V149*Y149*VLOOKUP('Données projet'!$B$9,Paramètres!$A$1:$I$89,3,0)*0.475*44/12</f>
        <v>1.3328450098837703E-17</v>
      </c>
      <c r="AC149" s="24">
        <f t="shared" si="111"/>
        <v>9.205988463017821E-2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-5.6843418860808015E-14</v>
      </c>
      <c r="AJ149" s="14">
        <f>AI149*VLOOKUP('Données projet'!$B$10,Paramètres!$A$1:$I$89,3,0)*VLOOKUP('Données projet'!$B$10,Paramètres!$A$1:$I$89,5,0)</f>
        <v>-4.7884896048344674E-14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445.02659128831181</v>
      </c>
      <c r="AO149" s="62">
        <f t="shared" si="144"/>
        <v>281.06176764290592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0.46924645395709363</v>
      </c>
      <c r="AV149" s="23">
        <f>EXP(-LN(2)/25)*AV148+(1-EXP(-LN(2)/25))/(LN(2)/25)*Calculateur!AQ149*Calculateur!AS149*VLOOKUP('Données projet'!$B$10,Paramètres!$A$1:$I$89,3,0)*0.475*44/12</f>
        <v>4.4791893044335326E-2</v>
      </c>
      <c r="AW149" s="23">
        <f>EXP(-LN(2)/2)*AW148+(1-EXP(-LN(2)/2))/(LN(2)/2)*AQ149*AT149*VLOOKUP('Données projet'!$B$10,Paramètres!$A$1:$I$89,3,0)*0.475*44/12</f>
        <v>6.5382384653498077E-17</v>
      </c>
      <c r="AX149" s="23">
        <f t="shared" si="114"/>
        <v>0.51403834700142903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-5.6843418860808015E-14</v>
      </c>
      <c r="BE149" s="14">
        <f>BD149*VLOOKUP('Données projet'!$B$11,Paramètres!$A$1:$I$89,3,0)*VLOOKUP('Données projet'!$B$11,Paramètres!$A$1:$I$89,5,0)</f>
        <v>-5.1431925385259088E-14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472.46893084347687</v>
      </c>
      <c r="BJ149" s="62">
        <f t="shared" si="146"/>
        <v>297.32483725004136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0.50400545054650803</v>
      </c>
      <c r="BQ149" s="23">
        <f>EXP(-LN(2)/25)*BQ148+(1-EXP(-LN(2)/25))/(LN(2)/25)*Calculateur!BL149*Calculateur!BN149*VLOOKUP('Données projet'!$B$11,Paramètres!$A$1:$I$89,3,0)*0.475*44/12</f>
        <v>4.8109811047619397E-2</v>
      </c>
      <c r="BR149" s="23">
        <f>EXP(-LN(2)/2)*BR148+(1-EXP(-LN(2)/2))/(LN(2)/2)*BL149*BO149*VLOOKUP('Données projet'!$B$11,Paramètres!$A$1:$I$89,3,0)*0.475*44/12</f>
        <v>7.0225524257460873E-17</v>
      </c>
      <c r="BS149" s="24">
        <f t="shared" si="117"/>
        <v>0.55211526159412749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-1.1368683772161603E-13</v>
      </c>
      <c r="BZ149" s="14">
        <f>BY149*VLOOKUP('Données projet'!$B$12,Paramètres!$A$1:$I$89,3,0)*VLOOKUP('Données projet'!$B$12,Paramètres!$A$1:$I$89,5,0)</f>
        <v>-5.3205440053716299E-14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426.87921482911719</v>
      </c>
      <c r="CE149" s="62">
        <f t="shared" si="148"/>
        <v>313.49594674441835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-1.1368683772161603E-13</v>
      </c>
      <c r="CU149" s="18">
        <f>CT149*VLOOKUP('Données projet'!$B$13,Paramètres!$A$1:$I$89,3,0)*VLOOKUP('Données projet'!$B$13,Paramètres!$A$1:$I$89,5,0)</f>
        <v>-6.7984728957526396E-14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367.11994336501527</v>
      </c>
      <c r="CZ149" s="62">
        <f t="shared" si="150"/>
        <v>390.81417197867484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3.4834397327937725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1.5972980079539187E-17</v>
      </c>
      <c r="DI149" s="24">
        <f t="shared" si="123"/>
        <v>3.4834397327937725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1.9895196601282805E-13</v>
      </c>
      <c r="O150" s="14">
        <f>N150*VLOOKUP('Données projet'!$B$9,Paramètres!$A$1:$I$89,3,0)*VLOOKUP('Données projet'!$B$9,Paramètres!$A$1:$I$89,5,0)</f>
        <v>1.8001173884840681E-13</v>
      </c>
      <c r="P150" s="14">
        <f t="shared" si="141"/>
        <v>2.5254331426407198E-12</v>
      </c>
      <c r="Q150" s="22">
        <f t="shared" si="108"/>
        <v>4.7119831685935622E-12</v>
      </c>
      <c r="R150" s="62">
        <f t="shared" si="109"/>
        <v>286.33509249265313</v>
      </c>
      <c r="S150" s="62">
        <f ca="1">AVERAGE(OFFSET($R$3,0,0,'Données projet'!$E$9+1,1))-AVERAGE(OFFSET($H$3,0,0,'Données projet'!$E$9+1,1))</f>
        <v>312.43110610485337</v>
      </c>
      <c r="T150" s="62">
        <f t="shared" si="142"/>
        <v>442.54749157177571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5.3234501416801173E-2</v>
      </c>
      <c r="AA150" s="23">
        <f>EXP(-LN(2)/25)*AA149+(1-EXP(-LN(2)/25))/(LN(2)/25)*Calculateur!V150*Calculateur!X150*VLOOKUP('Données projet'!$B$9,Paramètres!$A$1:$I$89,3,0)*0.475*44/12</f>
        <v>3.6728041710247218E-2</v>
      </c>
      <c r="AB150" s="23">
        <f>EXP(-LN(2)/2)*AB149+(1-EXP(-LN(2)/2))/(LN(2)/2)*V150*Y150*VLOOKUP('Données projet'!$B$9,Paramètres!$A$1:$I$89,3,0)*0.475*44/12</f>
        <v>9.424637447594649E-18</v>
      </c>
      <c r="AC150" s="24">
        <f t="shared" si="111"/>
        <v>8.9962543127048406E-2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-5.6843418860808015E-14</v>
      </c>
      <c r="AJ150" s="14">
        <f>AI150*VLOOKUP('Données projet'!$B$10,Paramètres!$A$1:$I$89,3,0)*VLOOKUP('Données projet'!$B$10,Paramètres!$A$1:$I$89,5,0)</f>
        <v>-4.7884896048344674E-14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445.02659128831181</v>
      </c>
      <c r="AO150" s="62">
        <f t="shared" si="144"/>
        <v>281.06176764290592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0.46004481720707086</v>
      </c>
      <c r="AV150" s="23">
        <f>EXP(-LN(2)/25)*AV149+(1-EXP(-LN(2)/25))/(LN(2)/25)*Calculateur!AQ150*Calculateur!AS150*VLOOKUP('Données projet'!$B$10,Paramètres!$A$1:$I$89,3,0)*0.475*44/12</f>
        <v>4.3567056373534696E-2</v>
      </c>
      <c r="AW150" s="23">
        <f>EXP(-LN(2)/2)*AW149+(1-EXP(-LN(2)/2))/(LN(2)/2)*AQ150*AT150*VLOOKUP('Données projet'!$B$10,Paramètres!$A$1:$I$89,3,0)*0.475*44/12</f>
        <v>4.6232327558635749E-17</v>
      </c>
      <c r="AX150" s="23">
        <f t="shared" si="114"/>
        <v>0.50361187358060555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-5.6843418860808015E-14</v>
      </c>
      <c r="BE150" s="14">
        <f>BD150*VLOOKUP('Données projet'!$B$11,Paramètres!$A$1:$I$89,3,0)*VLOOKUP('Données projet'!$B$11,Paramètres!$A$1:$I$89,5,0)</f>
        <v>-5.1431925385259088E-14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472.46893084347687</v>
      </c>
      <c r="BJ150" s="62">
        <f t="shared" si="146"/>
        <v>297.32483725004136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0.49412221107426135</v>
      </c>
      <c r="BQ150" s="23">
        <f>EXP(-LN(2)/25)*BQ149+(1-EXP(-LN(2)/25))/(LN(2)/25)*Calculateur!BL150*Calculateur!BN150*VLOOKUP('Données projet'!$B$11,Paramètres!$A$1:$I$89,3,0)*0.475*44/12</f>
        <v>4.6794245734537235E-2</v>
      </c>
      <c r="BR150" s="23">
        <f>EXP(-LN(2)/2)*BR149+(1-EXP(-LN(2)/2))/(LN(2)/2)*BL150*BO150*VLOOKUP('Données projet'!$B$11,Paramètres!$A$1:$I$89,3,0)*0.475*44/12</f>
        <v>4.9656944414830972E-17</v>
      </c>
      <c r="BS150" s="24">
        <f t="shared" si="117"/>
        <v>0.54091645680879863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-1.1368683772161603E-13</v>
      </c>
      <c r="BZ150" s="14">
        <f>BY150*VLOOKUP('Données projet'!$B$12,Paramètres!$A$1:$I$89,3,0)*VLOOKUP('Données projet'!$B$12,Paramètres!$A$1:$I$89,5,0)</f>
        <v>-5.3205440053716299E-14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426.87921482911719</v>
      </c>
      <c r="CE150" s="62">
        <f t="shared" si="148"/>
        <v>313.49594674441835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-1.1368683772161603E-13</v>
      </c>
      <c r="CU150" s="18">
        <f>CT150*VLOOKUP('Données projet'!$B$13,Paramètres!$A$1:$I$89,3,0)*VLOOKUP('Données projet'!$B$13,Paramètres!$A$1:$I$89,5,0)</f>
        <v>-6.7984728957526396E-14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367.11994336501527</v>
      </c>
      <c r="CZ150" s="62">
        <f t="shared" si="150"/>
        <v>390.81417197867484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3.415131604322128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1.1294602529999799E-17</v>
      </c>
      <c r="DI150" s="24">
        <f t="shared" si="123"/>
        <v>3.415131604322128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1.9895196601282805E-13</v>
      </c>
      <c r="O151" s="14">
        <f>N151*VLOOKUP('Données projet'!$B$9,Paramètres!$A$1:$I$89,3,0)*VLOOKUP('Données projet'!$B$9,Paramètres!$A$1:$I$89,5,0)</f>
        <v>1.8001173884840681E-13</v>
      </c>
      <c r="P151" s="14">
        <f t="shared" si="141"/>
        <v>2.5254331426407198E-12</v>
      </c>
      <c r="Q151" s="22">
        <f t="shared" si="108"/>
        <v>4.7119831685935622E-12</v>
      </c>
      <c r="R151" s="62">
        <f t="shared" si="109"/>
        <v>286.45649632551641</v>
      </c>
      <c r="S151" s="62">
        <f ca="1">AVERAGE(OFFSET($R$3,0,0,'Données projet'!$E$9+1,1))-AVERAGE(OFFSET($H$3,0,0,'Données projet'!$E$9+1,1))</f>
        <v>312.43110610485337</v>
      </c>
      <c r="T151" s="62">
        <f t="shared" si="142"/>
        <v>442.54749157177571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5.2190605313857434E-2</v>
      </c>
      <c r="AA151" s="23">
        <f>EXP(-LN(2)/25)*AA150+(1-EXP(-LN(2)/25))/(LN(2)/25)*Calculateur!V151*Calculateur!X151*VLOOKUP('Données projet'!$B$9,Paramètres!$A$1:$I$89,3,0)*0.475*44/12</f>
        <v>3.572371147823674E-2</v>
      </c>
      <c r="AB151" s="23">
        <f>EXP(-LN(2)/2)*AB150+(1-EXP(-LN(2)/2))/(LN(2)/2)*V151*Y151*VLOOKUP('Données projet'!$B$9,Paramètres!$A$1:$I$89,3,0)*0.475*44/12</f>
        <v>6.6642250494188513E-18</v>
      </c>
      <c r="AC151" s="24">
        <f t="shared" si="111"/>
        <v>8.7914316792094174E-2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-5.6843418860808015E-14</v>
      </c>
      <c r="AJ151" s="14">
        <f>AI151*VLOOKUP('Données projet'!$B$10,Paramètres!$A$1:$I$89,3,0)*VLOOKUP('Données projet'!$B$10,Paramètres!$A$1:$I$89,5,0)</f>
        <v>-4.7884896048344674E-14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445.02659128831181</v>
      </c>
      <c r="AO151" s="62">
        <f t="shared" si="144"/>
        <v>281.06176764290592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0.4510236189412718</v>
      </c>
      <c r="AV151" s="23">
        <f>EXP(-LN(2)/25)*AV150+(1-EXP(-LN(2)/25))/(LN(2)/25)*Calculateur!AQ151*Calculateur!AS151*VLOOKUP('Données projet'!$B$10,Paramètres!$A$1:$I$89,3,0)*0.475*44/12</f>
        <v>4.2375712925908471E-2</v>
      </c>
      <c r="AW151" s="23">
        <f>EXP(-LN(2)/2)*AW150+(1-EXP(-LN(2)/2))/(LN(2)/2)*AQ151*AT151*VLOOKUP('Données projet'!$B$10,Paramètres!$A$1:$I$89,3,0)*0.475*44/12</f>
        <v>3.2691192326749039E-17</v>
      </c>
      <c r="AX151" s="23">
        <f t="shared" si="114"/>
        <v>0.49339933186718032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-5.6843418860808015E-14</v>
      </c>
      <c r="BE151" s="14">
        <f>BD151*VLOOKUP('Données projet'!$B$11,Paramètres!$A$1:$I$89,3,0)*VLOOKUP('Données projet'!$B$11,Paramètres!$A$1:$I$89,5,0)</f>
        <v>-5.1431925385259088E-14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472.46893084347687</v>
      </c>
      <c r="BJ151" s="62">
        <f t="shared" si="146"/>
        <v>297.32483725004136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0.48443277589988459</v>
      </c>
      <c r="BQ151" s="23">
        <f>EXP(-LN(2)/25)*BQ150+(1-EXP(-LN(2)/25))/(LN(2)/25)*Calculateur!BL151*Calculateur!BN151*VLOOKUP('Données projet'!$B$11,Paramètres!$A$1:$I$89,3,0)*0.475*44/12</f>
        <v>4.5514654624123879E-2</v>
      </c>
      <c r="BR151" s="23">
        <f>EXP(-LN(2)/2)*BR150+(1-EXP(-LN(2)/2))/(LN(2)/2)*BL151*BO151*VLOOKUP('Données projet'!$B$11,Paramètres!$A$1:$I$89,3,0)*0.475*44/12</f>
        <v>3.5112762128730436E-17</v>
      </c>
      <c r="BS151" s="24">
        <f t="shared" si="117"/>
        <v>0.5299474305240085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-1.1368683772161603E-13</v>
      </c>
      <c r="BZ151" s="14">
        <f>BY151*VLOOKUP('Données projet'!$B$12,Paramètres!$A$1:$I$89,3,0)*VLOOKUP('Données projet'!$B$12,Paramètres!$A$1:$I$89,5,0)</f>
        <v>-5.3205440053716299E-14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426.87921482911719</v>
      </c>
      <c r="CE151" s="62">
        <f t="shared" si="148"/>
        <v>313.49594674441835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-1.1368683772161603E-13</v>
      </c>
      <c r="CU151" s="18">
        <f>CT151*VLOOKUP('Données projet'!$B$13,Paramètres!$A$1:$I$89,3,0)*VLOOKUP('Données projet'!$B$13,Paramètres!$A$1:$I$89,5,0)</f>
        <v>-6.7984728957526396E-14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367.11994336501527</v>
      </c>
      <c r="CZ151" s="62">
        <f t="shared" si="150"/>
        <v>390.81417197867484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3.3481629565859681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7.9864900397695937E-18</v>
      </c>
      <c r="DI151" s="24">
        <f t="shared" si="123"/>
        <v>3.3481629565859681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1.9895196601282805E-13</v>
      </c>
      <c r="O152" s="14">
        <f>N152*VLOOKUP('Données projet'!$B$9,Paramètres!$A$1:$I$89,3,0)*VLOOKUP('Données projet'!$B$9,Paramètres!$A$1:$I$89,5,0)</f>
        <v>1.8001173884840681E-13</v>
      </c>
      <c r="P152" s="14">
        <f t="shared" si="141"/>
        <v>2.5254331426407198E-12</v>
      </c>
      <c r="Q152" s="22">
        <f t="shared" si="108"/>
        <v>4.7119831685935622E-12</v>
      </c>
      <c r="R152" s="62">
        <f t="shared" si="109"/>
        <v>286.5757940732978</v>
      </c>
      <c r="S152" s="62">
        <f ca="1">AVERAGE(OFFSET($R$3,0,0,'Données projet'!$E$9+1,1))-AVERAGE(OFFSET($H$3,0,0,'Données projet'!$E$9+1,1))</f>
        <v>312.43110610485337</v>
      </c>
      <c r="T152" s="62">
        <f t="shared" si="142"/>
        <v>442.54749157177571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5.1167179376778671E-2</v>
      </c>
      <c r="AA152" s="23">
        <f>EXP(-LN(2)/25)*AA151+(1-EXP(-LN(2)/25))/(LN(2)/25)*Calculateur!V152*Calculateur!X152*VLOOKUP('Données projet'!$B$9,Paramètres!$A$1:$I$89,3,0)*0.475*44/12</f>
        <v>3.4746844709236016E-2</v>
      </c>
      <c r="AB152" s="23">
        <f>EXP(-LN(2)/2)*AB151+(1-EXP(-LN(2)/2))/(LN(2)/2)*V152*Y152*VLOOKUP('Données projet'!$B$9,Paramètres!$A$1:$I$89,3,0)*0.475*44/12</f>
        <v>4.7123187237973245E-18</v>
      </c>
      <c r="AC152" s="24">
        <f t="shared" si="111"/>
        <v>8.5914024086014687E-2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-5.6843418860808015E-14</v>
      </c>
      <c r="AJ152" s="14">
        <f>AI152*VLOOKUP('Données projet'!$B$10,Paramètres!$A$1:$I$89,3,0)*VLOOKUP('Données projet'!$B$10,Paramètres!$A$1:$I$89,5,0)</f>
        <v>-4.7884896048344674E-14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445.02659128831181</v>
      </c>
      <c r="AO152" s="62">
        <f t="shared" si="144"/>
        <v>281.06176764290592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0.44217932087107742</v>
      </c>
      <c r="AV152" s="23">
        <f>EXP(-LN(2)/25)*AV151+(1-EXP(-LN(2)/25))/(LN(2)/25)*Calculateur!AQ152*Calculateur!AS152*VLOOKUP('Données projet'!$B$10,Paramètres!$A$1:$I$89,3,0)*0.475*44/12</f>
        <v>4.1216946827507615E-2</v>
      </c>
      <c r="AW152" s="23">
        <f>EXP(-LN(2)/2)*AW151+(1-EXP(-LN(2)/2))/(LN(2)/2)*AQ152*AT152*VLOOKUP('Données projet'!$B$10,Paramètres!$A$1:$I$89,3,0)*0.475*44/12</f>
        <v>2.3116163779317874E-17</v>
      </c>
      <c r="AX152" s="23">
        <f t="shared" si="114"/>
        <v>0.48339626769858501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-5.6843418860808015E-14</v>
      </c>
      <c r="BE152" s="14">
        <f>BD152*VLOOKUP('Données projet'!$B$11,Paramètres!$A$1:$I$89,3,0)*VLOOKUP('Données projet'!$B$11,Paramètres!$A$1:$I$89,5,0)</f>
        <v>-5.1431925385259088E-14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472.46893084347687</v>
      </c>
      <c r="BJ152" s="62">
        <f t="shared" si="146"/>
        <v>297.32483725004136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0.47493334463930542</v>
      </c>
      <c r="BQ152" s="23">
        <f>EXP(-LN(2)/25)*BQ151+(1-EXP(-LN(2)/25))/(LN(2)/25)*Calculateur!BL152*Calculateur!BN152*VLOOKUP('Données projet'!$B$11,Paramètres!$A$1:$I$89,3,0)*0.475*44/12</f>
        <v>4.427005399991555E-2</v>
      </c>
      <c r="BR152" s="23">
        <f>EXP(-LN(2)/2)*BR151+(1-EXP(-LN(2)/2))/(LN(2)/2)*BL152*BO152*VLOOKUP('Données projet'!$B$11,Paramètres!$A$1:$I$89,3,0)*0.475*44/12</f>
        <v>2.4828472207415486E-17</v>
      </c>
      <c r="BS152" s="24">
        <f t="shared" si="117"/>
        <v>0.51920339863922094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-1.1368683772161603E-13</v>
      </c>
      <c r="BZ152" s="14">
        <f>BY152*VLOOKUP('Données projet'!$B$12,Paramètres!$A$1:$I$89,3,0)*VLOOKUP('Données projet'!$B$12,Paramètres!$A$1:$I$89,5,0)</f>
        <v>-5.3205440053716299E-14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426.87921482911719</v>
      </c>
      <c r="CE152" s="62">
        <f t="shared" si="148"/>
        <v>313.49594674441835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-1.1368683772161603E-13</v>
      </c>
      <c r="CU152" s="18">
        <f>CT152*VLOOKUP('Données projet'!$B$13,Paramètres!$A$1:$I$89,3,0)*VLOOKUP('Données projet'!$B$13,Paramètres!$A$1:$I$89,5,0)</f>
        <v>-6.7984728957526396E-14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367.11994336501527</v>
      </c>
      <c r="CZ152" s="62">
        <f t="shared" si="150"/>
        <v>390.81417197867484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3.2825075231850724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5.6473012649998994E-18</v>
      </c>
      <c r="DI152" s="24">
        <f t="shared" si="123"/>
        <v>3.2825075231850724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1.9895196601282805E-13</v>
      </c>
      <c r="O153" s="14">
        <f>N153*VLOOKUP('Données projet'!$B$9,Paramètres!$A$1:$I$89,3,0)*VLOOKUP('Données projet'!$B$9,Paramètres!$A$1:$I$89,5,0)</f>
        <v>1.8001173884840681E-13</v>
      </c>
      <c r="P153" s="14">
        <f t="shared" si="141"/>
        <v>2.5254331426407198E-12</v>
      </c>
      <c r="Q153" s="22">
        <f t="shared" si="108"/>
        <v>4.7119831685935622E-12</v>
      </c>
      <c r="R153" s="62">
        <f t="shared" si="109"/>
        <v>286.69302227186506</v>
      </c>
      <c r="S153" s="62">
        <f ca="1">AVERAGE(OFFSET($R$3,0,0,'Données projet'!$E$9+1,1))-AVERAGE(OFFSET($H$3,0,0,'Données projet'!$E$9+1,1))</f>
        <v>312.43110610485337</v>
      </c>
      <c r="T153" s="62">
        <f t="shared" si="142"/>
        <v>442.54749157177571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5.016382219809784E-2</v>
      </c>
      <c r="AA153" s="23">
        <f>EXP(-LN(2)/25)*AA152+(1-EXP(-LN(2)/25))/(LN(2)/25)*Calculateur!V153*Calculateur!X153*VLOOKUP('Données projet'!$B$9,Paramètres!$A$1:$I$89,3,0)*0.475*44/12</f>
        <v>3.3796690413404808E-2</v>
      </c>
      <c r="AB153" s="23">
        <f>EXP(-LN(2)/2)*AB152+(1-EXP(-LN(2)/2))/(LN(2)/2)*V153*Y153*VLOOKUP('Données projet'!$B$9,Paramètres!$A$1:$I$89,3,0)*0.475*44/12</f>
        <v>3.3321125247094256E-18</v>
      </c>
      <c r="AC153" s="24">
        <f t="shared" si="111"/>
        <v>8.3960512611502641E-2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-5.6843418860808015E-14</v>
      </c>
      <c r="AJ153" s="14">
        <f>AI153*VLOOKUP('Données projet'!$B$10,Paramètres!$A$1:$I$89,3,0)*VLOOKUP('Données projet'!$B$10,Paramètres!$A$1:$I$89,5,0)</f>
        <v>-4.7884896048344674E-14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445.02659128831181</v>
      </c>
      <c r="AO153" s="62">
        <f t="shared" si="144"/>
        <v>281.06176764290592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0.43350845409155037</v>
      </c>
      <c r="AV153" s="23">
        <f>EXP(-LN(2)/25)*AV152+(1-EXP(-LN(2)/25))/(LN(2)/25)*Calculateur!AQ153*Calculateur!AS153*VLOOKUP('Données projet'!$B$10,Paramètres!$A$1:$I$89,3,0)*0.475*44/12</f>
        <v>4.0089867249004388E-2</v>
      </c>
      <c r="AW153" s="23">
        <f>EXP(-LN(2)/2)*AW152+(1-EXP(-LN(2)/2))/(LN(2)/2)*AQ153*AT153*VLOOKUP('Données projet'!$B$10,Paramètres!$A$1:$I$89,3,0)*0.475*44/12</f>
        <v>1.6345596163374519E-17</v>
      </c>
      <c r="AX153" s="23">
        <f t="shared" si="114"/>
        <v>0.47359832134055474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-5.6843418860808015E-14</v>
      </c>
      <c r="BE153" s="14">
        <f>BD153*VLOOKUP('Données projet'!$B$11,Paramètres!$A$1:$I$89,3,0)*VLOOKUP('Données projet'!$B$11,Paramètres!$A$1:$I$89,5,0)</f>
        <v>-5.1431925385259088E-14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472.46893084347687</v>
      </c>
      <c r="BJ153" s="62">
        <f t="shared" si="146"/>
        <v>297.32483725004136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0.46562019143166528</v>
      </c>
      <c r="BQ153" s="23">
        <f>EXP(-LN(2)/25)*BQ152+(1-EXP(-LN(2)/25))/(LN(2)/25)*Calculateur!BL153*Calculateur!BN153*VLOOKUP('Données projet'!$B$11,Paramètres!$A$1:$I$89,3,0)*0.475*44/12</f>
        <v>4.3059487045226899E-2</v>
      </c>
      <c r="BR153" s="23">
        <f>EXP(-LN(2)/2)*BR152+(1-EXP(-LN(2)/2))/(LN(2)/2)*BL153*BO153*VLOOKUP('Données projet'!$B$11,Paramètres!$A$1:$I$89,3,0)*0.475*44/12</f>
        <v>1.7556381064365218E-17</v>
      </c>
      <c r="BS153" s="24">
        <f t="shared" si="117"/>
        <v>0.50867967847689222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-1.1368683772161603E-13</v>
      </c>
      <c r="BZ153" s="14">
        <f>BY153*VLOOKUP('Données projet'!$B$12,Paramètres!$A$1:$I$89,3,0)*VLOOKUP('Données projet'!$B$12,Paramètres!$A$1:$I$89,5,0)</f>
        <v>-5.3205440053716299E-14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426.87921482911719</v>
      </c>
      <c r="CE153" s="62">
        <f t="shared" si="148"/>
        <v>313.49594674441835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-1.1368683772161603E-13</v>
      </c>
      <c r="CU153" s="18">
        <f>CT153*VLOOKUP('Données projet'!$B$13,Paramètres!$A$1:$I$89,3,0)*VLOOKUP('Données projet'!$B$13,Paramètres!$A$1:$I$89,5,0)</f>
        <v>-6.7984728957526396E-14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367.11994336501527</v>
      </c>
      <c r="CZ153" s="62">
        <f t="shared" si="150"/>
        <v>390.81417197867484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3.2181395527873082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3.9932450198847969E-18</v>
      </c>
      <c r="DI153" s="24">
        <f t="shared" si="123"/>
        <v>3.2181395527873082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1.9895196601282805E-13</v>
      </c>
      <c r="O154" s="14">
        <f>N154*VLOOKUP('Données projet'!$B$9,Paramètres!$A$1:$I$89,3,0)*VLOOKUP('Données projet'!$B$9,Paramètres!$A$1:$I$89,5,0)</f>
        <v>1.8001173884840681E-13</v>
      </c>
      <c r="P154" s="14">
        <f t="shared" si="141"/>
        <v>2.5254331426407198E-12</v>
      </c>
      <c r="Q154" s="22">
        <f t="shared" ref="Q154:Q203" si="162">(O154+P154)*0.475*44/12</f>
        <v>4.7119831685935622E-12</v>
      </c>
      <c r="R154" s="62">
        <f t="shared" si="109"/>
        <v>286.80821682327007</v>
      </c>
      <c r="S154" s="62">
        <f ca="1">AVERAGE(OFFSET($R$3,0,0,'Données projet'!$E$9+1,1))-AVERAGE(OFFSET($H$3,0,0,'Données projet'!$E$9+1,1))</f>
        <v>312.43110610485337</v>
      </c>
      <c r="T154" s="62">
        <f t="shared" si="142"/>
        <v>442.54749157177571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4.9180140241703488E-2</v>
      </c>
      <c r="AA154" s="23">
        <f>EXP(-LN(2)/25)*AA153+(1-EXP(-LN(2)/25))/(LN(2)/25)*Calculateur!V154*Calculateur!X154*VLOOKUP('Données projet'!$B$9,Paramètres!$A$1:$I$89,3,0)*0.475*44/12</f>
        <v>3.2872518136759545E-2</v>
      </c>
      <c r="AB154" s="23">
        <f>EXP(-LN(2)/2)*AB153+(1-EXP(-LN(2)/2))/(LN(2)/2)*V154*Y154*VLOOKUP('Données projet'!$B$9,Paramètres!$A$1:$I$89,3,0)*0.475*44/12</f>
        <v>2.3561593618986622E-18</v>
      </c>
      <c r="AC154" s="24">
        <f t="shared" ref="AC154:AC203" si="163">SUM(Z154:AB154)</f>
        <v>8.2052658378463039E-2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-5.6843418860808015E-14</v>
      </c>
      <c r="AJ154" s="14">
        <f>AI154*VLOOKUP('Données projet'!$B$10,Paramètres!$A$1:$I$89,3,0)*VLOOKUP('Données projet'!$B$10,Paramètres!$A$1:$I$89,5,0)</f>
        <v>-4.7884896048344674E-14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445.02659128831181</v>
      </c>
      <c r="AO154" s="62">
        <f t="shared" si="144"/>
        <v>281.06176764290592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0.42500761772086332</v>
      </c>
      <c r="AV154" s="23">
        <f>EXP(-LN(2)/25)*AV153+(1-EXP(-LN(2)/25))/(LN(2)/25)*Calculateur!AQ154*Calculateur!AS154*VLOOKUP('Données projet'!$B$10,Paramètres!$A$1:$I$89,3,0)*0.475*44/12</f>
        <v>3.8993607720845869E-2</v>
      </c>
      <c r="AW154" s="23">
        <f>EXP(-LN(2)/2)*AW153+(1-EXP(-LN(2)/2))/(LN(2)/2)*AQ154*AT154*VLOOKUP('Données projet'!$B$10,Paramètres!$A$1:$I$89,3,0)*0.475*44/12</f>
        <v>1.1558081889658937E-17</v>
      </c>
      <c r="AX154" s="23">
        <f t="shared" ref="AX154:AX203" si="166">SUM(AU154:AW154)</f>
        <v>0.46400122544170919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-5.6843418860808015E-14</v>
      </c>
      <c r="BE154" s="14">
        <f>BD154*VLOOKUP('Données projet'!$B$11,Paramètres!$A$1:$I$89,3,0)*VLOOKUP('Données projet'!$B$11,Paramètres!$A$1:$I$89,5,0)</f>
        <v>-5.1431925385259088E-14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472.46893084347687</v>
      </c>
      <c r="BJ154" s="62">
        <f t="shared" si="146"/>
        <v>297.32483725004136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0.45648966347796438</v>
      </c>
      <c r="BQ154" s="23">
        <f>EXP(-LN(2)/25)*BQ153+(1-EXP(-LN(2)/25))/(LN(2)/25)*Calculateur!BL154*Calculateur!BN154*VLOOKUP('Données projet'!$B$11,Paramètres!$A$1:$I$89,3,0)*0.475*44/12</f>
        <v>4.1882023107575161E-2</v>
      </c>
      <c r="BR154" s="23">
        <f>EXP(-LN(2)/2)*BR153+(1-EXP(-LN(2)/2))/(LN(2)/2)*BL154*BO154*VLOOKUP('Données projet'!$B$11,Paramètres!$A$1:$I$89,3,0)*0.475*44/12</f>
        <v>1.2414236103707743E-17</v>
      </c>
      <c r="BS154" s="24">
        <f t="shared" ref="BS154:BS203" si="169">SUM(BP154:BR154)</f>
        <v>0.49837168658553954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-1.1368683772161603E-13</v>
      </c>
      <c r="BZ154" s="14">
        <f>BY154*VLOOKUP('Données projet'!$B$12,Paramètres!$A$1:$I$89,3,0)*VLOOKUP('Données projet'!$B$12,Paramètres!$A$1:$I$89,5,0)</f>
        <v>-5.3205440053716299E-14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426.87921482911719</v>
      </c>
      <c r="CE154" s="62">
        <f t="shared" si="148"/>
        <v>313.49594674441835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-1.1368683772161603E-13</v>
      </c>
      <c r="CU154" s="18">
        <f>CT154*VLOOKUP('Données projet'!$B$13,Paramètres!$A$1:$I$89,3,0)*VLOOKUP('Données projet'!$B$13,Paramètres!$A$1:$I$89,5,0)</f>
        <v>-6.7984728957526396E-14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367.11994336501527</v>
      </c>
      <c r="CZ154" s="62">
        <f t="shared" si="150"/>
        <v>390.81417197867484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3.1550337990284589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2.8236506324999497E-18</v>
      </c>
      <c r="DI154" s="24">
        <f t="shared" ref="DI154:DI203" si="175">SUM(DF154:DH154)</f>
        <v>3.1550337990284589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1.9895196601282805E-13</v>
      </c>
      <c r="O155" s="14">
        <f>N155*VLOOKUP('Données projet'!$B$9,Paramètres!$A$1:$I$89,3,0)*VLOOKUP('Données projet'!$B$9,Paramètres!$A$1:$I$89,5,0)</f>
        <v>1.8001173884840681E-13</v>
      </c>
      <c r="P155" s="14">
        <f t="shared" si="141"/>
        <v>2.5254331426407198E-12</v>
      </c>
      <c r="Q155" s="22">
        <f t="shared" si="162"/>
        <v>4.7119831685935622E-12</v>
      </c>
      <c r="R155" s="62">
        <f t="shared" si="109"/>
        <v>286.92141300674461</v>
      </c>
      <c r="S155" s="62">
        <f ca="1">AVERAGE(OFFSET($R$3,0,0,'Données projet'!$E$9+1,1))-AVERAGE(OFFSET($H$3,0,0,'Données projet'!$E$9+1,1))</f>
        <v>312.43110610485337</v>
      </c>
      <c r="T155" s="62">
        <f t="shared" si="142"/>
        <v>442.54749157177571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4.8215747688487277E-2</v>
      </c>
      <c r="AA155" s="23">
        <f>EXP(-LN(2)/25)*AA154+(1-EXP(-LN(2)/25))/(LN(2)/25)*Calculateur!V155*Calculateur!X155*VLOOKUP('Données projet'!$B$9,Paramètres!$A$1:$I$89,3,0)*0.475*44/12</f>
        <v>3.1973617399619257E-2</v>
      </c>
      <c r="AB155" s="23">
        <f>EXP(-LN(2)/2)*AB154+(1-EXP(-LN(2)/2))/(LN(2)/2)*V155*Y155*VLOOKUP('Données projet'!$B$9,Paramètres!$A$1:$I$89,3,0)*0.475*44/12</f>
        <v>1.6660562623547128E-18</v>
      </c>
      <c r="AC155" s="24">
        <f t="shared" si="163"/>
        <v>8.0189365088106535E-2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-5.6843418860808015E-14</v>
      </c>
      <c r="AJ155" s="14">
        <f>AI155*VLOOKUP('Données projet'!$B$10,Paramètres!$A$1:$I$89,3,0)*VLOOKUP('Données projet'!$B$10,Paramètres!$A$1:$I$89,5,0)</f>
        <v>-4.7884896048344674E-14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445.02659128831181</v>
      </c>
      <c r="AO155" s="62">
        <f t="shared" si="144"/>
        <v>281.06176764290592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0.41667347756640727</v>
      </c>
      <c r="AV155" s="23">
        <f>EXP(-LN(2)/25)*AV154+(1-EXP(-LN(2)/25))/(LN(2)/25)*Calculateur!AQ155*Calculateur!AS155*VLOOKUP('Données projet'!$B$10,Paramètres!$A$1:$I$89,3,0)*0.475*44/12</f>
        <v>3.7927325467134627E-2</v>
      </c>
      <c r="AW155" s="23">
        <f>EXP(-LN(2)/2)*AW154+(1-EXP(-LN(2)/2))/(LN(2)/2)*AQ155*AT155*VLOOKUP('Données projet'!$B$10,Paramètres!$A$1:$I$89,3,0)*0.475*44/12</f>
        <v>8.1727980816872597E-18</v>
      </c>
      <c r="AX155" s="23">
        <f t="shared" si="166"/>
        <v>0.45460080303354189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-5.6843418860808015E-14</v>
      </c>
      <c r="BE155" s="14">
        <f>BD155*VLOOKUP('Données projet'!$B$11,Paramètres!$A$1:$I$89,3,0)*VLOOKUP('Données projet'!$B$11,Paramètres!$A$1:$I$89,5,0)</f>
        <v>-5.1431925385259088E-14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472.46893084347687</v>
      </c>
      <c r="BJ155" s="62">
        <f t="shared" si="146"/>
        <v>297.32483725004136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0.4475381796083634</v>
      </c>
      <c r="BQ155" s="23">
        <f>EXP(-LN(2)/25)*BQ154+(1-EXP(-LN(2)/25))/(LN(2)/25)*Calculateur!BL155*Calculateur!BN155*VLOOKUP('Données projet'!$B$11,Paramètres!$A$1:$I$89,3,0)*0.475*44/12</f>
        <v>4.0736756983218644E-2</v>
      </c>
      <c r="BR155" s="23">
        <f>EXP(-LN(2)/2)*BR154+(1-EXP(-LN(2)/2))/(LN(2)/2)*BL155*BO155*VLOOKUP('Données projet'!$B$11,Paramètres!$A$1:$I$89,3,0)*0.475*44/12</f>
        <v>8.7781905321826091E-18</v>
      </c>
      <c r="BS155" s="24">
        <f t="shared" si="169"/>
        <v>0.48827493659158205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-1.1368683772161603E-13</v>
      </c>
      <c r="BZ155" s="14">
        <f>BY155*VLOOKUP('Données projet'!$B$12,Paramètres!$A$1:$I$89,3,0)*VLOOKUP('Données projet'!$B$12,Paramètres!$A$1:$I$89,5,0)</f>
        <v>-5.3205440053716299E-14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426.87921482911719</v>
      </c>
      <c r="CE155" s="62">
        <f t="shared" si="148"/>
        <v>313.49594674441835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-1.1368683772161603E-13</v>
      </c>
      <c r="CU155" s="18">
        <f>CT155*VLOOKUP('Données projet'!$B$13,Paramètres!$A$1:$I$89,3,0)*VLOOKUP('Données projet'!$B$13,Paramètres!$A$1:$I$89,5,0)</f>
        <v>-6.7984728957526396E-14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367.11994336501527</v>
      </c>
      <c r="CZ155" s="62">
        <f t="shared" si="150"/>
        <v>390.81417197867484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3.0931655106101115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1.9966225099423984E-18</v>
      </c>
      <c r="DI155" s="24">
        <f t="shared" si="175"/>
        <v>3.0931655106101115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1.9895196601282805E-13</v>
      </c>
      <c r="O156" s="14">
        <f>N156*VLOOKUP('Données projet'!$B$9,Paramètres!$A$1:$I$89,3,0)*VLOOKUP('Données projet'!$B$9,Paramètres!$A$1:$I$89,5,0)</f>
        <v>1.8001173884840681E-13</v>
      </c>
      <c r="P156" s="14">
        <f t="shared" si="141"/>
        <v>2.5254331426407198E-12</v>
      </c>
      <c r="Q156" s="22">
        <f t="shared" si="162"/>
        <v>4.7119831685935622E-12</v>
      </c>
      <c r="R156" s="62">
        <f t="shared" si="109"/>
        <v>287.03264548950472</v>
      </c>
      <c r="S156" s="62">
        <f ca="1">AVERAGE(OFFSET($R$3,0,0,'Données projet'!$E$9+1,1))-AVERAGE(OFFSET($H$3,0,0,'Données projet'!$E$9+1,1))</f>
        <v>312.43110610485337</v>
      </c>
      <c r="T156" s="62">
        <f t="shared" si="142"/>
        <v>442.54749157177571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4.7270266285018264E-2</v>
      </c>
      <c r="AA156" s="23">
        <f>EXP(-LN(2)/25)*AA155+(1-EXP(-LN(2)/25))/(LN(2)/25)*Calculateur!V156*Calculateur!X156*VLOOKUP('Données projet'!$B$9,Paramètres!$A$1:$I$89,3,0)*0.475*44/12</f>
        <v>3.1099297150407205E-2</v>
      </c>
      <c r="AB156" s="23">
        <f>EXP(-LN(2)/2)*AB155+(1-EXP(-LN(2)/2))/(LN(2)/2)*V156*Y156*VLOOKUP('Données projet'!$B$9,Paramètres!$A$1:$I$89,3,0)*0.475*44/12</f>
        <v>1.1780796809493311E-18</v>
      </c>
      <c r="AC156" s="24">
        <f t="shared" si="163"/>
        <v>7.8369563435425477E-2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-5.6843418860808015E-14</v>
      </c>
      <c r="AJ156" s="14">
        <f>AI156*VLOOKUP('Données projet'!$B$10,Paramètres!$A$1:$I$89,3,0)*VLOOKUP('Données projet'!$B$10,Paramètres!$A$1:$I$89,5,0)</f>
        <v>-4.7884896048344674E-14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445.02659128831181</v>
      </c>
      <c r="AO156" s="62">
        <f t="shared" si="144"/>
        <v>281.06176764290592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0.40850276481705655</v>
      </c>
      <c r="AV156" s="23">
        <f>EXP(-LN(2)/25)*AV155+(1-EXP(-LN(2)/25))/(LN(2)/25)*Calculateur!AQ156*Calculateur!AS156*VLOOKUP('Données projet'!$B$10,Paramètres!$A$1:$I$89,3,0)*0.475*44/12</f>
        <v>3.6890200757724471E-2</v>
      </c>
      <c r="AW156" s="23">
        <f>EXP(-LN(2)/2)*AW155+(1-EXP(-LN(2)/2))/(LN(2)/2)*AQ156*AT156*VLOOKUP('Données projet'!$B$10,Paramètres!$A$1:$I$89,3,0)*0.475*44/12</f>
        <v>5.7790409448294686E-18</v>
      </c>
      <c r="AX156" s="23">
        <f t="shared" si="166"/>
        <v>0.44539296557478103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-5.6843418860808015E-14</v>
      </c>
      <c r="BE156" s="14">
        <f>BD156*VLOOKUP('Données projet'!$B$11,Paramètres!$A$1:$I$89,3,0)*VLOOKUP('Données projet'!$B$11,Paramètres!$A$1:$I$89,5,0)</f>
        <v>-5.1431925385259088E-14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472.46893084347687</v>
      </c>
      <c r="BJ156" s="62">
        <f t="shared" si="146"/>
        <v>297.32483725004136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0.43876222887757926</v>
      </c>
      <c r="BQ156" s="23">
        <f>EXP(-LN(2)/25)*BQ155+(1-EXP(-LN(2)/25))/(LN(2)/25)*Calculateur!BL156*Calculateur!BN156*VLOOKUP('Données projet'!$B$11,Paramètres!$A$1:$I$89,3,0)*0.475*44/12</f>
        <v>3.9622808221259583E-2</v>
      </c>
      <c r="BR156" s="23">
        <f>EXP(-LN(2)/2)*BR155+(1-EXP(-LN(2)/2))/(LN(2)/2)*BL156*BO156*VLOOKUP('Données projet'!$B$11,Paramètres!$A$1:$I$89,3,0)*0.475*44/12</f>
        <v>6.2071180518538714E-18</v>
      </c>
      <c r="BS156" s="24">
        <f t="shared" si="169"/>
        <v>0.47838503709883884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-1.1368683772161603E-13</v>
      </c>
      <c r="BZ156" s="14">
        <f>BY156*VLOOKUP('Données projet'!$B$12,Paramètres!$A$1:$I$89,3,0)*VLOOKUP('Données projet'!$B$12,Paramètres!$A$1:$I$89,5,0)</f>
        <v>-5.3205440053716299E-14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426.87921482911719</v>
      </c>
      <c r="CE156" s="62">
        <f t="shared" si="148"/>
        <v>313.49594674441835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-1.1368683772161603E-13</v>
      </c>
      <c r="CU156" s="18">
        <f>CT156*VLOOKUP('Données projet'!$B$13,Paramètres!$A$1:$I$89,3,0)*VLOOKUP('Données projet'!$B$13,Paramètres!$A$1:$I$89,5,0)</f>
        <v>-6.7984728957526396E-14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367.11994336501527</v>
      </c>
      <c r="CZ156" s="62">
        <f t="shared" si="150"/>
        <v>390.81417197867484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3.0325104215917178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1.4118253162499749E-18</v>
      </c>
      <c r="DI156" s="24">
        <f t="shared" si="175"/>
        <v>3.0325104215917178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1.9895196601282805E-13</v>
      </c>
      <c r="O157" s="14">
        <f>N157*VLOOKUP('Données projet'!$B$9,Paramètres!$A$1:$I$89,3,0)*VLOOKUP('Données projet'!$B$9,Paramètres!$A$1:$I$89,5,0)</f>
        <v>1.8001173884840681E-13</v>
      </c>
      <c r="P157" s="14">
        <f t="shared" si="141"/>
        <v>2.5254331426407198E-12</v>
      </c>
      <c r="Q157" s="22">
        <f t="shared" si="162"/>
        <v>4.7119831685935622E-12</v>
      </c>
      <c r="R157" s="62">
        <f t="shared" si="109"/>
        <v>287.14194833736747</v>
      </c>
      <c r="S157" s="62">
        <f ca="1">AVERAGE(OFFSET($R$3,0,0,'Données projet'!$E$9+1,1))-AVERAGE(OFFSET($H$3,0,0,'Données projet'!$E$9+1,1))</f>
        <v>312.43110610485337</v>
      </c>
      <c r="T157" s="62">
        <f t="shared" si="142"/>
        <v>442.54749157177571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4.6343325195184568E-2</v>
      </c>
      <c r="AA157" s="23">
        <f>EXP(-LN(2)/25)*AA156+(1-EXP(-LN(2)/25))/(LN(2)/25)*Calculateur!V157*Calculateur!X157*VLOOKUP('Données projet'!$B$9,Paramètres!$A$1:$I$89,3,0)*0.475*44/12</f>
        <v>3.0248885234388363E-2</v>
      </c>
      <c r="AB157" s="23">
        <f>EXP(-LN(2)/2)*AB156+(1-EXP(-LN(2)/2))/(LN(2)/2)*V157*Y157*VLOOKUP('Données projet'!$B$9,Paramètres!$A$1:$I$89,3,0)*0.475*44/12</f>
        <v>8.3302813117735641E-19</v>
      </c>
      <c r="AC157" s="24">
        <f t="shared" si="163"/>
        <v>7.6592210429572927E-2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-5.6843418860808015E-14</v>
      </c>
      <c r="AJ157" s="14">
        <f>AI157*VLOOKUP('Données projet'!$B$10,Paramètres!$A$1:$I$89,3,0)*VLOOKUP('Données projet'!$B$10,Paramètres!$A$1:$I$89,5,0)</f>
        <v>-4.7884896048344674E-14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445.02659128831181</v>
      </c>
      <c r="AO157" s="62">
        <f t="shared" si="144"/>
        <v>281.06176764290592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0.4004922747610779</v>
      </c>
      <c r="AV157" s="23">
        <f>EXP(-LN(2)/25)*AV156+(1-EXP(-LN(2)/25))/(LN(2)/25)*Calculateur!AQ157*Calculateur!AS157*VLOOKUP('Données projet'!$B$10,Paramètres!$A$1:$I$89,3,0)*0.475*44/12</f>
        <v>3.5881436278033155E-2</v>
      </c>
      <c r="AW157" s="23">
        <f>EXP(-LN(2)/2)*AW156+(1-EXP(-LN(2)/2))/(LN(2)/2)*AQ157*AT157*VLOOKUP('Données projet'!$B$10,Paramètres!$A$1:$I$89,3,0)*0.475*44/12</f>
        <v>4.0863990408436298E-18</v>
      </c>
      <c r="AX157" s="23">
        <f t="shared" si="166"/>
        <v>0.43637371103911105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-5.6843418860808015E-14</v>
      </c>
      <c r="BE157" s="14">
        <f>BD157*VLOOKUP('Données projet'!$B$11,Paramètres!$A$1:$I$89,3,0)*VLOOKUP('Données projet'!$B$11,Paramètres!$A$1:$I$89,5,0)</f>
        <v>-5.1431925385259088E-14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472.46893084347687</v>
      </c>
      <c r="BJ157" s="62">
        <f t="shared" si="146"/>
        <v>297.32483725004136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0.43015836918782441</v>
      </c>
      <c r="BQ157" s="23">
        <f>EXP(-LN(2)/25)*BQ156+(1-EXP(-LN(2)/25))/(LN(2)/25)*Calculateur!BL157*Calculateur!BN157*VLOOKUP('Données projet'!$B$11,Paramètres!$A$1:$I$89,3,0)*0.475*44/12</f>
        <v>3.8539320446776312E-2</v>
      </c>
      <c r="BR157" s="23">
        <f>EXP(-LN(2)/2)*BR156+(1-EXP(-LN(2)/2))/(LN(2)/2)*BL157*BO157*VLOOKUP('Données projet'!$B$11,Paramètres!$A$1:$I$89,3,0)*0.475*44/12</f>
        <v>4.3890952660913046E-18</v>
      </c>
      <c r="BS157" s="24">
        <f t="shared" si="169"/>
        <v>0.46869768963460073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-1.1368683772161603E-13</v>
      </c>
      <c r="BZ157" s="14">
        <f>BY157*VLOOKUP('Données projet'!$B$12,Paramètres!$A$1:$I$89,3,0)*VLOOKUP('Données projet'!$B$12,Paramètres!$A$1:$I$89,5,0)</f>
        <v>-5.3205440053716299E-14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426.87921482911719</v>
      </c>
      <c r="CE157" s="62">
        <f t="shared" si="148"/>
        <v>313.49594674441835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-1.1368683772161603E-13</v>
      </c>
      <c r="CU157" s="18">
        <f>CT157*VLOOKUP('Données projet'!$B$13,Paramètres!$A$1:$I$89,3,0)*VLOOKUP('Données projet'!$B$13,Paramètres!$A$1:$I$89,5,0)</f>
        <v>-6.7984728957526396E-14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367.11994336501527</v>
      </c>
      <c r="CZ157" s="62">
        <f t="shared" si="150"/>
        <v>390.81417197867484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2.9730447418730237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9.9831125497119921E-19</v>
      </c>
      <c r="DI157" s="24">
        <f t="shared" si="175"/>
        <v>2.9730447418730237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1.9895196601282805E-13</v>
      </c>
      <c r="O158" s="14">
        <f>N158*VLOOKUP('Données projet'!$B$9,Paramètres!$A$1:$I$89,3,0)*VLOOKUP('Données projet'!$B$9,Paramètres!$A$1:$I$89,5,0)</f>
        <v>1.8001173884840681E-13</v>
      </c>
      <c r="P158" s="14">
        <f t="shared" si="141"/>
        <v>2.5254331426407198E-12</v>
      </c>
      <c r="Q158" s="22">
        <f t="shared" si="162"/>
        <v>4.7119831685935622E-12</v>
      </c>
      <c r="R158" s="62">
        <f t="shared" si="109"/>
        <v>287.2493550251844</v>
      </c>
      <c r="S158" s="62">
        <f ca="1">AVERAGE(OFFSET($R$3,0,0,'Données projet'!$E$9+1,1))-AVERAGE(OFFSET($H$3,0,0,'Données projet'!$E$9+1,1))</f>
        <v>312.43110610485337</v>
      </c>
      <c r="T158" s="62">
        <f t="shared" si="142"/>
        <v>442.54749157177571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4.5434560854744267E-2</v>
      </c>
      <c r="AA158" s="23">
        <f>EXP(-LN(2)/25)*AA157+(1-EXP(-LN(2)/25))/(LN(2)/25)*Calculateur!V158*Calculateur!X158*VLOOKUP('Données projet'!$B$9,Paramètres!$A$1:$I$89,3,0)*0.475*44/12</f>
        <v>2.9421727876934273E-2</v>
      </c>
      <c r="AB158" s="23">
        <f>EXP(-LN(2)/2)*AB157+(1-EXP(-LN(2)/2))/(LN(2)/2)*V158*Y158*VLOOKUP('Données projet'!$B$9,Paramètres!$A$1:$I$89,3,0)*0.475*44/12</f>
        <v>5.8903984047466556E-19</v>
      </c>
      <c r="AC158" s="24">
        <f t="shared" si="163"/>
        <v>7.4856288731678544E-2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-5.6843418860808015E-14</v>
      </c>
      <c r="AJ158" s="14">
        <f>AI158*VLOOKUP('Données projet'!$B$10,Paramètres!$A$1:$I$89,3,0)*VLOOKUP('Données projet'!$B$10,Paramètres!$A$1:$I$89,5,0)</f>
        <v>-4.7884896048344674E-14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445.02659128831181</v>
      </c>
      <c r="AO158" s="62">
        <f t="shared" si="144"/>
        <v>281.06176764290592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0.39263886552918048</v>
      </c>
      <c r="AV158" s="23">
        <f>EXP(-LN(2)/25)*AV157+(1-EXP(-LN(2)/25))/(LN(2)/25)*Calculateur!AQ158*Calculateur!AS158*VLOOKUP('Données projet'!$B$10,Paramètres!$A$1:$I$89,3,0)*0.475*44/12</f>
        <v>3.4900256516087615E-2</v>
      </c>
      <c r="AW158" s="23">
        <f>EXP(-LN(2)/2)*AW157+(1-EXP(-LN(2)/2))/(LN(2)/2)*AQ158*AT158*VLOOKUP('Données projet'!$B$10,Paramètres!$A$1:$I$89,3,0)*0.475*44/12</f>
        <v>2.8895204724147343E-18</v>
      </c>
      <c r="AX158" s="23">
        <f t="shared" si="166"/>
        <v>0.42753912204526812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-5.6843418860808015E-14</v>
      </c>
      <c r="BE158" s="14">
        <f>BD158*VLOOKUP('Données projet'!$B$11,Paramètres!$A$1:$I$89,3,0)*VLOOKUP('Données projet'!$B$11,Paramètres!$A$1:$I$89,5,0)</f>
        <v>-5.1431925385259088E-14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472.46893084347687</v>
      </c>
      <c r="BJ158" s="62">
        <f t="shared" si="146"/>
        <v>297.32483725004136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0.42172322593874945</v>
      </c>
      <c r="BQ158" s="23">
        <f>EXP(-LN(2)/25)*BQ157+(1-EXP(-LN(2)/25))/(LN(2)/25)*Calculateur!BL158*Calculateur!BN158*VLOOKUP('Données projet'!$B$11,Paramètres!$A$1:$I$89,3,0)*0.475*44/12</f>
        <v>3.7485460702464432E-2</v>
      </c>
      <c r="BR158" s="23">
        <f>EXP(-LN(2)/2)*BR157+(1-EXP(-LN(2)/2))/(LN(2)/2)*BL158*BO158*VLOOKUP('Données projet'!$B$11,Paramètres!$A$1:$I$89,3,0)*0.475*44/12</f>
        <v>3.1035590259269357E-18</v>
      </c>
      <c r="BS158" s="24">
        <f t="shared" si="169"/>
        <v>0.45920868664121389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-1.1368683772161603E-13</v>
      </c>
      <c r="BZ158" s="14">
        <f>BY158*VLOOKUP('Données projet'!$B$12,Paramètres!$A$1:$I$89,3,0)*VLOOKUP('Données projet'!$B$12,Paramètres!$A$1:$I$89,5,0)</f>
        <v>-5.3205440053716299E-14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426.87921482911719</v>
      </c>
      <c r="CE158" s="62">
        <f t="shared" si="148"/>
        <v>313.49594674441835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-1.1368683772161603E-13</v>
      </c>
      <c r="CU158" s="18">
        <f>CT158*VLOOKUP('Données projet'!$B$13,Paramètres!$A$1:$I$89,3,0)*VLOOKUP('Données projet'!$B$13,Paramètres!$A$1:$I$89,5,0)</f>
        <v>-6.7984728957526396E-14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367.11994336501527</v>
      </c>
      <c r="CZ158" s="62">
        <f t="shared" si="150"/>
        <v>390.81417197867484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2.9147451478631301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7.0591265812498743E-19</v>
      </c>
      <c r="DI158" s="24">
        <f t="shared" si="175"/>
        <v>2.9147451478631301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1.9895196601282805E-13</v>
      </c>
      <c r="O159" s="14">
        <f>N159*VLOOKUP('Données projet'!$B$9,Paramètres!$A$1:$I$89,3,0)*VLOOKUP('Données projet'!$B$9,Paramètres!$A$1:$I$89,5,0)</f>
        <v>1.8001173884840681E-13</v>
      </c>
      <c r="P159" s="14">
        <f t="shared" si="141"/>
        <v>2.5254331426407198E-12</v>
      </c>
      <c r="Q159" s="22">
        <f t="shared" si="162"/>
        <v>4.7119831685935622E-12</v>
      </c>
      <c r="R159" s="62">
        <f t="shared" si="109"/>
        <v>287.35489844709303</v>
      </c>
      <c r="S159" s="62">
        <f ca="1">AVERAGE(OFFSET($R$3,0,0,'Données projet'!$E$9+1,1))-AVERAGE(OFFSET($H$3,0,0,'Données projet'!$E$9+1,1))</f>
        <v>312.43110610485337</v>
      </c>
      <c r="T159" s="62">
        <f t="shared" si="142"/>
        <v>442.54749157177571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4.454361682872849E-2</v>
      </c>
      <c r="AA159" s="23">
        <f>EXP(-LN(2)/25)*AA158+(1-EXP(-LN(2)/25))/(LN(2)/25)*Calculateur!V159*Calculateur!X159*VLOOKUP('Données projet'!$B$9,Paramètres!$A$1:$I$89,3,0)*0.475*44/12</f>
        <v>2.861718918091808E-2</v>
      </c>
      <c r="AB159" s="23">
        <f>EXP(-LN(2)/2)*AB158+(1-EXP(-LN(2)/2))/(LN(2)/2)*V159*Y159*VLOOKUP('Données projet'!$B$9,Paramètres!$A$1:$I$89,3,0)*0.475*44/12</f>
        <v>4.1651406558867821E-19</v>
      </c>
      <c r="AC159" s="24">
        <f t="shared" si="163"/>
        <v>7.316080600964657E-2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-5.6843418860808015E-14</v>
      </c>
      <c r="AJ159" s="14">
        <f>AI159*VLOOKUP('Données projet'!$B$10,Paramètres!$A$1:$I$89,3,0)*VLOOKUP('Données projet'!$B$10,Paramètres!$A$1:$I$89,5,0)</f>
        <v>-4.7884896048344674E-14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445.02659128831181</v>
      </c>
      <c r="AO159" s="62">
        <f t="shared" si="144"/>
        <v>281.06176764290592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0.38493945686221392</v>
      </c>
      <c r="AV159" s="23">
        <f>EXP(-LN(2)/25)*AV158+(1-EXP(-LN(2)/25))/(LN(2)/25)*Calculateur!AQ159*Calculateur!AS159*VLOOKUP('Données projet'!$B$10,Paramètres!$A$1:$I$89,3,0)*0.475*44/12</f>
        <v>3.3945907166330475E-2</v>
      </c>
      <c r="AW159" s="23">
        <f>EXP(-LN(2)/2)*AW158+(1-EXP(-LN(2)/2))/(LN(2)/2)*AQ159*AT159*VLOOKUP('Données projet'!$B$10,Paramètres!$A$1:$I$89,3,0)*0.475*44/12</f>
        <v>2.0431995204218149E-18</v>
      </c>
      <c r="AX159" s="23">
        <f t="shared" si="166"/>
        <v>0.41888536402854437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-5.6843418860808015E-14</v>
      </c>
      <c r="BE159" s="14">
        <f>BD159*VLOOKUP('Données projet'!$B$11,Paramètres!$A$1:$I$89,3,0)*VLOOKUP('Données projet'!$B$11,Paramètres!$A$1:$I$89,5,0)</f>
        <v>-5.1431925385259088E-14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472.46893084347687</v>
      </c>
      <c r="BJ159" s="62">
        <f t="shared" si="146"/>
        <v>297.32483725004136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0.41345349070385945</v>
      </c>
      <c r="BQ159" s="23">
        <f>EXP(-LN(2)/25)*BQ158+(1-EXP(-LN(2)/25))/(LN(2)/25)*Calculateur!BL159*Calculateur!BN159*VLOOKUP('Données projet'!$B$11,Paramètres!$A$1:$I$89,3,0)*0.475*44/12</f>
        <v>3.6460418808280839E-2</v>
      </c>
      <c r="BR159" s="23">
        <f>EXP(-LN(2)/2)*BR158+(1-EXP(-LN(2)/2))/(LN(2)/2)*BL159*BO159*VLOOKUP('Données projet'!$B$11,Paramètres!$A$1:$I$89,3,0)*0.475*44/12</f>
        <v>2.1945476330456523E-18</v>
      </c>
      <c r="BS159" s="24">
        <f t="shared" si="169"/>
        <v>0.44991390951214028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-1.1368683772161603E-13</v>
      </c>
      <c r="BZ159" s="14">
        <f>BY159*VLOOKUP('Données projet'!$B$12,Paramètres!$A$1:$I$89,3,0)*VLOOKUP('Données projet'!$B$12,Paramètres!$A$1:$I$89,5,0)</f>
        <v>-5.3205440053716299E-14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426.87921482911719</v>
      </c>
      <c r="CE159" s="62">
        <f t="shared" si="148"/>
        <v>313.49594674441835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-1.1368683772161603E-13</v>
      </c>
      <c r="CU159" s="18">
        <f>CT159*VLOOKUP('Données projet'!$B$13,Paramètres!$A$1:$I$89,3,0)*VLOOKUP('Données projet'!$B$13,Paramètres!$A$1:$I$89,5,0)</f>
        <v>-6.7984728957526396E-14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367.11994336501527</v>
      </c>
      <c r="CZ159" s="62">
        <f t="shared" si="150"/>
        <v>390.81417197867484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2.8575887733325294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4.9915562748559961E-19</v>
      </c>
      <c r="DI159" s="24">
        <f t="shared" si="175"/>
        <v>2.8575887733325294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1.9895196601282805E-13</v>
      </c>
      <c r="O160" s="14">
        <f>N160*VLOOKUP('Données projet'!$B$9,Paramètres!$A$1:$I$89,3,0)*VLOOKUP('Données projet'!$B$9,Paramètres!$A$1:$I$89,5,0)</f>
        <v>1.8001173884840681E-13</v>
      </c>
      <c r="P160" s="14">
        <f t="shared" si="141"/>
        <v>2.5254331426407198E-12</v>
      </c>
      <c r="Q160" s="22">
        <f t="shared" si="162"/>
        <v>4.7119831685935622E-12</v>
      </c>
      <c r="R160" s="62">
        <f t="shared" si="109"/>
        <v>287.45861092659129</v>
      </c>
      <c r="S160" s="62">
        <f ca="1">AVERAGE(OFFSET($R$3,0,0,'Données projet'!$E$9+1,1))-AVERAGE(OFFSET($H$3,0,0,'Données projet'!$E$9+1,1))</f>
        <v>312.43110610485337</v>
      </c>
      <c r="T160" s="62">
        <f t="shared" si="142"/>
        <v>442.54749157177571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4.3670143671640682E-2</v>
      </c>
      <c r="AA160" s="23">
        <f>EXP(-LN(2)/25)*AA159+(1-EXP(-LN(2)/25))/(LN(2)/25)*Calculateur!V160*Calculateur!X160*VLOOKUP('Données projet'!$B$9,Paramètres!$A$1:$I$89,3,0)*0.475*44/12</f>
        <v>2.78346506378533E-2</v>
      </c>
      <c r="AB160" s="23">
        <f>EXP(-LN(2)/2)*AB159+(1-EXP(-LN(2)/2))/(LN(2)/2)*V160*Y160*VLOOKUP('Données projet'!$B$9,Paramètres!$A$1:$I$89,3,0)*0.475*44/12</f>
        <v>2.9451992023733278E-19</v>
      </c>
      <c r="AC160" s="24">
        <f t="shared" si="163"/>
        <v>7.1504794309493983E-2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-5.6843418860808015E-14</v>
      </c>
      <c r="AJ160" s="14">
        <f>AI160*VLOOKUP('Données projet'!$B$10,Paramètres!$A$1:$I$89,3,0)*VLOOKUP('Données projet'!$B$10,Paramètres!$A$1:$I$89,5,0)</f>
        <v>-4.7884896048344674E-14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445.02659128831181</v>
      </c>
      <c r="AO160" s="62">
        <f t="shared" si="144"/>
        <v>281.06176764290592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0.377391028903031</v>
      </c>
      <c r="AV160" s="23">
        <f>EXP(-LN(2)/25)*AV159+(1-EXP(-LN(2)/25))/(LN(2)/25)*Calculateur!AQ160*Calculateur!AS160*VLOOKUP('Données projet'!$B$10,Paramètres!$A$1:$I$89,3,0)*0.475*44/12</f>
        <v>3.3017654549729492E-2</v>
      </c>
      <c r="AW160" s="23">
        <f>EXP(-LN(2)/2)*AW159+(1-EXP(-LN(2)/2))/(LN(2)/2)*AQ160*AT160*VLOOKUP('Données projet'!$B$10,Paramètres!$A$1:$I$89,3,0)*0.475*44/12</f>
        <v>1.4447602362073672E-18</v>
      </c>
      <c r="AX160" s="23">
        <f t="shared" si="166"/>
        <v>0.41040868345276049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-5.6843418860808015E-14</v>
      </c>
      <c r="BE160" s="14">
        <f>BD160*VLOOKUP('Données projet'!$B$11,Paramètres!$A$1:$I$89,3,0)*VLOOKUP('Données projet'!$B$11,Paramètres!$A$1:$I$89,5,0)</f>
        <v>-5.1431925385259088E-14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472.46893084347687</v>
      </c>
      <c r="BJ160" s="62">
        <f t="shared" si="146"/>
        <v>297.32483725004136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0.40534591993288521</v>
      </c>
      <c r="BQ160" s="23">
        <f>EXP(-LN(2)/25)*BQ159+(1-EXP(-LN(2)/25))/(LN(2)/25)*Calculateur!BL160*Calculateur!BN160*VLOOKUP('Données projet'!$B$11,Paramètres!$A$1:$I$89,3,0)*0.475*44/12</f>
        <v>3.5463406738598303E-2</v>
      </c>
      <c r="BR160" s="23">
        <f>EXP(-LN(2)/2)*BR159+(1-EXP(-LN(2)/2))/(LN(2)/2)*BL160*BO160*VLOOKUP('Données projet'!$B$11,Paramètres!$A$1:$I$89,3,0)*0.475*44/12</f>
        <v>1.5517795129634679E-18</v>
      </c>
      <c r="BS160" s="24">
        <f t="shared" si="169"/>
        <v>0.44080932667148354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-1.1368683772161603E-13</v>
      </c>
      <c r="BZ160" s="14">
        <f>BY160*VLOOKUP('Données projet'!$B$12,Paramètres!$A$1:$I$89,3,0)*VLOOKUP('Données projet'!$B$12,Paramètres!$A$1:$I$89,5,0)</f>
        <v>-5.3205440053716299E-14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426.87921482911719</v>
      </c>
      <c r="CE160" s="62">
        <f t="shared" si="148"/>
        <v>313.49594674441835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-1.1368683772161603E-13</v>
      </c>
      <c r="CU160" s="18">
        <f>CT160*VLOOKUP('Données projet'!$B$13,Paramètres!$A$1:$I$89,3,0)*VLOOKUP('Données projet'!$B$13,Paramètres!$A$1:$I$89,5,0)</f>
        <v>-6.7984728957526396E-14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367.11994336501527</v>
      </c>
      <c r="CZ160" s="62">
        <f t="shared" si="150"/>
        <v>390.81417197867484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2.8015532004445274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3.5295632906249372E-19</v>
      </c>
      <c r="DI160" s="24">
        <f t="shared" si="175"/>
        <v>2.8015532004445274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1.9895196601282805E-13</v>
      </c>
      <c r="O161" s="14">
        <f>N161*VLOOKUP('Données projet'!$B$9,Paramètres!$A$1:$I$89,3,0)*VLOOKUP('Données projet'!$B$9,Paramètres!$A$1:$I$89,5,0)</f>
        <v>1.8001173884840681E-13</v>
      </c>
      <c r="P161" s="14">
        <f t="shared" si="141"/>
        <v>2.5254331426407198E-12</v>
      </c>
      <c r="Q161" s="22">
        <f t="shared" si="162"/>
        <v>4.7119831685935622E-12</v>
      </c>
      <c r="R161" s="62">
        <f t="shared" si="109"/>
        <v>287.56052422643671</v>
      </c>
      <c r="S161" s="62">
        <f ca="1">AVERAGE(OFFSET($R$3,0,0,'Données projet'!$E$9+1,1))-AVERAGE(OFFSET($H$3,0,0,'Données projet'!$E$9+1,1))</f>
        <v>312.43110610485337</v>
      </c>
      <c r="T161" s="62">
        <f t="shared" si="142"/>
        <v>442.54749157177571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4.2813798790397345E-2</v>
      </c>
      <c r="AA161" s="23">
        <f>EXP(-LN(2)/25)*AA160+(1-EXP(-LN(2)/25))/(LN(2)/25)*Calculateur!V161*Calculateur!X161*VLOOKUP('Données projet'!$B$9,Paramètres!$A$1:$I$89,3,0)*0.475*44/12</f>
        <v>2.7073510652400542E-2</v>
      </c>
      <c r="AB161" s="23">
        <f>EXP(-LN(2)/2)*AB160+(1-EXP(-LN(2)/2))/(LN(2)/2)*V161*Y161*VLOOKUP('Données projet'!$B$9,Paramètres!$A$1:$I$89,3,0)*0.475*44/12</f>
        <v>2.082570327943391E-19</v>
      </c>
      <c r="AC161" s="24">
        <f t="shared" si="163"/>
        <v>6.988730944279789E-2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-5.6843418860808015E-14</v>
      </c>
      <c r="AJ161" s="14">
        <f>AI161*VLOOKUP('Données projet'!$B$10,Paramètres!$A$1:$I$89,3,0)*VLOOKUP('Données projet'!$B$10,Paramètres!$A$1:$I$89,5,0)</f>
        <v>-4.7884896048344674E-14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445.02659128831181</v>
      </c>
      <c r="AO161" s="62">
        <f t="shared" si="144"/>
        <v>281.06176764290592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0.36999062101204122</v>
      </c>
      <c r="AV161" s="23">
        <f>EXP(-LN(2)/25)*AV160+(1-EXP(-LN(2)/25))/(LN(2)/25)*Calculateur!AQ161*Calculateur!AS161*VLOOKUP('Données projet'!$B$10,Paramètres!$A$1:$I$89,3,0)*0.475*44/12</f>
        <v>3.2114785049744146E-2</v>
      </c>
      <c r="AW161" s="23">
        <f>EXP(-LN(2)/2)*AW160+(1-EXP(-LN(2)/2))/(LN(2)/2)*AQ161*AT161*VLOOKUP('Données projet'!$B$10,Paramètres!$A$1:$I$89,3,0)*0.475*44/12</f>
        <v>1.0215997602109075E-18</v>
      </c>
      <c r="AX161" s="23">
        <f t="shared" si="166"/>
        <v>0.40210540606178535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-5.6843418860808015E-14</v>
      </c>
      <c r="BE161" s="14">
        <f>BD161*VLOOKUP('Données projet'!$B$11,Paramètres!$A$1:$I$89,3,0)*VLOOKUP('Données projet'!$B$11,Paramètres!$A$1:$I$89,5,0)</f>
        <v>-5.1431925385259088E-14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472.46893084347687</v>
      </c>
      <c r="BJ161" s="62">
        <f t="shared" si="146"/>
        <v>297.32483725004136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0.3973973336795999</v>
      </c>
      <c r="BQ161" s="23">
        <f>EXP(-LN(2)/25)*BQ160+(1-EXP(-LN(2)/25))/(LN(2)/25)*Calculateur!BL161*Calculateur!BN161*VLOOKUP('Données projet'!$B$11,Paramètres!$A$1:$I$89,3,0)*0.475*44/12</f>
        <v>3.4493658016391822E-2</v>
      </c>
      <c r="BR161" s="23">
        <f>EXP(-LN(2)/2)*BR160+(1-EXP(-LN(2)/2))/(LN(2)/2)*BL161*BO161*VLOOKUP('Données projet'!$B$11,Paramètres!$A$1:$I$89,3,0)*0.475*44/12</f>
        <v>1.0972738165228261E-18</v>
      </c>
      <c r="BS161" s="24">
        <f t="shared" si="169"/>
        <v>0.43189099169599171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-1.1368683772161603E-13</v>
      </c>
      <c r="BZ161" s="14">
        <f>BY161*VLOOKUP('Données projet'!$B$12,Paramètres!$A$1:$I$89,3,0)*VLOOKUP('Données projet'!$B$12,Paramètres!$A$1:$I$89,5,0)</f>
        <v>-5.3205440053716299E-14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426.87921482911719</v>
      </c>
      <c r="CE161" s="62">
        <f t="shared" si="148"/>
        <v>313.49594674441835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-1.1368683772161603E-13</v>
      </c>
      <c r="CU161" s="18">
        <f>CT161*VLOOKUP('Données projet'!$B$13,Paramètres!$A$1:$I$89,3,0)*VLOOKUP('Données projet'!$B$13,Paramètres!$A$1:$I$89,5,0)</f>
        <v>-6.7984728957526396E-14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367.11994336501527</v>
      </c>
      <c r="CZ161" s="62">
        <f t="shared" si="150"/>
        <v>390.81417197867484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2.7466164509625344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2.495778137427998E-19</v>
      </c>
      <c r="DI161" s="24">
        <f t="shared" si="175"/>
        <v>2.7466164509625344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1.9895196601282805E-13</v>
      </c>
      <c r="O162" s="14">
        <f>N162*VLOOKUP('Données projet'!$B$9,Paramètres!$A$1:$I$89,3,0)*VLOOKUP('Données projet'!$B$9,Paramètres!$A$1:$I$89,5,0)</f>
        <v>1.8001173884840681E-13</v>
      </c>
      <c r="P162" s="14">
        <f t="shared" si="141"/>
        <v>2.5254331426407198E-12</v>
      </c>
      <c r="Q162" s="22">
        <f t="shared" si="162"/>
        <v>4.7119831685935622E-12</v>
      </c>
      <c r="R162" s="62">
        <f t="shared" si="109"/>
        <v>287.66066955837368</v>
      </c>
      <c r="S162" s="62">
        <f ca="1">AVERAGE(OFFSET($R$3,0,0,'Données projet'!$E$9+1,1))-AVERAGE(OFFSET($H$3,0,0,'Données projet'!$E$9+1,1))</f>
        <v>312.43110610485337</v>
      </c>
      <c r="T162" s="62">
        <f t="shared" si="142"/>
        <v>442.54749157177571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4.1974246309956387E-2</v>
      </c>
      <c r="AA162" s="23">
        <f>EXP(-LN(2)/25)*AA161+(1-EXP(-LN(2)/25))/(LN(2)/25)*Calculateur!V162*Calculateur!X162*VLOOKUP('Données projet'!$B$9,Paramètres!$A$1:$I$89,3,0)*0.475*44/12</f>
        <v>2.6333184079876601E-2</v>
      </c>
      <c r="AB162" s="23">
        <f>EXP(-LN(2)/2)*AB161+(1-EXP(-LN(2)/2))/(LN(2)/2)*V162*Y162*VLOOKUP('Données projet'!$B$9,Paramètres!$A$1:$I$89,3,0)*0.475*44/12</f>
        <v>1.4725996011866639E-19</v>
      </c>
      <c r="AC162" s="24">
        <f t="shared" si="163"/>
        <v>6.8307430389832988E-2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-5.6843418860808015E-14</v>
      </c>
      <c r="AJ162" s="14">
        <f>AI162*VLOOKUP('Données projet'!$B$10,Paramètres!$A$1:$I$89,3,0)*VLOOKUP('Données projet'!$B$10,Paramètres!$A$1:$I$89,5,0)</f>
        <v>-4.7884896048344674E-14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445.02659128831181</v>
      </c>
      <c r="AO162" s="62">
        <f t="shared" si="144"/>
        <v>281.06176764290592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0.36273533060599067</v>
      </c>
      <c r="AV162" s="23">
        <f>EXP(-LN(2)/25)*AV161+(1-EXP(-LN(2)/25))/(LN(2)/25)*Calculateur!AQ162*Calculateur!AS162*VLOOKUP('Données projet'!$B$10,Paramètres!$A$1:$I$89,3,0)*0.475*44/12</f>
        <v>3.1236604563715745E-2</v>
      </c>
      <c r="AW162" s="23">
        <f>EXP(-LN(2)/2)*AW161+(1-EXP(-LN(2)/2))/(LN(2)/2)*AQ162*AT162*VLOOKUP('Données projet'!$B$10,Paramètres!$A$1:$I$89,3,0)*0.475*44/12</f>
        <v>7.2238011810368358E-19</v>
      </c>
      <c r="AX162" s="23">
        <f t="shared" si="166"/>
        <v>0.39397193516970641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-5.6843418860808015E-14</v>
      </c>
      <c r="BE162" s="14">
        <f>BD162*VLOOKUP('Données projet'!$B$11,Paramètres!$A$1:$I$89,3,0)*VLOOKUP('Données projet'!$B$11,Paramètres!$A$1:$I$89,5,0)</f>
        <v>-5.1431925385259088E-14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472.46893084347687</v>
      </c>
      <c r="BJ162" s="62">
        <f t="shared" si="146"/>
        <v>297.32483725004136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0.3896046143545826</v>
      </c>
      <c r="BQ162" s="23">
        <f>EXP(-LN(2)/25)*BQ161+(1-EXP(-LN(2)/25))/(LN(2)/25)*Calculateur!BL162*Calculateur!BN162*VLOOKUP('Données projet'!$B$11,Paramètres!$A$1:$I$89,3,0)*0.475*44/12</f>
        <v>3.355042712399095E-2</v>
      </c>
      <c r="BR162" s="23">
        <f>EXP(-LN(2)/2)*BR161+(1-EXP(-LN(2)/2))/(LN(2)/2)*BL162*BO162*VLOOKUP('Données projet'!$B$11,Paramètres!$A$1:$I$89,3,0)*0.475*44/12</f>
        <v>7.7588975648173393E-19</v>
      </c>
      <c r="BS162" s="24">
        <f t="shared" si="169"/>
        <v>0.42315504147857352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-1.1368683772161603E-13</v>
      </c>
      <c r="BZ162" s="14">
        <f>BY162*VLOOKUP('Données projet'!$B$12,Paramètres!$A$1:$I$89,3,0)*VLOOKUP('Données projet'!$B$12,Paramètres!$A$1:$I$89,5,0)</f>
        <v>-5.3205440053716299E-14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426.87921482911719</v>
      </c>
      <c r="CE162" s="62">
        <f t="shared" si="148"/>
        <v>313.49594674441835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-1.1368683772161603E-13</v>
      </c>
      <c r="CU162" s="18">
        <f>CT162*VLOOKUP('Données projet'!$B$13,Paramètres!$A$1:$I$89,3,0)*VLOOKUP('Données projet'!$B$13,Paramètres!$A$1:$I$89,5,0)</f>
        <v>-6.7984728957526396E-14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367.11994336501527</v>
      </c>
      <c r="CZ162" s="62">
        <f t="shared" si="150"/>
        <v>390.81417197867484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2.6927569776297751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1.7647816453124686E-19</v>
      </c>
      <c r="DI162" s="24">
        <f t="shared" si="175"/>
        <v>2.6927569776297751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1.9895196601282805E-13</v>
      </c>
      <c r="O163" s="14">
        <f>N163*VLOOKUP('Données projet'!$B$9,Paramètres!$A$1:$I$89,3,0)*VLOOKUP('Données projet'!$B$9,Paramètres!$A$1:$I$89,5,0)</f>
        <v>1.8001173884840681E-13</v>
      </c>
      <c r="P163" s="14">
        <f t="shared" si="141"/>
        <v>2.5254331426407198E-12</v>
      </c>
      <c r="Q163" s="22">
        <f t="shared" si="162"/>
        <v>4.7119831685935622E-12</v>
      </c>
      <c r="R163" s="62">
        <f t="shared" si="109"/>
        <v>287.75907759269307</v>
      </c>
      <c r="S163" s="62">
        <f ca="1">AVERAGE(OFFSET($R$3,0,0,'Données projet'!$E$9+1,1))-AVERAGE(OFFSET($H$3,0,0,'Données projet'!$E$9+1,1))</f>
        <v>312.43110610485337</v>
      </c>
      <c r="T163" s="62">
        <f t="shared" si="142"/>
        <v>442.54749157177571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4.1151156941580426E-2</v>
      </c>
      <c r="AA163" s="23">
        <f>EXP(-LN(2)/25)*AA162+(1-EXP(-LN(2)/25))/(LN(2)/25)*Calculateur!V163*Calculateur!X163*VLOOKUP('Données projet'!$B$9,Paramètres!$A$1:$I$89,3,0)*0.475*44/12</f>
        <v>2.5613101776410411E-2</v>
      </c>
      <c r="AB163" s="23">
        <f>EXP(-LN(2)/2)*AB162+(1-EXP(-LN(2)/2))/(LN(2)/2)*V163*Y163*VLOOKUP('Données projet'!$B$9,Paramètres!$A$1:$I$89,3,0)*0.475*44/12</f>
        <v>1.0412851639716955E-19</v>
      </c>
      <c r="AC163" s="24">
        <f t="shared" si="163"/>
        <v>6.676425871799084E-2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-5.6843418860808015E-14</v>
      </c>
      <c r="AJ163" s="14">
        <f>AI163*VLOOKUP('Données projet'!$B$10,Paramètres!$A$1:$I$89,3,0)*VLOOKUP('Données projet'!$B$10,Paramètres!$A$1:$I$89,5,0)</f>
        <v>-4.7884896048344674E-14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445.02659128831181</v>
      </c>
      <c r="AO163" s="62">
        <f t="shared" si="144"/>
        <v>281.06176764290592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0.35562231201951255</v>
      </c>
      <c r="AV163" s="23">
        <f>EXP(-LN(2)/25)*AV162+(1-EXP(-LN(2)/25))/(LN(2)/25)*Calculateur!AQ163*Calculateur!AS163*VLOOKUP('Données projet'!$B$10,Paramètres!$A$1:$I$89,3,0)*0.475*44/12</f>
        <v>3.0382437969259296E-2</v>
      </c>
      <c r="AW163" s="23">
        <f>EXP(-LN(2)/2)*AW162+(1-EXP(-LN(2)/2))/(LN(2)/2)*AQ163*AT163*VLOOKUP('Données projet'!$B$10,Paramètres!$A$1:$I$89,3,0)*0.475*44/12</f>
        <v>5.1079988010545373E-19</v>
      </c>
      <c r="AX163" s="23">
        <f t="shared" si="166"/>
        <v>0.38600474998877188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-5.6843418860808015E-14</v>
      </c>
      <c r="BE163" s="14">
        <f>BD163*VLOOKUP('Données projet'!$B$11,Paramètres!$A$1:$I$89,3,0)*VLOOKUP('Données projet'!$B$11,Paramètres!$A$1:$I$89,5,0)</f>
        <v>-5.1431925385259088E-14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472.46893084347687</v>
      </c>
      <c r="BJ163" s="62">
        <f t="shared" si="146"/>
        <v>297.32483725004136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0.38196470550243944</v>
      </c>
      <c r="BQ163" s="23">
        <f>EXP(-LN(2)/25)*BQ162+(1-EXP(-LN(2)/25))/(LN(2)/25)*Calculateur!BL163*Calculateur!BN163*VLOOKUP('Données projet'!$B$11,Paramètres!$A$1:$I$89,3,0)*0.475*44/12</f>
        <v>3.2632988929945136E-2</v>
      </c>
      <c r="BR163" s="23">
        <f>EXP(-LN(2)/2)*BR162+(1-EXP(-LN(2)/2))/(LN(2)/2)*BL163*BO163*VLOOKUP('Données projet'!$B$11,Paramètres!$A$1:$I$89,3,0)*0.475*44/12</f>
        <v>5.4863690826141307E-19</v>
      </c>
      <c r="BS163" s="24">
        <f t="shared" si="169"/>
        <v>0.41459769443238459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-1.1368683772161603E-13</v>
      </c>
      <c r="BZ163" s="14">
        <f>BY163*VLOOKUP('Données projet'!$B$12,Paramètres!$A$1:$I$89,3,0)*VLOOKUP('Données projet'!$B$12,Paramètres!$A$1:$I$89,5,0)</f>
        <v>-5.3205440053716299E-14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426.87921482911719</v>
      </c>
      <c r="CE163" s="62">
        <f t="shared" si="148"/>
        <v>313.49594674441835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-1.1368683772161603E-13</v>
      </c>
      <c r="CU163" s="18">
        <f>CT163*VLOOKUP('Données projet'!$B$13,Paramètres!$A$1:$I$89,3,0)*VLOOKUP('Données projet'!$B$13,Paramètres!$A$1:$I$89,5,0)</f>
        <v>-6.7984728957526396E-14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367.11994336501527</v>
      </c>
      <c r="CZ163" s="62">
        <f t="shared" si="150"/>
        <v>390.81417197867484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2.6399536557180361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1.247889068713999E-19</v>
      </c>
      <c r="DI163" s="24">
        <f t="shared" si="175"/>
        <v>2.6399536557180361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1.9895196601282805E-13</v>
      </c>
      <c r="O164" s="14">
        <f>N164*VLOOKUP('Données projet'!$B$9,Paramètres!$A$1:$I$89,3,0)*VLOOKUP('Données projet'!$B$9,Paramètres!$A$1:$I$89,5,0)</f>
        <v>1.8001173884840681E-13</v>
      </c>
      <c r="P164" s="14">
        <f t="shared" si="141"/>
        <v>2.5254331426407198E-12</v>
      </c>
      <c r="Q164" s="22">
        <f t="shared" si="162"/>
        <v>4.7119831685935622E-12</v>
      </c>
      <c r="R164" s="62">
        <f t="shared" si="109"/>
        <v>287.85577846762442</v>
      </c>
      <c r="S164" s="62">
        <f ca="1">AVERAGE(OFFSET($R$3,0,0,'Données projet'!$E$9+1,1))-AVERAGE(OFFSET($H$3,0,0,'Données projet'!$E$9+1,1))</f>
        <v>312.43110610485337</v>
      </c>
      <c r="T164" s="62">
        <f t="shared" si="142"/>
        <v>442.54749157177571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4.0344207853683374E-2</v>
      </c>
      <c r="AA164" s="23">
        <f>EXP(-LN(2)/25)*AA163+(1-EXP(-LN(2)/25))/(LN(2)/25)*Calculateur!V164*Calculateur!X164*VLOOKUP('Données projet'!$B$9,Paramètres!$A$1:$I$89,3,0)*0.475*44/12</f>
        <v>2.4912710161399985E-2</v>
      </c>
      <c r="AB164" s="23">
        <f>EXP(-LN(2)/2)*AB163+(1-EXP(-LN(2)/2))/(LN(2)/2)*V164*Y164*VLOOKUP('Données projet'!$B$9,Paramètres!$A$1:$I$89,3,0)*0.475*44/12</f>
        <v>7.3629980059333195E-20</v>
      </c>
      <c r="AC164" s="24">
        <f t="shared" si="163"/>
        <v>6.5256918015083362E-2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-5.6843418860808015E-14</v>
      </c>
      <c r="AJ164" s="14">
        <f>AI164*VLOOKUP('Données projet'!$B$10,Paramètres!$A$1:$I$89,3,0)*VLOOKUP('Données projet'!$B$10,Paramètres!$A$1:$I$89,5,0)</f>
        <v>-4.7884896048344674E-14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445.02659128831181</v>
      </c>
      <c r="AO164" s="62">
        <f t="shared" si="144"/>
        <v>281.06176764290592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0.34864877538900235</v>
      </c>
      <c r="AV164" s="23">
        <f>EXP(-LN(2)/25)*AV163+(1-EXP(-LN(2)/25))/(LN(2)/25)*Calculateur!AQ164*Calculateur!AS164*VLOOKUP('Données projet'!$B$10,Paramètres!$A$1:$I$89,3,0)*0.475*44/12</f>
        <v>2.9551628605246929E-2</v>
      </c>
      <c r="AW164" s="23">
        <f>EXP(-LN(2)/2)*AW163+(1-EXP(-LN(2)/2))/(LN(2)/2)*AQ164*AT164*VLOOKUP('Données projet'!$B$10,Paramètres!$A$1:$I$89,3,0)*0.475*44/12</f>
        <v>3.6119005905184179E-19</v>
      </c>
      <c r="AX164" s="23">
        <f t="shared" si="166"/>
        <v>0.37820040399424926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-5.6843418860808015E-14</v>
      </c>
      <c r="BE164" s="14">
        <f>BD164*VLOOKUP('Données projet'!$B$11,Paramètres!$A$1:$I$89,3,0)*VLOOKUP('Données projet'!$B$11,Paramètres!$A$1:$I$89,5,0)</f>
        <v>-5.1431925385259088E-14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472.46893084347687</v>
      </c>
      <c r="BJ164" s="62">
        <f t="shared" si="146"/>
        <v>297.32483725004136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0.37447461060300252</v>
      </c>
      <c r="BQ164" s="23">
        <f>EXP(-LN(2)/25)*BQ163+(1-EXP(-LN(2)/25))/(LN(2)/25)*Calculateur!BL164*Calculateur!BN164*VLOOKUP('Données projet'!$B$11,Paramètres!$A$1:$I$89,3,0)*0.475*44/12</f>
        <v>3.1740638131561486E-2</v>
      </c>
      <c r="BR164" s="23">
        <f>EXP(-LN(2)/2)*BR163+(1-EXP(-LN(2)/2))/(LN(2)/2)*BL164*BO164*VLOOKUP('Données projet'!$B$11,Paramètres!$A$1:$I$89,3,0)*0.475*44/12</f>
        <v>3.8794487824086697E-19</v>
      </c>
      <c r="BS164" s="24">
        <f t="shared" si="169"/>
        <v>0.40621524873456399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-1.1368683772161603E-13</v>
      </c>
      <c r="BZ164" s="14">
        <f>BY164*VLOOKUP('Données projet'!$B$12,Paramètres!$A$1:$I$89,3,0)*VLOOKUP('Données projet'!$B$12,Paramètres!$A$1:$I$89,5,0)</f>
        <v>-5.3205440053716299E-14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426.87921482911719</v>
      </c>
      <c r="CE164" s="62">
        <f t="shared" si="148"/>
        <v>313.49594674441835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-1.1368683772161603E-13</v>
      </c>
      <c r="CU164" s="18">
        <f>CT164*VLOOKUP('Données projet'!$B$13,Paramètres!$A$1:$I$89,3,0)*VLOOKUP('Données projet'!$B$13,Paramètres!$A$1:$I$89,5,0)</f>
        <v>-6.7984728957526396E-14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367.11994336501527</v>
      </c>
      <c r="CZ164" s="62">
        <f t="shared" si="150"/>
        <v>390.81417197867484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2.58818577474214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8.8239082265623429E-20</v>
      </c>
      <c r="DI164" s="24">
        <f t="shared" si="175"/>
        <v>2.58818577474214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1.9895196601282805E-13</v>
      </c>
      <c r="O165" s="14">
        <f>N165*VLOOKUP('Données projet'!$B$9,Paramètres!$A$1:$I$89,3,0)*VLOOKUP('Données projet'!$B$9,Paramètres!$A$1:$I$89,5,0)</f>
        <v>1.8001173884840681E-13</v>
      </c>
      <c r="P165" s="14">
        <f t="shared" si="141"/>
        <v>2.5254331426407198E-12</v>
      </c>
      <c r="Q165" s="22">
        <f t="shared" si="162"/>
        <v>4.7119831685935622E-12</v>
      </c>
      <c r="R165" s="62">
        <f t="shared" si="109"/>
        <v>287.95080179856643</v>
      </c>
      <c r="S165" s="62">
        <f ca="1">AVERAGE(OFFSET($R$3,0,0,'Données projet'!$E$9+1,1))-AVERAGE(OFFSET($H$3,0,0,'Données projet'!$E$9+1,1))</f>
        <v>312.43110610485337</v>
      </c>
      <c r="T165" s="62">
        <f t="shared" si="142"/>
        <v>442.54749157177571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3.9553082545209645E-2</v>
      </c>
      <c r="AA165" s="23">
        <f>EXP(-LN(2)/25)*AA164+(1-EXP(-LN(2)/25))/(LN(2)/25)*Calculateur!V165*Calculateur!X165*VLOOKUP('Données projet'!$B$9,Paramètres!$A$1:$I$89,3,0)*0.475*44/12</f>
        <v>2.4231470791934013E-2</v>
      </c>
      <c r="AB165" s="23">
        <f>EXP(-LN(2)/2)*AB164+(1-EXP(-LN(2)/2))/(LN(2)/2)*V165*Y165*VLOOKUP('Données projet'!$B$9,Paramètres!$A$1:$I$89,3,0)*0.475*44/12</f>
        <v>5.2064258198584776E-20</v>
      </c>
      <c r="AC165" s="24">
        <f t="shared" si="163"/>
        <v>6.3784553337143654E-2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-5.6843418860808015E-14</v>
      </c>
      <c r="AJ165" s="14">
        <f>AI165*VLOOKUP('Données projet'!$B$10,Paramètres!$A$1:$I$89,3,0)*VLOOKUP('Données projet'!$B$10,Paramètres!$A$1:$I$89,5,0)</f>
        <v>-4.7884896048344674E-14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445.02659128831181</v>
      </c>
      <c r="AO165" s="62">
        <f t="shared" si="144"/>
        <v>281.06176764290592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0.34181198555837911</v>
      </c>
      <c r="AV165" s="23">
        <f>EXP(-LN(2)/25)*AV164+(1-EXP(-LN(2)/25))/(LN(2)/25)*Calculateur!AQ165*Calculateur!AS165*VLOOKUP('Données projet'!$B$10,Paramètres!$A$1:$I$89,3,0)*0.475*44/12</f>
        <v>2.8743537766983844E-2</v>
      </c>
      <c r="AW165" s="23">
        <f>EXP(-LN(2)/2)*AW164+(1-EXP(-LN(2)/2))/(LN(2)/2)*AQ165*AT165*VLOOKUP('Données projet'!$B$10,Paramètres!$A$1:$I$89,3,0)*0.475*44/12</f>
        <v>2.5539994005272687E-19</v>
      </c>
      <c r="AX165" s="23">
        <f t="shared" si="166"/>
        <v>0.37055552332536296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-5.6843418860808015E-14</v>
      </c>
      <c r="BE165" s="14">
        <f>BD165*VLOOKUP('Données projet'!$B$11,Paramètres!$A$1:$I$89,3,0)*VLOOKUP('Données projet'!$B$11,Paramètres!$A$1:$I$89,5,0)</f>
        <v>-5.1431925385259088E-14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472.46893084347687</v>
      </c>
      <c r="BJ165" s="62">
        <f t="shared" si="146"/>
        <v>297.32483725004136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0.36713139189603677</v>
      </c>
      <c r="BQ165" s="23">
        <f>EXP(-LN(2)/25)*BQ164+(1-EXP(-LN(2)/25))/(LN(2)/25)*Calculateur!BL165*Calculateur!BN165*VLOOKUP('Données projet'!$B$11,Paramètres!$A$1:$I$89,3,0)*0.475*44/12</f>
        <v>3.0872688712686322E-2</v>
      </c>
      <c r="BR165" s="23">
        <f>EXP(-LN(2)/2)*BR164+(1-EXP(-LN(2)/2))/(LN(2)/2)*BL165*BO165*VLOOKUP('Données projet'!$B$11,Paramètres!$A$1:$I$89,3,0)*0.475*44/12</f>
        <v>2.7431845413070653E-19</v>
      </c>
      <c r="BS165" s="24">
        <f t="shared" si="169"/>
        <v>0.39800408060872311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-1.1368683772161603E-13</v>
      </c>
      <c r="BZ165" s="14">
        <f>BY165*VLOOKUP('Données projet'!$B$12,Paramètres!$A$1:$I$89,3,0)*VLOOKUP('Données projet'!$B$12,Paramètres!$A$1:$I$89,5,0)</f>
        <v>-5.3205440053716299E-14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426.87921482911719</v>
      </c>
      <c r="CE165" s="62">
        <f t="shared" si="148"/>
        <v>313.49594674441835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-1.1368683772161603E-13</v>
      </c>
      <c r="CU165" s="18">
        <f>CT165*VLOOKUP('Données projet'!$B$13,Paramètres!$A$1:$I$89,3,0)*VLOOKUP('Données projet'!$B$13,Paramètres!$A$1:$I$89,5,0)</f>
        <v>-6.7984728957526396E-14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367.11994336501527</v>
      </c>
      <c r="CZ165" s="62">
        <f t="shared" si="150"/>
        <v>390.81417197867484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2.5374330303368917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6.2394453435699951E-20</v>
      </c>
      <c r="DI165" s="24">
        <f t="shared" si="175"/>
        <v>2.5374330303368917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1.9895196601282805E-13</v>
      </c>
      <c r="O166" s="14">
        <f>N166*VLOOKUP('Données projet'!$B$9,Paramètres!$A$1:$I$89,3,0)*VLOOKUP('Données projet'!$B$9,Paramètres!$A$1:$I$89,5,0)</f>
        <v>1.8001173884840681E-13</v>
      </c>
      <c r="P166" s="14">
        <f t="shared" si="141"/>
        <v>2.5254331426407198E-12</v>
      </c>
      <c r="Q166" s="22">
        <f t="shared" si="162"/>
        <v>4.7119831685935622E-12</v>
      </c>
      <c r="R166" s="62">
        <f t="shared" si="109"/>
        <v>288.04417668715695</v>
      </c>
      <c r="S166" s="62">
        <f ca="1">AVERAGE(OFFSET($R$3,0,0,'Données projet'!$E$9+1,1))-AVERAGE(OFFSET($H$3,0,0,'Données projet'!$E$9+1,1))</f>
        <v>312.43110610485337</v>
      </c>
      <c r="T166" s="62">
        <f t="shared" si="142"/>
        <v>442.54749157177571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3.8777470721496288E-2</v>
      </c>
      <c r="AA166" s="23">
        <f>EXP(-LN(2)/25)*AA165+(1-EXP(-LN(2)/25))/(LN(2)/25)*Calculateur!V166*Calculateur!X166*VLOOKUP('Données projet'!$B$9,Paramètres!$A$1:$I$89,3,0)*0.475*44/12</f>
        <v>2.3568859948850909E-2</v>
      </c>
      <c r="AB166" s="23">
        <f>EXP(-LN(2)/2)*AB165+(1-EXP(-LN(2)/2))/(LN(2)/2)*V166*Y166*VLOOKUP('Données projet'!$B$9,Paramètres!$A$1:$I$89,3,0)*0.475*44/12</f>
        <v>3.6814990029666598E-20</v>
      </c>
      <c r="AC166" s="24">
        <f t="shared" si="163"/>
        <v>6.23463306703472E-2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-5.6843418860808015E-14</v>
      </c>
      <c r="AJ166" s="14">
        <f>AI166*VLOOKUP('Données projet'!$B$10,Paramètres!$A$1:$I$89,3,0)*VLOOKUP('Données projet'!$B$10,Paramètres!$A$1:$I$89,5,0)</f>
        <v>-4.7884896048344674E-14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445.02659128831181</v>
      </c>
      <c r="AO166" s="62">
        <f t="shared" si="144"/>
        <v>281.06176764290592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0.33510926100630434</v>
      </c>
      <c r="AV166" s="23">
        <f>EXP(-LN(2)/25)*AV165+(1-EXP(-LN(2)/25))/(LN(2)/25)*Calculateur!AQ166*Calculateur!AS166*VLOOKUP('Données projet'!$B$10,Paramètres!$A$1:$I$89,3,0)*0.475*44/12</f>
        <v>2.7957544215188715E-2</v>
      </c>
      <c r="AW166" s="23">
        <f>EXP(-LN(2)/2)*AW165+(1-EXP(-LN(2)/2))/(LN(2)/2)*AQ166*AT166*VLOOKUP('Données projet'!$B$10,Paramètres!$A$1:$I$89,3,0)*0.475*44/12</f>
        <v>1.8059502952592089E-19</v>
      </c>
      <c r="AX166" s="23">
        <f t="shared" si="166"/>
        <v>0.36306680522149304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-5.6843418860808015E-14</v>
      </c>
      <c r="BE166" s="14">
        <f>BD166*VLOOKUP('Données projet'!$B$11,Paramètres!$A$1:$I$89,3,0)*VLOOKUP('Données projet'!$B$11,Paramètres!$A$1:$I$89,5,0)</f>
        <v>-5.1431925385259088E-14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472.46893084347687</v>
      </c>
      <c r="BJ166" s="62">
        <f t="shared" si="146"/>
        <v>297.32483725004136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0.35993216922899351</v>
      </c>
      <c r="BQ166" s="23">
        <f>EXP(-LN(2)/25)*BQ165+(1-EXP(-LN(2)/25))/(LN(2)/25)*Calculateur!BL166*Calculateur!BN166*VLOOKUP('Données projet'!$B$11,Paramètres!$A$1:$I$89,3,0)*0.475*44/12</f>
        <v>3.0028473416313775E-2</v>
      </c>
      <c r="BR166" s="23">
        <f>EXP(-LN(2)/2)*BR165+(1-EXP(-LN(2)/2))/(LN(2)/2)*BL166*BO166*VLOOKUP('Données projet'!$B$11,Paramètres!$A$1:$I$89,3,0)*0.475*44/12</f>
        <v>1.9397243912043348E-19</v>
      </c>
      <c r="BS166" s="24">
        <f t="shared" si="169"/>
        <v>0.38996064264530728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-1.1368683772161603E-13</v>
      </c>
      <c r="BZ166" s="14">
        <f>BY166*VLOOKUP('Données projet'!$B$12,Paramètres!$A$1:$I$89,3,0)*VLOOKUP('Données projet'!$B$12,Paramètres!$A$1:$I$89,5,0)</f>
        <v>-5.3205440053716299E-14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426.87921482911719</v>
      </c>
      <c r="CE166" s="62">
        <f t="shared" si="148"/>
        <v>313.49594674441835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-1.1368683772161603E-13</v>
      </c>
      <c r="CU166" s="18">
        <f>CT166*VLOOKUP('Données projet'!$B$13,Paramètres!$A$1:$I$89,3,0)*VLOOKUP('Données projet'!$B$13,Paramètres!$A$1:$I$89,5,0)</f>
        <v>-6.7984728957526396E-14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367.11994336501527</v>
      </c>
      <c r="CZ166" s="62">
        <f t="shared" si="150"/>
        <v>390.81417197867484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2.4876755162933128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4.4119541132811714E-20</v>
      </c>
      <c r="DI166" s="24">
        <f t="shared" si="175"/>
        <v>2.4876755162933128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1.9895196601282805E-13</v>
      </c>
      <c r="O167" s="14">
        <f>N167*VLOOKUP('Données projet'!$B$9,Paramètres!$A$1:$I$89,3,0)*VLOOKUP('Données projet'!$B$9,Paramètres!$A$1:$I$89,5,0)</f>
        <v>1.8001173884840681E-13</v>
      </c>
      <c r="P167" s="14">
        <f t="shared" si="141"/>
        <v>2.5254331426407198E-12</v>
      </c>
      <c r="Q167" s="22">
        <f t="shared" si="162"/>
        <v>4.7119831685935622E-12</v>
      </c>
      <c r="R167" s="62">
        <f t="shared" si="109"/>
        <v>288.1359317301854</v>
      </c>
      <c r="S167" s="62">
        <f ca="1">AVERAGE(OFFSET($R$3,0,0,'Données projet'!$E$9+1,1))-AVERAGE(OFFSET($H$3,0,0,'Données projet'!$E$9+1,1))</f>
        <v>312.43110610485337</v>
      </c>
      <c r="T167" s="62">
        <f t="shared" si="142"/>
        <v>442.54749157177571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3.8017068172569453E-2</v>
      </c>
      <c r="AA167" s="23">
        <f>EXP(-LN(2)/25)*AA166+(1-EXP(-LN(2)/25))/(LN(2)/25)*Calculateur!V167*Calculateur!X167*VLOOKUP('Données projet'!$B$9,Paramètres!$A$1:$I$89,3,0)*0.475*44/12</f>
        <v>2.2924368234117105E-2</v>
      </c>
      <c r="AB167" s="23">
        <f>EXP(-LN(2)/2)*AB166+(1-EXP(-LN(2)/2))/(LN(2)/2)*V167*Y167*VLOOKUP('Données projet'!$B$9,Paramètres!$A$1:$I$89,3,0)*0.475*44/12</f>
        <v>2.6032129099292388E-20</v>
      </c>
      <c r="AC167" s="24">
        <f t="shared" si="163"/>
        <v>6.0941436406686561E-2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-5.6843418860808015E-14</v>
      </c>
      <c r="AJ167" s="14">
        <f>AI167*VLOOKUP('Données projet'!$B$10,Paramètres!$A$1:$I$89,3,0)*VLOOKUP('Données projet'!$B$10,Paramètres!$A$1:$I$89,5,0)</f>
        <v>-4.7884896048344674E-14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445.02659128831181</v>
      </c>
      <c r="AO167" s="62">
        <f t="shared" si="144"/>
        <v>281.06176764290592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0.32853797279443747</v>
      </c>
      <c r="AV167" s="23">
        <f>EXP(-LN(2)/25)*AV166+(1-EXP(-LN(2)/25))/(LN(2)/25)*Calculateur!AQ167*Calculateur!AS167*VLOOKUP('Données projet'!$B$10,Paramètres!$A$1:$I$89,3,0)*0.475*44/12</f>
        <v>2.7193043698401028E-2</v>
      </c>
      <c r="AW167" s="23">
        <f>EXP(-LN(2)/2)*AW166+(1-EXP(-LN(2)/2))/(LN(2)/2)*AQ167*AT167*VLOOKUP('Données projet'!$B$10,Paramètres!$A$1:$I$89,3,0)*0.475*44/12</f>
        <v>1.2769997002636343E-19</v>
      </c>
      <c r="AX167" s="23">
        <f t="shared" si="166"/>
        <v>0.3557310164928385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-5.6843418860808015E-14</v>
      </c>
      <c r="BE167" s="14">
        <f>BD167*VLOOKUP('Données projet'!$B$11,Paramètres!$A$1:$I$89,3,0)*VLOOKUP('Données projet'!$B$11,Paramètres!$A$1:$I$89,5,0)</f>
        <v>-5.1431925385259088E-14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472.46893084347687</v>
      </c>
      <c r="BJ167" s="62">
        <f t="shared" si="146"/>
        <v>297.32483725004136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0.3528741189273587</v>
      </c>
      <c r="BQ167" s="23">
        <f>EXP(-LN(2)/25)*BQ166+(1-EXP(-LN(2)/25))/(LN(2)/25)*Calculateur!BL167*Calculateur!BN167*VLOOKUP('Données projet'!$B$11,Paramètres!$A$1:$I$89,3,0)*0.475*44/12</f>
        <v>2.920734323161589E-2</v>
      </c>
      <c r="BR167" s="23">
        <f>EXP(-LN(2)/2)*BR166+(1-EXP(-LN(2)/2))/(LN(2)/2)*BL167*BO167*VLOOKUP('Données projet'!$B$11,Paramètres!$A$1:$I$89,3,0)*0.475*44/12</f>
        <v>1.3715922706535327E-19</v>
      </c>
      <c r="BS167" s="24">
        <f t="shared" si="169"/>
        <v>0.38208146215897459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-1.1368683772161603E-13</v>
      </c>
      <c r="BZ167" s="14">
        <f>BY167*VLOOKUP('Données projet'!$B$12,Paramètres!$A$1:$I$89,3,0)*VLOOKUP('Données projet'!$B$12,Paramètres!$A$1:$I$89,5,0)</f>
        <v>-5.3205440053716299E-14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426.87921482911719</v>
      </c>
      <c r="CE167" s="62">
        <f t="shared" si="148"/>
        <v>313.49594674441835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-1.1368683772161603E-13</v>
      </c>
      <c r="CU167" s="18">
        <f>CT167*VLOOKUP('Données projet'!$B$13,Paramètres!$A$1:$I$89,3,0)*VLOOKUP('Données projet'!$B$13,Paramètres!$A$1:$I$89,5,0)</f>
        <v>-6.7984728957526396E-14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367.11994336501527</v>
      </c>
      <c r="CZ167" s="62">
        <f t="shared" si="150"/>
        <v>390.81417197867484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2.4388937167510418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3.1197226717849975E-20</v>
      </c>
      <c r="DI167" s="24">
        <f t="shared" si="175"/>
        <v>2.4388937167510418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1.9895196601282805E-13</v>
      </c>
      <c r="O168" s="14">
        <f>N168*VLOOKUP('Données projet'!$B$9,Paramètres!$A$1:$I$89,3,0)*VLOOKUP('Données projet'!$B$9,Paramètres!$A$1:$I$89,5,0)</f>
        <v>1.8001173884840681E-13</v>
      </c>
      <c r="P168" s="14">
        <f t="shared" si="141"/>
        <v>2.5254331426407198E-12</v>
      </c>
      <c r="Q168" s="22">
        <f t="shared" si="162"/>
        <v>4.7119831685935622E-12</v>
      </c>
      <c r="R168" s="62">
        <f t="shared" si="109"/>
        <v>288.22609502835087</v>
      </c>
      <c r="S168" s="62">
        <f ca="1">AVERAGE(OFFSET($R$3,0,0,'Données projet'!$E$9+1,1))-AVERAGE(OFFSET($H$3,0,0,'Données projet'!$E$9+1,1))</f>
        <v>312.43110610485337</v>
      </c>
      <c r="T168" s="62">
        <f t="shared" si="142"/>
        <v>442.54749157177571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3.7271576653827312E-2</v>
      </c>
      <c r="AA168" s="23">
        <f>EXP(-LN(2)/25)*AA167+(1-EXP(-LN(2)/25))/(LN(2)/25)*Calculateur!V168*Calculateur!X168*VLOOKUP('Données projet'!$B$9,Paramètres!$A$1:$I$89,3,0)*0.475*44/12</f>
        <v>2.229750017921504E-2</v>
      </c>
      <c r="AB168" s="23">
        <f>EXP(-LN(2)/2)*AB167+(1-EXP(-LN(2)/2))/(LN(2)/2)*V168*Y168*VLOOKUP('Données projet'!$B$9,Paramètres!$A$1:$I$89,3,0)*0.475*44/12</f>
        <v>1.8407495014833299E-20</v>
      </c>
      <c r="AC168" s="24">
        <f t="shared" si="163"/>
        <v>5.9569076833042356E-2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-5.6843418860808015E-14</v>
      </c>
      <c r="AJ168" s="14">
        <f>AI168*VLOOKUP('Données projet'!$B$10,Paramètres!$A$1:$I$89,3,0)*VLOOKUP('Données projet'!$B$10,Paramètres!$A$1:$I$89,5,0)</f>
        <v>-4.7884896048344674E-14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445.02659128831181</v>
      </c>
      <c r="AO168" s="62">
        <f t="shared" si="144"/>
        <v>281.06176764290592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0.32209554353631525</v>
      </c>
      <c r="AV168" s="23">
        <f>EXP(-LN(2)/25)*AV167+(1-EXP(-LN(2)/25))/(LN(2)/25)*Calculateur!AQ168*Calculateur!AS168*VLOOKUP('Données projet'!$B$10,Paramètres!$A$1:$I$89,3,0)*0.475*44/12</f>
        <v>2.6449448488448234E-2</v>
      </c>
      <c r="AW168" s="23">
        <f>EXP(-LN(2)/2)*AW167+(1-EXP(-LN(2)/2))/(LN(2)/2)*AQ168*AT168*VLOOKUP('Données projet'!$B$10,Paramètres!$A$1:$I$89,3,0)*0.475*44/12</f>
        <v>9.0297514762960447E-20</v>
      </c>
      <c r="AX168" s="23">
        <f t="shared" si="166"/>
        <v>0.34854499202476347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-5.6843418860808015E-14</v>
      </c>
      <c r="BE168" s="14">
        <f>BD168*VLOOKUP('Données projet'!$B$11,Paramètres!$A$1:$I$89,3,0)*VLOOKUP('Données projet'!$B$11,Paramètres!$A$1:$I$89,5,0)</f>
        <v>-5.1431925385259088E-14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472.46893084347687</v>
      </c>
      <c r="BJ168" s="62">
        <f t="shared" si="146"/>
        <v>297.32483725004136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0.34595447268715335</v>
      </c>
      <c r="BQ168" s="23">
        <f>EXP(-LN(2)/25)*BQ167+(1-EXP(-LN(2)/25))/(LN(2)/25)*Calculateur!BL168*Calculateur!BN168*VLOOKUP('Données projet'!$B$11,Paramètres!$A$1:$I$89,3,0)*0.475*44/12</f>
        <v>2.8408666894999927E-2</v>
      </c>
      <c r="BR168" s="23">
        <f>EXP(-LN(2)/2)*BR167+(1-EXP(-LN(2)/2))/(LN(2)/2)*BL168*BO168*VLOOKUP('Données projet'!$B$11,Paramètres!$A$1:$I$89,3,0)*0.475*44/12</f>
        <v>9.6986219560216741E-20</v>
      </c>
      <c r="BS168" s="24">
        <f t="shared" si="169"/>
        <v>0.37436313958215328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-1.1368683772161603E-13</v>
      </c>
      <c r="BZ168" s="14">
        <f>BY168*VLOOKUP('Données projet'!$B$12,Paramètres!$A$1:$I$89,3,0)*VLOOKUP('Données projet'!$B$12,Paramètres!$A$1:$I$89,5,0)</f>
        <v>-5.3205440053716299E-14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426.87921482911719</v>
      </c>
      <c r="CE168" s="62">
        <f t="shared" si="148"/>
        <v>313.49594674441835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-1.1368683772161603E-13</v>
      </c>
      <c r="CU168" s="18">
        <f>CT168*VLOOKUP('Données projet'!$B$13,Paramètres!$A$1:$I$89,3,0)*VLOOKUP('Données projet'!$B$13,Paramètres!$A$1:$I$89,5,0)</f>
        <v>-6.7984728957526396E-14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367.11994336501527</v>
      </c>
      <c r="CZ168" s="62">
        <f t="shared" si="150"/>
        <v>390.81417197867484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2.3910684985438349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2.2059770566405857E-20</v>
      </c>
      <c r="DI168" s="24">
        <f t="shared" si="175"/>
        <v>2.3910684985438349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1.9895196601282805E-13</v>
      </c>
      <c r="O169" s="14">
        <f>N169*VLOOKUP('Données projet'!$B$9,Paramètres!$A$1:$I$89,3,0)*VLOOKUP('Données projet'!$B$9,Paramètres!$A$1:$I$89,5,0)</f>
        <v>1.8001173884840681E-13</v>
      </c>
      <c r="P169" s="14">
        <f t="shared" si="141"/>
        <v>2.5254331426407198E-12</v>
      </c>
      <c r="Q169" s="22">
        <f t="shared" si="162"/>
        <v>4.7119831685935622E-12</v>
      </c>
      <c r="R169" s="62">
        <f t="shared" si="109"/>
        <v>288.31469419486814</v>
      </c>
      <c r="S169" s="62">
        <f ca="1">AVERAGE(OFFSET($R$3,0,0,'Données projet'!$E$9+1,1))-AVERAGE(OFFSET($H$3,0,0,'Données projet'!$E$9+1,1))</f>
        <v>312.43110610485337</v>
      </c>
      <c r="T169" s="62">
        <f t="shared" si="142"/>
        <v>442.54749157177571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3.654070376906278E-2</v>
      </c>
      <c r="AA169" s="23">
        <f>EXP(-LN(2)/25)*AA168+(1-EXP(-LN(2)/25))/(LN(2)/25)*Calculateur!V169*Calculateur!X169*VLOOKUP('Données projet'!$B$9,Paramètres!$A$1:$I$89,3,0)*0.475*44/12</f>
        <v>2.1687773864239833E-2</v>
      </c>
      <c r="AB169" s="23">
        <f>EXP(-LN(2)/2)*AB168+(1-EXP(-LN(2)/2))/(LN(2)/2)*V169*Y169*VLOOKUP('Données projet'!$B$9,Paramètres!$A$1:$I$89,3,0)*0.475*44/12</f>
        <v>1.3016064549646194E-20</v>
      </c>
      <c r="AC169" s="24">
        <f t="shared" si="163"/>
        <v>5.8228477633302612E-2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-5.6843418860808015E-14</v>
      </c>
      <c r="AJ169" s="14">
        <f>AI169*VLOOKUP('Données projet'!$B$10,Paramètres!$A$1:$I$89,3,0)*VLOOKUP('Données projet'!$B$10,Paramètres!$A$1:$I$89,5,0)</f>
        <v>-4.7884896048344674E-14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445.02659128831181</v>
      </c>
      <c r="AO169" s="62">
        <f t="shared" si="144"/>
        <v>281.06176764290592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0.31577944638645095</v>
      </c>
      <c r="AV169" s="23">
        <f>EXP(-LN(2)/25)*AV168+(1-EXP(-LN(2)/25))/(LN(2)/25)*Calculateur!AQ169*Calculateur!AS169*VLOOKUP('Données projet'!$B$10,Paramètres!$A$1:$I$89,3,0)*0.475*44/12</f>
        <v>2.5726186928615571E-2</v>
      </c>
      <c r="AW169" s="23">
        <f>EXP(-LN(2)/2)*AW168+(1-EXP(-LN(2)/2))/(LN(2)/2)*AQ169*AT169*VLOOKUP('Données projet'!$B$10,Paramètres!$A$1:$I$89,3,0)*0.475*44/12</f>
        <v>6.3849985013181716E-20</v>
      </c>
      <c r="AX169" s="23">
        <f t="shared" si="166"/>
        <v>0.3415056333150665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-5.6843418860808015E-14</v>
      </c>
      <c r="BE169" s="14">
        <f>BD169*VLOOKUP('Données projet'!$B$11,Paramètres!$A$1:$I$89,3,0)*VLOOKUP('Données projet'!$B$11,Paramètres!$A$1:$I$89,5,0)</f>
        <v>-5.1431925385259088E-14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472.46893084347687</v>
      </c>
      <c r="BJ169" s="62">
        <f t="shared" si="146"/>
        <v>297.32483725004136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0.33917051648915097</v>
      </c>
      <c r="BQ169" s="23">
        <f>EXP(-LN(2)/25)*BQ168+(1-EXP(-LN(2)/25))/(LN(2)/25)*Calculateur!BL169*Calculateur!BN169*VLOOKUP('Données projet'!$B$11,Paramètres!$A$1:$I$89,3,0)*0.475*44/12</f>
        <v>2.763183040480929E-2</v>
      </c>
      <c r="BR169" s="23">
        <f>EXP(-LN(2)/2)*BR168+(1-EXP(-LN(2)/2))/(LN(2)/2)*BL169*BO169*VLOOKUP('Données projet'!$B$11,Paramètres!$A$1:$I$89,3,0)*0.475*44/12</f>
        <v>6.8579613532676634E-20</v>
      </c>
      <c r="BS169" s="24">
        <f t="shared" si="169"/>
        <v>0.36680234689396024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-1.1368683772161603E-13</v>
      </c>
      <c r="BZ169" s="14">
        <f>BY169*VLOOKUP('Données projet'!$B$12,Paramètres!$A$1:$I$89,3,0)*VLOOKUP('Données projet'!$B$12,Paramètres!$A$1:$I$89,5,0)</f>
        <v>-5.3205440053716299E-14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426.87921482911719</v>
      </c>
      <c r="CE169" s="62">
        <f t="shared" si="148"/>
        <v>313.49594674441835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-1.1368683772161603E-13</v>
      </c>
      <c r="CU169" s="18">
        <f>CT169*VLOOKUP('Données projet'!$B$13,Paramètres!$A$1:$I$89,3,0)*VLOOKUP('Données projet'!$B$13,Paramètres!$A$1:$I$89,5,0)</f>
        <v>-6.7984728957526396E-14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367.11994336501527</v>
      </c>
      <c r="CZ169" s="62">
        <f t="shared" si="150"/>
        <v>390.81417197867484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2.3441811036951687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1.5598613358924988E-20</v>
      </c>
      <c r="DI169" s="24">
        <f t="shared" si="175"/>
        <v>2.3441811036951687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1.9895196601282805E-13</v>
      </c>
      <c r="O170" s="14">
        <f>N170*VLOOKUP('Données projet'!$B$9,Paramètres!$A$1:$I$89,3,0)*VLOOKUP('Données projet'!$B$9,Paramètres!$A$1:$I$89,5,0)</f>
        <v>1.8001173884840681E-13</v>
      </c>
      <c r="P170" s="14">
        <f t="shared" si="141"/>
        <v>2.5254331426407198E-12</v>
      </c>
      <c r="Q170" s="22">
        <f t="shared" si="162"/>
        <v>4.7119831685935622E-12</v>
      </c>
      <c r="R170" s="62">
        <f t="shared" si="109"/>
        <v>288.40175636392433</v>
      </c>
      <c r="S170" s="62">
        <f ca="1">AVERAGE(OFFSET($R$3,0,0,'Données projet'!$E$9+1,1))-AVERAGE(OFFSET($H$3,0,0,'Données projet'!$E$9+1,1))</f>
        <v>312.43110610485337</v>
      </c>
      <c r="T170" s="62">
        <f t="shared" si="142"/>
        <v>442.54749157177571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3.5824162855780037E-2</v>
      </c>
      <c r="AA170" s="23">
        <f>EXP(-LN(2)/25)*AA169+(1-EXP(-LN(2)/25))/(LN(2)/25)*Calculateur!V170*Calculateur!X170*VLOOKUP('Données projet'!$B$9,Paramètres!$A$1:$I$89,3,0)*0.475*44/12</f>
        <v>2.1094720547411735E-2</v>
      </c>
      <c r="AB170" s="23">
        <f>EXP(-LN(2)/2)*AB169+(1-EXP(-LN(2)/2))/(LN(2)/2)*V170*Y170*VLOOKUP('Données projet'!$B$9,Paramètres!$A$1:$I$89,3,0)*0.475*44/12</f>
        <v>9.2037475074166494E-21</v>
      </c>
      <c r="AC170" s="24">
        <f t="shared" si="163"/>
        <v>5.6918883403191775E-2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-5.6843418860808015E-14</v>
      </c>
      <c r="AJ170" s="14">
        <f>AI170*VLOOKUP('Données projet'!$B$10,Paramètres!$A$1:$I$89,3,0)*VLOOKUP('Données projet'!$B$10,Paramètres!$A$1:$I$89,5,0)</f>
        <v>-4.7884896048344674E-14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445.02659128831181</v>
      </c>
      <c r="AO170" s="62">
        <f t="shared" si="144"/>
        <v>281.06176764290592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0.30958720404925666</v>
      </c>
      <c r="AV170" s="23">
        <f>EXP(-LN(2)/25)*AV169+(1-EXP(-LN(2)/25))/(LN(2)/25)*Calculateur!AQ170*Calculateur!AS170*VLOOKUP('Données projet'!$B$10,Paramètres!$A$1:$I$89,3,0)*0.475*44/12</f>
        <v>2.5022702994171205E-2</v>
      </c>
      <c r="AW170" s="23">
        <f>EXP(-LN(2)/2)*AW169+(1-EXP(-LN(2)/2))/(LN(2)/2)*AQ170*AT170*VLOOKUP('Données projet'!$B$10,Paramètres!$A$1:$I$89,3,0)*0.475*44/12</f>
        <v>4.5148757381480224E-20</v>
      </c>
      <c r="AX170" s="23">
        <f t="shared" si="166"/>
        <v>0.33460990704342786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-5.6843418860808015E-14</v>
      </c>
      <c r="BE170" s="14">
        <f>BD170*VLOOKUP('Données projet'!$B$11,Paramètres!$A$1:$I$89,3,0)*VLOOKUP('Données projet'!$B$11,Paramètres!$A$1:$I$89,5,0)</f>
        <v>-5.1431925385259088E-14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472.46893084347687</v>
      </c>
      <c r="BJ170" s="62">
        <f t="shared" si="146"/>
        <v>297.32483725004136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0.33251958953438671</v>
      </c>
      <c r="BQ170" s="23">
        <f>EXP(-LN(2)/25)*BQ169+(1-EXP(-LN(2)/25))/(LN(2)/25)*Calculateur!BL170*Calculateur!BN170*VLOOKUP('Données projet'!$B$11,Paramètres!$A$1:$I$89,3,0)*0.475*44/12</f>
        <v>2.6876236549294972E-2</v>
      </c>
      <c r="BR170" s="23">
        <f>EXP(-LN(2)/2)*BR169+(1-EXP(-LN(2)/2))/(LN(2)/2)*BL170*BO170*VLOOKUP('Données projet'!$B$11,Paramètres!$A$1:$I$89,3,0)*0.475*44/12</f>
        <v>4.8493109780108371E-20</v>
      </c>
      <c r="BS170" s="24">
        <f t="shared" si="169"/>
        <v>0.3593958260836817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-1.1368683772161603E-13</v>
      </c>
      <c r="BZ170" s="14">
        <f>BY170*VLOOKUP('Données projet'!$B$12,Paramètres!$A$1:$I$89,3,0)*VLOOKUP('Données projet'!$B$12,Paramètres!$A$1:$I$89,5,0)</f>
        <v>-5.3205440053716299E-14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426.87921482911719</v>
      </c>
      <c r="CE170" s="62">
        <f t="shared" si="148"/>
        <v>313.49594674441835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-1.1368683772161603E-13</v>
      </c>
      <c r="CU170" s="18">
        <f>CT170*VLOOKUP('Données projet'!$B$13,Paramètres!$A$1:$I$89,3,0)*VLOOKUP('Données projet'!$B$13,Paramètres!$A$1:$I$89,5,0)</f>
        <v>-6.7984728957526396E-14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367.11994336501527</v>
      </c>
      <c r="CZ170" s="62">
        <f t="shared" si="150"/>
        <v>390.81417197867484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2.2982131420609977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1.1029885283202929E-20</v>
      </c>
      <c r="DI170" s="24">
        <f t="shared" si="175"/>
        <v>2.2982131420609977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1.9895196601282805E-13</v>
      </c>
      <c r="O171" s="14">
        <f>N171*VLOOKUP('Données projet'!$B$9,Paramètres!$A$1:$I$89,3,0)*VLOOKUP('Données projet'!$B$9,Paramètres!$A$1:$I$89,5,0)</f>
        <v>1.8001173884840681E-13</v>
      </c>
      <c r="P171" s="14">
        <f t="shared" si="141"/>
        <v>2.5254331426407198E-12</v>
      </c>
      <c r="Q171" s="22">
        <f t="shared" si="162"/>
        <v>4.7119831685935622E-12</v>
      </c>
      <c r="R171" s="62">
        <f t="shared" si="109"/>
        <v>288.48730819898924</v>
      </c>
      <c r="S171" s="62">
        <f ca="1">AVERAGE(OFFSET($R$3,0,0,'Données projet'!$E$9+1,1))-AVERAGE(OFFSET($H$3,0,0,'Données projet'!$E$9+1,1))</f>
        <v>312.43110610485337</v>
      </c>
      <c r="T171" s="62">
        <f t="shared" si="142"/>
        <v>442.54749157177571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3.5121672872759968E-2</v>
      </c>
      <c r="AA171" s="23">
        <f>EXP(-LN(2)/25)*AA170+(1-EXP(-LN(2)/25))/(LN(2)/25)*Calculateur!V171*Calculateur!X171*VLOOKUP('Données projet'!$B$9,Paramètres!$A$1:$I$89,3,0)*0.475*44/12</f>
        <v>2.0517884304719621E-2</v>
      </c>
      <c r="AB171" s="23">
        <f>EXP(-LN(2)/2)*AB170+(1-EXP(-LN(2)/2))/(LN(2)/2)*V171*Y171*VLOOKUP('Données projet'!$B$9,Paramètres!$A$1:$I$89,3,0)*0.475*44/12</f>
        <v>6.508032274823097E-21</v>
      </c>
      <c r="AC171" s="24">
        <f t="shared" si="163"/>
        <v>5.5639557177479593E-2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-5.6843418860808015E-14</v>
      </c>
      <c r="AJ171" s="14">
        <f>AI171*VLOOKUP('Données projet'!$B$10,Paramètres!$A$1:$I$89,3,0)*VLOOKUP('Données projet'!$B$10,Paramètres!$A$1:$I$89,5,0)</f>
        <v>-4.7884896048344674E-14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445.02659128831181</v>
      </c>
      <c r="AO171" s="62">
        <f t="shared" si="144"/>
        <v>281.06176764290592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0.30351638780739981</v>
      </c>
      <c r="AV171" s="23">
        <f>EXP(-LN(2)/25)*AV170+(1-EXP(-LN(2)/25))/(LN(2)/25)*Calculateur!AQ171*Calculateur!AS171*VLOOKUP('Données projet'!$B$10,Paramètres!$A$1:$I$89,3,0)*0.475*44/12</f>
        <v>2.4338455864908834E-2</v>
      </c>
      <c r="AW171" s="23">
        <f>EXP(-LN(2)/2)*AW170+(1-EXP(-LN(2)/2))/(LN(2)/2)*AQ171*AT171*VLOOKUP('Données projet'!$B$10,Paramètres!$A$1:$I$89,3,0)*0.475*44/12</f>
        <v>3.1924992506590858E-20</v>
      </c>
      <c r="AX171" s="23">
        <f t="shared" si="166"/>
        <v>0.32785484367230866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-5.6843418860808015E-14</v>
      </c>
      <c r="BE171" s="14">
        <f>BD171*VLOOKUP('Données projet'!$B$11,Paramètres!$A$1:$I$89,3,0)*VLOOKUP('Données projet'!$B$11,Paramètres!$A$1:$I$89,5,0)</f>
        <v>-5.1431925385259088E-14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472.46893084347687</v>
      </c>
      <c r="BJ171" s="62">
        <f t="shared" si="146"/>
        <v>297.32483725004136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0.3259990832005405</v>
      </c>
      <c r="BQ171" s="23">
        <f>EXP(-LN(2)/25)*BQ170+(1-EXP(-LN(2)/25))/(LN(2)/25)*Calculateur!BL171*Calculateur!BN171*VLOOKUP('Données projet'!$B$11,Paramètres!$A$1:$I$89,3,0)*0.475*44/12</f>
        <v>2.6141304447494646E-2</v>
      </c>
      <c r="BR171" s="23">
        <f>EXP(-LN(2)/2)*BR170+(1-EXP(-LN(2)/2))/(LN(2)/2)*BL171*BO171*VLOOKUP('Données projet'!$B$11,Paramètres!$A$1:$I$89,3,0)*0.475*44/12</f>
        <v>3.4289806766338317E-20</v>
      </c>
      <c r="BS171" s="24">
        <f t="shared" si="169"/>
        <v>0.35214038764803512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-1.1368683772161603E-13</v>
      </c>
      <c r="BZ171" s="14">
        <f>BY171*VLOOKUP('Données projet'!$B$12,Paramètres!$A$1:$I$89,3,0)*VLOOKUP('Données projet'!$B$12,Paramètres!$A$1:$I$89,5,0)</f>
        <v>-5.3205440053716299E-14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426.87921482911719</v>
      </c>
      <c r="CE171" s="62">
        <f t="shared" si="148"/>
        <v>313.49594674441835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-1.1368683772161603E-13</v>
      </c>
      <c r="CU171" s="18">
        <f>CT171*VLOOKUP('Données projet'!$B$13,Paramètres!$A$1:$I$89,3,0)*VLOOKUP('Données projet'!$B$13,Paramètres!$A$1:$I$89,5,0)</f>
        <v>-6.7984728957526396E-14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367.11994336501527</v>
      </c>
      <c r="CZ171" s="62">
        <f t="shared" si="150"/>
        <v>390.81417197867484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2.2531465841167848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7.7993066794624939E-21</v>
      </c>
      <c r="DI171" s="24">
        <f t="shared" si="175"/>
        <v>2.2531465841167848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1.9895196601282805E-13</v>
      </c>
      <c r="O172" s="14">
        <f>N172*VLOOKUP('Données projet'!$B$9,Paramètres!$A$1:$I$89,3,0)*VLOOKUP('Données projet'!$B$9,Paramètres!$A$1:$I$89,5,0)</f>
        <v>1.8001173884840681E-13</v>
      </c>
      <c r="P172" s="14">
        <f t="shared" si="141"/>
        <v>2.5254331426407198E-12</v>
      </c>
      <c r="Q172" s="22">
        <f t="shared" si="162"/>
        <v>4.7119831685935622E-12</v>
      </c>
      <c r="R172" s="62">
        <f t="shared" si="109"/>
        <v>288.57137590098114</v>
      </c>
      <c r="S172" s="62">
        <f ca="1">AVERAGE(OFFSET($R$3,0,0,'Données projet'!$E$9+1,1))-AVERAGE(OFFSET($H$3,0,0,'Données projet'!$E$9+1,1))</f>
        <v>312.43110610485337</v>
      </c>
      <c r="T172" s="62">
        <f t="shared" si="142"/>
        <v>442.54749157177571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3.443295828983034E-2</v>
      </c>
      <c r="AA172" s="23">
        <f>EXP(-LN(2)/25)*AA171+(1-EXP(-LN(2)/25))/(LN(2)/25)*Calculateur!V172*Calculateur!X172*VLOOKUP('Données projet'!$B$9,Paramètres!$A$1:$I$89,3,0)*0.475*44/12</f>
        <v>1.995682167941842E-2</v>
      </c>
      <c r="AB172" s="23">
        <f>EXP(-LN(2)/2)*AB171+(1-EXP(-LN(2)/2))/(LN(2)/2)*V172*Y172*VLOOKUP('Données projet'!$B$9,Paramètres!$A$1:$I$89,3,0)*0.475*44/12</f>
        <v>4.6018737537083247E-21</v>
      </c>
      <c r="AC172" s="24">
        <f t="shared" si="163"/>
        <v>5.4389779969248764E-2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-5.6843418860808015E-14</v>
      </c>
      <c r="AJ172" s="14">
        <f>AI172*VLOOKUP('Données projet'!$B$10,Paramètres!$A$1:$I$89,3,0)*VLOOKUP('Données projet'!$B$10,Paramètres!$A$1:$I$89,5,0)</f>
        <v>-4.7884896048344674E-14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445.02659128831181</v>
      </c>
      <c r="AO172" s="62">
        <f t="shared" si="144"/>
        <v>281.06176764290592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0.29756461656921351</v>
      </c>
      <c r="AV172" s="23">
        <f>EXP(-LN(2)/25)*AV171+(1-EXP(-LN(2)/25))/(LN(2)/25)*Calculateur!AQ172*Calculateur!AS172*VLOOKUP('Données projet'!$B$10,Paramètres!$A$1:$I$89,3,0)*0.475*44/12</f>
        <v>2.3672919509379133E-2</v>
      </c>
      <c r="AW172" s="23">
        <f>EXP(-LN(2)/2)*AW171+(1-EXP(-LN(2)/2))/(LN(2)/2)*AQ172*AT172*VLOOKUP('Données projet'!$B$10,Paramètres!$A$1:$I$89,3,0)*0.475*44/12</f>
        <v>2.2574378690740112E-20</v>
      </c>
      <c r="AX172" s="23">
        <f t="shared" si="166"/>
        <v>0.32123753607859262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-5.6843418860808015E-14</v>
      </c>
      <c r="BE172" s="14">
        <f>BD172*VLOOKUP('Données projet'!$B$11,Paramètres!$A$1:$I$89,3,0)*VLOOKUP('Données projet'!$B$11,Paramètres!$A$1:$I$89,5,0)</f>
        <v>-5.1431925385259088E-14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472.46893084347687</v>
      </c>
      <c r="BJ172" s="62">
        <f t="shared" si="146"/>
        <v>297.32483725004136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0.31960644001878485</v>
      </c>
      <c r="BQ172" s="23">
        <f>EXP(-LN(2)/25)*BQ171+(1-EXP(-LN(2)/25))/(LN(2)/25)*Calculateur!BL172*Calculateur!BN172*VLOOKUP('Données projet'!$B$11,Paramètres!$A$1:$I$89,3,0)*0.475*44/12</f>
        <v>2.5426469102666452E-2</v>
      </c>
      <c r="BR172" s="23">
        <f>EXP(-LN(2)/2)*BR171+(1-EXP(-LN(2)/2))/(LN(2)/2)*BL172*BO172*VLOOKUP('Données projet'!$B$11,Paramètres!$A$1:$I$89,3,0)*0.475*44/12</f>
        <v>2.4246554890054185E-20</v>
      </c>
      <c r="BS172" s="24">
        <f t="shared" si="169"/>
        <v>0.34503290912145129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-1.1368683772161603E-13</v>
      </c>
      <c r="BZ172" s="14">
        <f>BY172*VLOOKUP('Données projet'!$B$12,Paramètres!$A$1:$I$89,3,0)*VLOOKUP('Données projet'!$B$12,Paramètres!$A$1:$I$89,5,0)</f>
        <v>-5.3205440053716299E-14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426.87921482911719</v>
      </c>
      <c r="CE172" s="62">
        <f t="shared" si="148"/>
        <v>313.49594674441835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-1.1368683772161603E-13</v>
      </c>
      <c r="CU172" s="18">
        <f>CT172*VLOOKUP('Données projet'!$B$13,Paramètres!$A$1:$I$89,3,0)*VLOOKUP('Données projet'!$B$13,Paramètres!$A$1:$I$89,5,0)</f>
        <v>-6.7984728957526396E-14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367.11994336501527</v>
      </c>
      <c r="CZ172" s="62">
        <f t="shared" si="150"/>
        <v>390.81417197867484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2.2089637538859717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5.5149426416014643E-21</v>
      </c>
      <c r="DI172" s="24">
        <f t="shared" si="175"/>
        <v>2.2089637538859717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1.9895196601282805E-13</v>
      </c>
      <c r="O173" s="14">
        <f>N173*VLOOKUP('Données projet'!$B$9,Paramètres!$A$1:$I$89,3,0)*VLOOKUP('Données projet'!$B$9,Paramètres!$A$1:$I$89,5,0)</f>
        <v>1.8001173884840681E-13</v>
      </c>
      <c r="P173" s="14">
        <f t="shared" si="141"/>
        <v>2.5254331426407198E-12</v>
      </c>
      <c r="Q173" s="22">
        <f t="shared" si="162"/>
        <v>4.7119831685935622E-12</v>
      </c>
      <c r="R173" s="62">
        <f t="shared" si="109"/>
        <v>288.65398521629061</v>
      </c>
      <c r="S173" s="62">
        <f ca="1">AVERAGE(OFFSET($R$3,0,0,'Données projet'!$E$9+1,1))-AVERAGE(OFFSET($H$3,0,0,'Données projet'!$E$9+1,1))</f>
        <v>312.43110610485337</v>
      </c>
      <c r="T173" s="62">
        <f t="shared" si="142"/>
        <v>442.54749157177571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3.3757748979797546E-2</v>
      </c>
      <c r="AA173" s="23">
        <f>EXP(-LN(2)/25)*AA172+(1-EXP(-LN(2)/25))/(LN(2)/25)*Calculateur!V173*Calculateur!X173*VLOOKUP('Données projet'!$B$9,Paramètres!$A$1:$I$89,3,0)*0.475*44/12</f>
        <v>1.9411101341111084E-2</v>
      </c>
      <c r="AB173" s="23">
        <f>EXP(-LN(2)/2)*AB172+(1-EXP(-LN(2)/2))/(LN(2)/2)*V173*Y173*VLOOKUP('Données projet'!$B$9,Paramètres!$A$1:$I$89,3,0)*0.475*44/12</f>
        <v>3.2540161374115485E-21</v>
      </c>
      <c r="AC173" s="24">
        <f t="shared" si="163"/>
        <v>5.316885032090863E-2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-5.6843418860808015E-14</v>
      </c>
      <c r="AJ173" s="14">
        <f>AI173*VLOOKUP('Données projet'!$B$10,Paramètres!$A$1:$I$89,3,0)*VLOOKUP('Données projet'!$B$10,Paramètres!$A$1:$I$89,5,0)</f>
        <v>-4.7884896048344674E-14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445.02659128831181</v>
      </c>
      <c r="AO173" s="62">
        <f t="shared" si="144"/>
        <v>281.06176764290592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0.29172955593478606</v>
      </c>
      <c r="AV173" s="23">
        <f>EXP(-LN(2)/25)*AV172+(1-EXP(-LN(2)/25))/(LN(2)/25)*Calculateur!AQ173*Calculateur!AS173*VLOOKUP('Données projet'!$B$10,Paramètres!$A$1:$I$89,3,0)*0.475*44/12</f>
        <v>2.3025582280490429E-2</v>
      </c>
      <c r="AW173" s="23">
        <f>EXP(-LN(2)/2)*AW172+(1-EXP(-LN(2)/2))/(LN(2)/2)*AQ173*AT173*VLOOKUP('Données projet'!$B$10,Paramètres!$A$1:$I$89,3,0)*0.475*44/12</f>
        <v>1.5962496253295429E-20</v>
      </c>
      <c r="AX173" s="23">
        <f t="shared" si="166"/>
        <v>0.31475513821527651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-5.6843418860808015E-14</v>
      </c>
      <c r="BE173" s="14">
        <f>BD173*VLOOKUP('Données projet'!$B$11,Paramètres!$A$1:$I$89,3,0)*VLOOKUP('Données projet'!$B$11,Paramètres!$A$1:$I$89,5,0)</f>
        <v>-5.1431925385259088E-14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472.46893084347687</v>
      </c>
      <c r="BJ173" s="62">
        <f t="shared" si="146"/>
        <v>297.32483725004136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0.31333915267069612</v>
      </c>
      <c r="BQ173" s="23">
        <f>EXP(-LN(2)/25)*BQ172+(1-EXP(-LN(2)/25))/(LN(2)/25)*Calculateur!BL173*Calculateur!BN173*VLOOKUP('Données projet'!$B$11,Paramètres!$A$1:$I$89,3,0)*0.475*44/12</f>
        <v>2.4731180967934141E-2</v>
      </c>
      <c r="BR173" s="23">
        <f>EXP(-LN(2)/2)*BR172+(1-EXP(-LN(2)/2))/(LN(2)/2)*BL173*BO173*VLOOKUP('Données projet'!$B$11,Paramètres!$A$1:$I$89,3,0)*0.475*44/12</f>
        <v>1.7144903383169158E-20</v>
      </c>
      <c r="BS173" s="24">
        <f t="shared" si="169"/>
        <v>0.33807033363863026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-1.1368683772161603E-13</v>
      </c>
      <c r="BZ173" s="14">
        <f>BY173*VLOOKUP('Données projet'!$B$12,Paramètres!$A$1:$I$89,3,0)*VLOOKUP('Données projet'!$B$12,Paramètres!$A$1:$I$89,5,0)</f>
        <v>-5.3205440053716299E-14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426.87921482911719</v>
      </c>
      <c r="CE173" s="62">
        <f t="shared" si="148"/>
        <v>313.49594674441835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-1.1368683772161603E-13</v>
      </c>
      <c r="CU173" s="18">
        <f>CT173*VLOOKUP('Données projet'!$B$13,Paramètres!$A$1:$I$89,3,0)*VLOOKUP('Données projet'!$B$13,Paramètres!$A$1:$I$89,5,0)</f>
        <v>-6.7984728957526396E-14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367.11994336501527</v>
      </c>
      <c r="CZ173" s="62">
        <f t="shared" si="150"/>
        <v>390.81417197867484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2.1656473220071195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3.8996533397312469E-21</v>
      </c>
      <c r="DI173" s="24">
        <f t="shared" si="175"/>
        <v>2.1656473220071195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1.9895196601282805E-13</v>
      </c>
      <c r="O174" s="14">
        <f>N174*VLOOKUP('Données projet'!$B$9,Paramètres!$A$1:$I$89,3,0)*VLOOKUP('Données projet'!$B$9,Paramètres!$A$1:$I$89,5,0)</f>
        <v>1.8001173884840681E-13</v>
      </c>
      <c r="P174" s="14">
        <f t="shared" si="141"/>
        <v>2.5254331426407198E-12</v>
      </c>
      <c r="Q174" s="22">
        <f t="shared" si="162"/>
        <v>4.7119831685935622E-12</v>
      </c>
      <c r="R174" s="62">
        <f t="shared" si="109"/>
        <v>288.73516144466623</v>
      </c>
      <c r="S174" s="62">
        <f ca="1">AVERAGE(OFFSET($R$3,0,0,'Données projet'!$E$9+1,1))-AVERAGE(OFFSET($H$3,0,0,'Données projet'!$E$9+1,1))</f>
        <v>312.43110610485337</v>
      </c>
      <c r="T174" s="62">
        <f t="shared" si="142"/>
        <v>442.54749157177571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3.3095780112497482E-2</v>
      </c>
      <c r="AA174" s="23">
        <f>EXP(-LN(2)/25)*AA173+(1-EXP(-LN(2)/25))/(LN(2)/25)*Calculateur!V174*Calculateur!X174*VLOOKUP('Données projet'!$B$9,Paramètres!$A$1:$I$89,3,0)*0.475*44/12</f>
        <v>1.8880303754152946E-2</v>
      </c>
      <c r="AB174" s="23">
        <f>EXP(-LN(2)/2)*AB173+(1-EXP(-LN(2)/2))/(LN(2)/2)*V174*Y174*VLOOKUP('Données projet'!$B$9,Paramètres!$A$1:$I$89,3,0)*0.475*44/12</f>
        <v>2.3009368768541623E-21</v>
      </c>
      <c r="AC174" s="24">
        <f t="shared" si="163"/>
        <v>5.1976083866650424E-2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-5.6843418860808015E-14</v>
      </c>
      <c r="AJ174" s="14">
        <f>AI174*VLOOKUP('Données projet'!$B$10,Paramètres!$A$1:$I$89,3,0)*VLOOKUP('Données projet'!$B$10,Paramètres!$A$1:$I$89,5,0)</f>
        <v>-4.7884896048344674E-14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445.02659128831181</v>
      </c>
      <c r="AO174" s="62">
        <f t="shared" si="144"/>
        <v>281.06176764290592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0.28600891728036415</v>
      </c>
      <c r="AV174" s="23">
        <f>EXP(-LN(2)/25)*AV173+(1-EXP(-LN(2)/25))/(LN(2)/25)*Calculateur!AQ174*Calculateur!AS174*VLOOKUP('Données projet'!$B$10,Paramètres!$A$1:$I$89,3,0)*0.475*44/12</f>
        <v>2.239594652216767E-2</v>
      </c>
      <c r="AW174" s="23">
        <f>EXP(-LN(2)/2)*AW173+(1-EXP(-LN(2)/2))/(LN(2)/2)*AQ174*AT174*VLOOKUP('Données projet'!$B$10,Paramètres!$A$1:$I$89,3,0)*0.475*44/12</f>
        <v>1.1287189345370056E-20</v>
      </c>
      <c r="AX174" s="23">
        <f t="shared" si="166"/>
        <v>0.30840486380253185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-5.6843418860808015E-14</v>
      </c>
      <c r="BE174" s="14">
        <f>BD174*VLOOKUP('Données projet'!$B$11,Paramètres!$A$1:$I$89,3,0)*VLOOKUP('Données projet'!$B$11,Paramètres!$A$1:$I$89,5,0)</f>
        <v>-5.1431925385259088E-14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472.46893084347687</v>
      </c>
      <c r="BJ174" s="62">
        <f t="shared" si="146"/>
        <v>297.32483725004136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0.30719476300483556</v>
      </c>
      <c r="BQ174" s="23">
        <f>EXP(-LN(2)/25)*BQ173+(1-EXP(-LN(2)/25))/(LN(2)/25)*Calculateur!BL174*Calculateur!BN174*VLOOKUP('Données projet'!$B$11,Paramètres!$A$1:$I$89,3,0)*0.475*44/12</f>
        <v>2.4054905523809698E-2</v>
      </c>
      <c r="BR174" s="23">
        <f>EXP(-LN(2)/2)*BR173+(1-EXP(-LN(2)/2))/(LN(2)/2)*BL174*BO174*VLOOKUP('Données projet'!$B$11,Paramètres!$A$1:$I$89,3,0)*0.475*44/12</f>
        <v>1.2123277445027093E-20</v>
      </c>
      <c r="BS174" s="24">
        <f t="shared" si="169"/>
        <v>0.33124966852864524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-1.1368683772161603E-13</v>
      </c>
      <c r="BZ174" s="14">
        <f>BY174*VLOOKUP('Données projet'!$B$12,Paramètres!$A$1:$I$89,3,0)*VLOOKUP('Données projet'!$B$12,Paramètres!$A$1:$I$89,5,0)</f>
        <v>-5.3205440053716299E-14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426.87921482911719</v>
      </c>
      <c r="CE174" s="62">
        <f t="shared" si="148"/>
        <v>313.49594674441835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-1.1368683772161603E-13</v>
      </c>
      <c r="CU174" s="18">
        <f>CT174*VLOOKUP('Données projet'!$B$13,Paramètres!$A$1:$I$89,3,0)*VLOOKUP('Données projet'!$B$13,Paramètres!$A$1:$I$89,5,0)</f>
        <v>-6.7984728957526396E-14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367.11994336501527</v>
      </c>
      <c r="CZ174" s="62">
        <f t="shared" si="150"/>
        <v>390.81417197867484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2.123180298936997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2.7574713208007322E-21</v>
      </c>
      <c r="DI174" s="24">
        <f t="shared" si="175"/>
        <v>2.123180298936997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1.9895196601282805E-13</v>
      </c>
      <c r="O175" s="14">
        <f>N175*VLOOKUP('Données projet'!$B$9,Paramètres!$A$1:$I$89,3,0)*VLOOKUP('Données projet'!$B$9,Paramètres!$A$1:$I$89,5,0)</f>
        <v>1.8001173884840681E-13</v>
      </c>
      <c r="P175" s="14">
        <f t="shared" si="141"/>
        <v>2.5254331426407198E-12</v>
      </c>
      <c r="Q175" s="22">
        <f t="shared" si="162"/>
        <v>4.7119831685935622E-12</v>
      </c>
      <c r="R175" s="62">
        <f t="shared" si="109"/>
        <v>288.81492944696237</v>
      </c>
      <c r="S175" s="62">
        <f ca="1">AVERAGE(OFFSET($R$3,0,0,'Données projet'!$E$9+1,1))-AVERAGE(OFFSET($H$3,0,0,'Données projet'!$E$9+1,1))</f>
        <v>312.43110610485337</v>
      </c>
      <c r="T175" s="62">
        <f t="shared" si="142"/>
        <v>442.54749157177571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3.2446792050924031E-2</v>
      </c>
      <c r="AA175" s="23">
        <f>EXP(-LN(2)/25)*AA174+(1-EXP(-LN(2)/25))/(LN(2)/25)*Calculateur!V175*Calculateur!X175*VLOOKUP('Données projet'!$B$9,Paramètres!$A$1:$I$89,3,0)*0.475*44/12</f>
        <v>1.8364020855123609E-2</v>
      </c>
      <c r="AB175" s="23">
        <f>EXP(-LN(2)/2)*AB174+(1-EXP(-LN(2)/2))/(LN(2)/2)*V175*Y175*VLOOKUP('Données projet'!$B$9,Paramètres!$A$1:$I$89,3,0)*0.475*44/12</f>
        <v>1.6270080687057742E-21</v>
      </c>
      <c r="AC175" s="24">
        <f t="shared" si="163"/>
        <v>5.0810812906047637E-2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-5.6843418860808015E-14</v>
      </c>
      <c r="AJ175" s="14">
        <f>AI175*VLOOKUP('Données projet'!$B$10,Paramètres!$A$1:$I$89,3,0)*VLOOKUP('Données projet'!$B$10,Paramètres!$A$1:$I$89,5,0)</f>
        <v>-4.7884896048344674E-14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445.02659128831181</v>
      </c>
      <c r="AO175" s="62">
        <f t="shared" si="144"/>
        <v>281.06176764290592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0.28040045686071041</v>
      </c>
      <c r="AV175" s="23">
        <f>EXP(-LN(2)/25)*AV174+(1-EXP(-LN(2)/25))/(LN(2)/25)*Calculateur!AQ175*Calculateur!AS175*VLOOKUP('Données projet'!$B$10,Paramètres!$A$1:$I$89,3,0)*0.475*44/12</f>
        <v>2.1783528186767355E-2</v>
      </c>
      <c r="AW175" s="23">
        <f>EXP(-LN(2)/2)*AW174+(1-EXP(-LN(2)/2))/(LN(2)/2)*AQ175*AT175*VLOOKUP('Données projet'!$B$10,Paramètres!$A$1:$I$89,3,0)*0.475*44/12</f>
        <v>7.9812481266477145E-21</v>
      </c>
      <c r="AX175" s="23">
        <f t="shared" si="166"/>
        <v>0.30218398504747779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-5.6843418860808015E-14</v>
      </c>
      <c r="BE175" s="14">
        <f>BD175*VLOOKUP('Données projet'!$B$11,Paramètres!$A$1:$I$89,3,0)*VLOOKUP('Données projet'!$B$11,Paramètres!$A$1:$I$89,5,0)</f>
        <v>-5.1431925385259088E-14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472.46893084347687</v>
      </c>
      <c r="BJ175" s="62">
        <f t="shared" si="146"/>
        <v>297.32483725004136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0.30117086107261487</v>
      </c>
      <c r="BQ175" s="23">
        <f>EXP(-LN(2)/25)*BQ174+(1-EXP(-LN(2)/25))/(LN(2)/25)*Calculateur!BL175*Calculateur!BN175*VLOOKUP('Données projet'!$B$11,Paramètres!$A$1:$I$89,3,0)*0.475*44/12</f>
        <v>2.3397122867268617E-2</v>
      </c>
      <c r="BR175" s="23">
        <f>EXP(-LN(2)/2)*BR174+(1-EXP(-LN(2)/2))/(LN(2)/2)*BL175*BO175*VLOOKUP('Données projet'!$B$11,Paramètres!$A$1:$I$89,3,0)*0.475*44/12</f>
        <v>8.5724516915845792E-21</v>
      </c>
      <c r="BS175" s="24">
        <f t="shared" si="169"/>
        <v>0.32456798393988351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-1.1368683772161603E-13</v>
      </c>
      <c r="BZ175" s="14">
        <f>BY175*VLOOKUP('Données projet'!$B$12,Paramètres!$A$1:$I$89,3,0)*VLOOKUP('Données projet'!$B$12,Paramètres!$A$1:$I$89,5,0)</f>
        <v>-5.3205440053716299E-14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426.87921482911719</v>
      </c>
      <c r="CE175" s="62">
        <f t="shared" si="148"/>
        <v>313.49594674441835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-1.1368683772161603E-13</v>
      </c>
      <c r="CU175" s="18">
        <f>CT175*VLOOKUP('Données projet'!$B$13,Paramètres!$A$1:$I$89,3,0)*VLOOKUP('Données projet'!$B$13,Paramètres!$A$1:$I$89,5,0)</f>
        <v>-6.7984728957526396E-14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367.11994336501527</v>
      </c>
      <c r="CZ175" s="62">
        <f t="shared" si="150"/>
        <v>390.81417197867484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2.0815460282869531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1.9498266698656235E-21</v>
      </c>
      <c r="DI175" s="24">
        <f t="shared" si="175"/>
        <v>2.0815460282869531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1.9895196601282805E-13</v>
      </c>
      <c r="O176" s="14">
        <f>N176*VLOOKUP('Données projet'!$B$9,Paramètres!$A$1:$I$89,3,0)*VLOOKUP('Données projet'!$B$9,Paramètres!$A$1:$I$89,5,0)</f>
        <v>1.8001173884840681E-13</v>
      </c>
      <c r="P176" s="14">
        <f t="shared" si="141"/>
        <v>2.5254331426407198E-12</v>
      </c>
      <c r="Q176" s="22">
        <f t="shared" si="162"/>
        <v>4.7119831685935622E-12</v>
      </c>
      <c r="R176" s="62">
        <f t="shared" si="109"/>
        <v>288.89331365275319</v>
      </c>
      <c r="S176" s="62">
        <f ca="1">AVERAGE(OFFSET($R$3,0,0,'Données projet'!$E$9+1,1))-AVERAGE(OFFSET($H$3,0,0,'Données projet'!$E$9+1,1))</f>
        <v>312.43110610485337</v>
      </c>
      <c r="T176" s="62">
        <f t="shared" si="142"/>
        <v>442.54749157177571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3.1810530249394404E-2</v>
      </c>
      <c r="AA176" s="23">
        <f>EXP(-LN(2)/25)*AA175+(1-EXP(-LN(2)/25))/(LN(2)/25)*Calculateur!V176*Calculateur!X176*VLOOKUP('Données projet'!$B$9,Paramètres!$A$1:$I$89,3,0)*0.475*44/12</f>
        <v>1.786185573911837E-2</v>
      </c>
      <c r="AB176" s="23">
        <f>EXP(-LN(2)/2)*AB175+(1-EXP(-LN(2)/2))/(LN(2)/2)*V176*Y176*VLOOKUP('Données projet'!$B$9,Paramètres!$A$1:$I$89,3,0)*0.475*44/12</f>
        <v>1.1504684384270812E-21</v>
      </c>
      <c r="AC176" s="24">
        <f t="shared" si="163"/>
        <v>4.9672385988512771E-2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-5.6843418860808015E-14</v>
      </c>
      <c r="AJ176" s="14">
        <f>AI176*VLOOKUP('Données projet'!$B$10,Paramètres!$A$1:$I$89,3,0)*VLOOKUP('Données projet'!$B$10,Paramètres!$A$1:$I$89,5,0)</f>
        <v>-4.7884896048344674E-14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445.02659128831181</v>
      </c>
      <c r="AO176" s="62">
        <f t="shared" si="144"/>
        <v>281.06176764290592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0.27490197492906299</v>
      </c>
      <c r="AV176" s="23">
        <f>EXP(-LN(2)/25)*AV175+(1-EXP(-LN(2)/25))/(LN(2)/25)*Calculateur!AQ176*Calculateur!AS176*VLOOKUP('Données projet'!$B$10,Paramètres!$A$1:$I$89,3,0)*0.475*44/12</f>
        <v>2.1187856462954242E-2</v>
      </c>
      <c r="AW176" s="23">
        <f>EXP(-LN(2)/2)*AW175+(1-EXP(-LN(2)/2))/(LN(2)/2)*AQ176*AT176*VLOOKUP('Données projet'!$B$10,Paramètres!$A$1:$I$89,3,0)*0.475*44/12</f>
        <v>5.6435946726850279E-21</v>
      </c>
      <c r="AX176" s="23">
        <f t="shared" si="166"/>
        <v>0.29608983139201722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-5.6843418860808015E-14</v>
      </c>
      <c r="BE176" s="14">
        <f>BD176*VLOOKUP('Données projet'!$B$11,Paramètres!$A$1:$I$89,3,0)*VLOOKUP('Données projet'!$B$11,Paramètres!$A$1:$I$89,5,0)</f>
        <v>-5.1431925385259088E-14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472.46893084347687</v>
      </c>
      <c r="BJ176" s="62">
        <f t="shared" si="146"/>
        <v>297.32483725004136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0.29526508418306768</v>
      </c>
      <c r="BQ176" s="23">
        <f>EXP(-LN(2)/25)*BQ175+(1-EXP(-LN(2)/25))/(LN(2)/25)*Calculateur!BL176*Calculateur!BN176*VLOOKUP('Données projet'!$B$11,Paramètres!$A$1:$I$89,3,0)*0.475*44/12</f>
        <v>2.275732731206194E-2</v>
      </c>
      <c r="BR176" s="23">
        <f>EXP(-LN(2)/2)*BR175+(1-EXP(-LN(2)/2))/(LN(2)/2)*BL176*BO176*VLOOKUP('Données projet'!$B$11,Paramètres!$A$1:$I$89,3,0)*0.475*44/12</f>
        <v>6.0616387225135463E-21</v>
      </c>
      <c r="BS176" s="24">
        <f t="shared" si="169"/>
        <v>0.31802241149512961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-1.1368683772161603E-13</v>
      </c>
      <c r="BZ176" s="14">
        <f>BY176*VLOOKUP('Données projet'!$B$12,Paramètres!$A$1:$I$89,3,0)*VLOOKUP('Données projet'!$B$12,Paramètres!$A$1:$I$89,5,0)</f>
        <v>-5.3205440053716299E-14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426.87921482911719</v>
      </c>
      <c r="CE176" s="62">
        <f t="shared" si="148"/>
        <v>313.49594674441835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-1.1368683772161603E-13</v>
      </c>
      <c r="CU176" s="18">
        <f>CT176*VLOOKUP('Données projet'!$B$13,Paramètres!$A$1:$I$89,3,0)*VLOOKUP('Données projet'!$B$13,Paramètres!$A$1:$I$89,5,0)</f>
        <v>-6.7984728957526396E-14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367.11994336501527</v>
      </c>
      <c r="CZ176" s="62">
        <f t="shared" si="150"/>
        <v>390.81417197867484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2.0407281802899591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1.3787356604003661E-21</v>
      </c>
      <c r="DI176" s="24">
        <f t="shared" si="175"/>
        <v>2.0407281802899591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1.9895196601282805E-13</v>
      </c>
      <c r="O177" s="14">
        <f>N177*VLOOKUP('Données projet'!$B$9,Paramètres!$A$1:$I$89,3,0)*VLOOKUP('Données projet'!$B$9,Paramètres!$A$1:$I$89,5,0)</f>
        <v>1.8001173884840681E-13</v>
      </c>
      <c r="P177" s="14">
        <f t="shared" si="141"/>
        <v>2.5254331426407198E-12</v>
      </c>
      <c r="Q177" s="22">
        <f t="shared" si="162"/>
        <v>4.7119831685935622E-12</v>
      </c>
      <c r="R177" s="62">
        <f t="shared" si="109"/>
        <v>288.97033806781445</v>
      </c>
      <c r="S177" s="62">
        <f ca="1">AVERAGE(OFFSET($R$3,0,0,'Données projet'!$E$9+1,1))-AVERAGE(OFFSET($H$3,0,0,'Données projet'!$E$9+1,1))</f>
        <v>312.43110610485337</v>
      </c>
      <c r="T177" s="62">
        <f t="shared" si="142"/>
        <v>442.54749157177571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3.1186745153711393E-2</v>
      </c>
      <c r="AA177" s="23">
        <f>EXP(-LN(2)/25)*AA176+(1-EXP(-LN(2)/25))/(LN(2)/25)*Calculateur!V177*Calculateur!X177*VLOOKUP('Données projet'!$B$9,Paramètres!$A$1:$I$89,3,0)*0.475*44/12</f>
        <v>1.7373422354618008E-2</v>
      </c>
      <c r="AB177" s="23">
        <f>EXP(-LN(2)/2)*AB176+(1-EXP(-LN(2)/2))/(LN(2)/2)*V177*Y177*VLOOKUP('Données projet'!$B$9,Paramètres!$A$1:$I$89,3,0)*0.475*44/12</f>
        <v>8.1350403435288712E-22</v>
      </c>
      <c r="AC177" s="24">
        <f t="shared" si="163"/>
        <v>4.8560167508329401E-2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-5.6843418860808015E-14</v>
      </c>
      <c r="AJ177" s="14">
        <f>AI177*VLOOKUP('Données projet'!$B$10,Paramètres!$A$1:$I$89,3,0)*VLOOKUP('Données projet'!$B$10,Paramètres!$A$1:$I$89,5,0)</f>
        <v>-4.7884896048344674E-14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445.02659128831181</v>
      </c>
      <c r="AO177" s="62">
        <f t="shared" si="144"/>
        <v>281.06176764290592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0.26951131487435237</v>
      </c>
      <c r="AV177" s="23">
        <f>EXP(-LN(2)/25)*AV176+(1-EXP(-LN(2)/25))/(LN(2)/25)*Calculateur!AQ177*Calculateur!AS177*VLOOKUP('Données projet'!$B$10,Paramètres!$A$1:$I$89,3,0)*0.475*44/12</f>
        <v>2.0608473413753811E-2</v>
      </c>
      <c r="AW177" s="23">
        <f>EXP(-LN(2)/2)*AW176+(1-EXP(-LN(2)/2))/(LN(2)/2)*AQ177*AT177*VLOOKUP('Données projet'!$B$10,Paramètres!$A$1:$I$89,3,0)*0.475*44/12</f>
        <v>3.9906240633238573E-21</v>
      </c>
      <c r="AX177" s="23">
        <f t="shared" si="166"/>
        <v>0.2901197882881062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-5.6843418860808015E-14</v>
      </c>
      <c r="BE177" s="14">
        <f>BD177*VLOOKUP('Données projet'!$B$11,Paramètres!$A$1:$I$89,3,0)*VLOOKUP('Données projet'!$B$11,Paramètres!$A$1:$I$89,5,0)</f>
        <v>-5.1431925385259088E-14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472.46893084347687</v>
      </c>
      <c r="BJ177" s="62">
        <f t="shared" si="146"/>
        <v>297.32483725004136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0.28947511597615627</v>
      </c>
      <c r="BQ177" s="23">
        <f>EXP(-LN(2)/25)*BQ176+(1-EXP(-LN(2)/25))/(LN(2)/25)*Calculateur!BL177*Calculateur!BN177*VLOOKUP('Données projet'!$B$11,Paramètres!$A$1:$I$89,3,0)*0.475*44/12</f>
        <v>2.2135026999957775E-2</v>
      </c>
      <c r="BR177" s="23">
        <f>EXP(-LN(2)/2)*BR176+(1-EXP(-LN(2)/2))/(LN(2)/2)*BL177*BO177*VLOOKUP('Données projet'!$B$11,Paramètres!$A$1:$I$89,3,0)*0.475*44/12</f>
        <v>4.2862258457922896E-21</v>
      </c>
      <c r="BS177" s="24">
        <f t="shared" si="169"/>
        <v>0.31161014297611406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-1.1368683772161603E-13</v>
      </c>
      <c r="BZ177" s="14">
        <f>BY177*VLOOKUP('Données projet'!$B$12,Paramètres!$A$1:$I$89,3,0)*VLOOKUP('Données projet'!$B$12,Paramètres!$A$1:$I$89,5,0)</f>
        <v>-5.3205440053716299E-14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426.87921482911719</v>
      </c>
      <c r="CE177" s="62">
        <f t="shared" si="148"/>
        <v>313.49594674441835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-1.1368683772161603E-13</v>
      </c>
      <c r="CU177" s="18">
        <f>CT177*VLOOKUP('Données projet'!$B$13,Paramètres!$A$1:$I$89,3,0)*VLOOKUP('Données projet'!$B$13,Paramètres!$A$1:$I$89,5,0)</f>
        <v>-6.7984728957526396E-14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367.11994336501527</v>
      </c>
      <c r="CZ177" s="62">
        <f t="shared" si="150"/>
        <v>390.81417197867484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2.0007107453957569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9.7491333493281173E-22</v>
      </c>
      <c r="DI177" s="24">
        <f t="shared" si="175"/>
        <v>2.0007107453957569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1.9895196601282805E-13</v>
      </c>
      <c r="O178" s="14">
        <f>N178*VLOOKUP('Données projet'!$B$9,Paramètres!$A$1:$I$89,3,0)*VLOOKUP('Données projet'!$B$9,Paramètres!$A$1:$I$89,5,0)</f>
        <v>1.8001173884840681E-13</v>
      </c>
      <c r="P178" s="14">
        <f t="shared" si="141"/>
        <v>2.5254331426407198E-12</v>
      </c>
      <c r="Q178" s="22">
        <f t="shared" si="162"/>
        <v>4.7119831685935622E-12</v>
      </c>
      <c r="R178" s="62">
        <f t="shared" si="109"/>
        <v>289.04602628147512</v>
      </c>
      <c r="S178" s="62">
        <f ca="1">AVERAGE(OFFSET($R$3,0,0,'Données projet'!$E$9+1,1))-AVERAGE(OFFSET($H$3,0,0,'Données projet'!$E$9+1,1))</f>
        <v>312.43110610485337</v>
      </c>
      <c r="T178" s="62">
        <f t="shared" si="142"/>
        <v>442.54749157177571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3.0575192103283386E-2</v>
      </c>
      <c r="AA178" s="23">
        <f>EXP(-LN(2)/25)*AA177+(1-EXP(-LN(2)/25))/(LN(2)/25)*Calculateur!V178*Calculateur!X178*VLOOKUP('Données projet'!$B$9,Paramètres!$A$1:$I$89,3,0)*0.475*44/12</f>
        <v>1.6898345206702404E-2</v>
      </c>
      <c r="AB178" s="23">
        <f>EXP(-LN(2)/2)*AB177+(1-EXP(-LN(2)/2))/(LN(2)/2)*V178*Y178*VLOOKUP('Données projet'!$B$9,Paramètres!$A$1:$I$89,3,0)*0.475*44/12</f>
        <v>5.7523421921354059E-22</v>
      </c>
      <c r="AC178" s="24">
        <f t="shared" si="163"/>
        <v>4.747353730998579E-2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-5.6843418860808015E-14</v>
      </c>
      <c r="AJ178" s="14">
        <f>AI178*VLOOKUP('Données projet'!$B$10,Paramètres!$A$1:$I$89,3,0)*VLOOKUP('Données projet'!$B$10,Paramètres!$A$1:$I$89,5,0)</f>
        <v>-4.7884896048344674E-14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445.02659128831181</v>
      </c>
      <c r="AO178" s="62">
        <f t="shared" si="144"/>
        <v>281.06176764290592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0.26422636237533664</v>
      </c>
      <c r="AV178" s="23">
        <f>EXP(-LN(2)/25)*AV177+(1-EXP(-LN(2)/25))/(LN(2)/25)*Calculateur!AQ178*Calculateur!AS178*VLOOKUP('Données projet'!$B$10,Paramètres!$A$1:$I$89,3,0)*0.475*44/12</f>
        <v>2.0044933624502197E-2</v>
      </c>
      <c r="AW178" s="23">
        <f>EXP(-LN(2)/2)*AW177+(1-EXP(-LN(2)/2))/(LN(2)/2)*AQ178*AT178*VLOOKUP('Données projet'!$B$10,Paramètres!$A$1:$I$89,3,0)*0.475*44/12</f>
        <v>2.821797336342514E-21</v>
      </c>
      <c r="AX178" s="23">
        <f t="shared" si="166"/>
        <v>0.28427129599983886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-5.6843418860808015E-14</v>
      </c>
      <c r="BE178" s="14">
        <f>BD178*VLOOKUP('Données projet'!$B$11,Paramètres!$A$1:$I$89,3,0)*VLOOKUP('Données projet'!$B$11,Paramètres!$A$1:$I$89,5,0)</f>
        <v>-5.1431925385259088E-14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472.46893084347687</v>
      </c>
      <c r="BJ178" s="62">
        <f t="shared" si="146"/>
        <v>297.32483725004136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0.28379868551425053</v>
      </c>
      <c r="BQ178" s="23">
        <f>EXP(-LN(2)/25)*BQ177+(1-EXP(-LN(2)/25))/(LN(2)/25)*Calculateur!BL178*Calculateur!BN178*VLOOKUP('Données projet'!$B$11,Paramètres!$A$1:$I$89,3,0)*0.475*44/12</f>
        <v>2.152974352261345E-2</v>
      </c>
      <c r="BR178" s="23">
        <f>EXP(-LN(2)/2)*BR177+(1-EXP(-LN(2)/2))/(LN(2)/2)*BL178*BO178*VLOOKUP('Données projet'!$B$11,Paramètres!$A$1:$I$89,3,0)*0.475*44/12</f>
        <v>3.0308193612567732E-21</v>
      </c>
      <c r="BS178" s="24">
        <f t="shared" si="169"/>
        <v>0.30532842903686397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-1.1368683772161603E-13</v>
      </c>
      <c r="BZ178" s="14">
        <f>BY178*VLOOKUP('Données projet'!$B$12,Paramètres!$A$1:$I$89,3,0)*VLOOKUP('Données projet'!$B$12,Paramètres!$A$1:$I$89,5,0)</f>
        <v>-5.3205440053716299E-14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426.87921482911719</v>
      </c>
      <c r="CE178" s="62">
        <f t="shared" si="148"/>
        <v>313.49594674441835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-1.1368683772161603E-13</v>
      </c>
      <c r="CU178" s="18">
        <f>CT178*VLOOKUP('Données projet'!$B$13,Paramètres!$A$1:$I$89,3,0)*VLOOKUP('Données projet'!$B$13,Paramètres!$A$1:$I$89,5,0)</f>
        <v>-6.7984728957526396E-14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367.11994336501527</v>
      </c>
      <c r="CZ178" s="62">
        <f t="shared" si="150"/>
        <v>390.81417197867484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1.9614780279916049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6.8936783020018304E-22</v>
      </c>
      <c r="DI178" s="24">
        <f t="shared" si="175"/>
        <v>1.9614780279916049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1.9895196601282805E-13</v>
      </c>
      <c r="O179" s="14">
        <f>N179*VLOOKUP('Données projet'!$B$9,Paramètres!$A$1:$I$89,3,0)*VLOOKUP('Données projet'!$B$9,Paramètres!$A$1:$I$89,5,0)</f>
        <v>1.8001173884840681E-13</v>
      </c>
      <c r="P179" s="14">
        <f t="shared" si="141"/>
        <v>2.5254331426407198E-12</v>
      </c>
      <c r="Q179" s="22">
        <f t="shared" si="162"/>
        <v>4.7119831685935622E-12</v>
      </c>
      <c r="R179" s="62">
        <f t="shared" si="109"/>
        <v>289.12040147384232</v>
      </c>
      <c r="S179" s="62">
        <f ca="1">AVERAGE(OFFSET($R$3,0,0,'Données projet'!$E$9+1,1))-AVERAGE(OFFSET($H$3,0,0,'Données projet'!$E$9+1,1))</f>
        <v>312.43110610485337</v>
      </c>
      <c r="T179" s="62">
        <f t="shared" si="142"/>
        <v>442.54749157177571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2.9975631235163745E-2</v>
      </c>
      <c r="AA179" s="23">
        <f>EXP(-LN(2)/25)*AA178+(1-EXP(-LN(2)/25))/(LN(2)/25)*Calculateur!V179*Calculateur!X179*VLOOKUP('Données projet'!$B$9,Paramètres!$A$1:$I$89,3,0)*0.475*44/12</f>
        <v>1.6436259068379772E-2</v>
      </c>
      <c r="AB179" s="23">
        <f>EXP(-LN(2)/2)*AB178+(1-EXP(-LN(2)/2))/(LN(2)/2)*V179*Y179*VLOOKUP('Données projet'!$B$9,Paramètres!$A$1:$I$89,3,0)*0.475*44/12</f>
        <v>4.0675201717644356E-22</v>
      </c>
      <c r="AC179" s="24">
        <f t="shared" si="163"/>
        <v>4.6411890303543521E-2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-5.6843418860808015E-14</v>
      </c>
      <c r="AJ179" s="14">
        <f>AI179*VLOOKUP('Données projet'!$B$10,Paramètres!$A$1:$I$89,3,0)*VLOOKUP('Données projet'!$B$10,Paramètres!$A$1:$I$89,5,0)</f>
        <v>-4.7884896048344674E-14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445.02659128831181</v>
      </c>
      <c r="AO179" s="62">
        <f t="shared" si="144"/>
        <v>281.06176764290592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0.25904504457132388</v>
      </c>
      <c r="AV179" s="23">
        <f>EXP(-LN(2)/25)*AV178+(1-EXP(-LN(2)/25))/(LN(2)/25)*Calculateur!AQ179*Calculateur!AS179*VLOOKUP('Données projet'!$B$10,Paramètres!$A$1:$I$89,3,0)*0.475*44/12</f>
        <v>1.9496803860422938E-2</v>
      </c>
      <c r="AW179" s="23">
        <f>EXP(-LN(2)/2)*AW178+(1-EXP(-LN(2)/2))/(LN(2)/2)*AQ179*AT179*VLOOKUP('Données projet'!$B$10,Paramètres!$A$1:$I$89,3,0)*0.475*44/12</f>
        <v>1.9953120316619286E-21</v>
      </c>
      <c r="AX179" s="23">
        <f t="shared" si="166"/>
        <v>0.27854184843174684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-5.6843418860808015E-14</v>
      </c>
      <c r="BE179" s="14">
        <f>BD179*VLOOKUP('Données projet'!$B$11,Paramètres!$A$1:$I$89,3,0)*VLOOKUP('Données projet'!$B$11,Paramètres!$A$1:$I$89,5,0)</f>
        <v>-5.1431925385259088E-14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472.46893084347687</v>
      </c>
      <c r="BJ179" s="62">
        <f t="shared" si="146"/>
        <v>297.32483725004136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0.27823356639142199</v>
      </c>
      <c r="BQ179" s="23">
        <f>EXP(-LN(2)/25)*BQ178+(1-EXP(-LN(2)/25))/(LN(2)/25)*Calculateur!BL179*Calculateur!BN179*VLOOKUP('Données projet'!$B$11,Paramètres!$A$1:$I$89,3,0)*0.475*44/12</f>
        <v>2.0941011553787581E-2</v>
      </c>
      <c r="BR179" s="23">
        <f>EXP(-LN(2)/2)*BR178+(1-EXP(-LN(2)/2))/(LN(2)/2)*BL179*BO179*VLOOKUP('Données projet'!$B$11,Paramètres!$A$1:$I$89,3,0)*0.475*44/12</f>
        <v>2.1431129228961448E-21</v>
      </c>
      <c r="BS179" s="24">
        <f t="shared" si="169"/>
        <v>0.29917457794520957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-1.1368683772161603E-13</v>
      </c>
      <c r="BZ179" s="14">
        <f>BY179*VLOOKUP('Données projet'!$B$12,Paramètres!$A$1:$I$89,3,0)*VLOOKUP('Données projet'!$B$12,Paramètres!$A$1:$I$89,5,0)</f>
        <v>-5.3205440053716299E-14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426.87921482911719</v>
      </c>
      <c r="CE179" s="62">
        <f t="shared" si="148"/>
        <v>313.49594674441835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-1.1368683772161603E-13</v>
      </c>
      <c r="CU179" s="18">
        <f>CT179*VLOOKUP('Données projet'!$B$13,Paramètres!$A$1:$I$89,3,0)*VLOOKUP('Données projet'!$B$13,Paramètres!$A$1:$I$89,5,0)</f>
        <v>-6.7984728957526396E-14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367.11994336501527</v>
      </c>
      <c r="CZ179" s="62">
        <f t="shared" si="150"/>
        <v>390.81417197867484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1.9230146402461534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4.8745666746640587E-22</v>
      </c>
      <c r="DI179" s="24">
        <f t="shared" si="175"/>
        <v>1.9230146402461534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1.9895196601282805E-13</v>
      </c>
      <c r="O180" s="14">
        <f>N180*VLOOKUP('Données projet'!$B$9,Paramètres!$A$1:$I$89,3,0)*VLOOKUP('Données projet'!$B$9,Paramètres!$A$1:$I$89,5,0)</f>
        <v>1.8001173884840681E-13</v>
      </c>
      <c r="P180" s="14">
        <f t="shared" si="141"/>
        <v>2.5254331426407198E-12</v>
      </c>
      <c r="Q180" s="22">
        <f t="shared" si="162"/>
        <v>4.7119831685935622E-12</v>
      </c>
      <c r="R180" s="62">
        <f t="shared" si="109"/>
        <v>289.19348642289998</v>
      </c>
      <c r="S180" s="62">
        <f ca="1">AVERAGE(OFFSET($R$3,0,0,'Données projet'!$E$9+1,1))-AVERAGE(OFFSET($H$3,0,0,'Données projet'!$E$9+1,1))</f>
        <v>312.43110610485337</v>
      </c>
      <c r="T180" s="62">
        <f t="shared" si="142"/>
        <v>442.54749157177571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2.9387827389971907E-2</v>
      </c>
      <c r="AA180" s="23">
        <f>EXP(-LN(2)/25)*AA179+(1-EXP(-LN(2)/25))/(LN(2)/25)*Calculateur!V180*Calculateur!X180*VLOOKUP('Données projet'!$B$9,Paramètres!$A$1:$I$89,3,0)*0.475*44/12</f>
        <v>1.5986808699809629E-2</v>
      </c>
      <c r="AB180" s="23">
        <f>EXP(-LN(2)/2)*AB179+(1-EXP(-LN(2)/2))/(LN(2)/2)*V180*Y180*VLOOKUP('Données projet'!$B$9,Paramètres!$A$1:$I$89,3,0)*0.475*44/12</f>
        <v>2.8761710960677029E-22</v>
      </c>
      <c r="AC180" s="24">
        <f t="shared" si="163"/>
        <v>4.5374636089781539E-2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-5.6843418860808015E-14</v>
      </c>
      <c r="AJ180" s="14">
        <f>AI180*VLOOKUP('Données projet'!$B$10,Paramètres!$A$1:$I$89,3,0)*VLOOKUP('Données projet'!$B$10,Paramètres!$A$1:$I$89,5,0)</f>
        <v>-4.7884896048344674E-14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445.02659128831181</v>
      </c>
      <c r="AO180" s="62">
        <f t="shared" si="144"/>
        <v>281.06176764290592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0.25396532924915599</v>
      </c>
      <c r="AV180" s="23">
        <f>EXP(-LN(2)/25)*AV179+(1-EXP(-LN(2)/25))/(LN(2)/25)*Calculateur!AQ180*Calculateur!AS180*VLOOKUP('Données projet'!$B$10,Paramètres!$A$1:$I$89,3,0)*0.475*44/12</f>
        <v>1.8963662733567317E-2</v>
      </c>
      <c r="AW180" s="23">
        <f>EXP(-LN(2)/2)*AW179+(1-EXP(-LN(2)/2))/(LN(2)/2)*AQ180*AT180*VLOOKUP('Données projet'!$B$10,Paramètres!$A$1:$I$89,3,0)*0.475*44/12</f>
        <v>1.410898668171257E-21</v>
      </c>
      <c r="AX180" s="23">
        <f t="shared" si="166"/>
        <v>0.2729289919827233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-5.6843418860808015E-14</v>
      </c>
      <c r="BE180" s="14">
        <f>BD180*VLOOKUP('Données projet'!$B$11,Paramètres!$A$1:$I$89,3,0)*VLOOKUP('Données projet'!$B$11,Paramètres!$A$1:$I$89,5,0)</f>
        <v>-5.1431925385259088E-14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472.46893084347687</v>
      </c>
      <c r="BJ180" s="62">
        <f t="shared" si="146"/>
        <v>297.32483725004136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0.27277757586020468</v>
      </c>
      <c r="BQ180" s="23">
        <f>EXP(-LN(2)/25)*BQ179+(1-EXP(-LN(2)/25))/(LN(2)/25)*Calculateur!BL180*Calculateur!BN180*VLOOKUP('Données projet'!$B$11,Paramètres!$A$1:$I$89,3,0)*0.475*44/12</f>
        <v>2.0368378491609322E-2</v>
      </c>
      <c r="BR180" s="23">
        <f>EXP(-LN(2)/2)*BR179+(1-EXP(-LN(2)/2))/(LN(2)/2)*BL180*BO180*VLOOKUP('Données projet'!$B$11,Paramètres!$A$1:$I$89,3,0)*0.475*44/12</f>
        <v>1.5154096806283866E-21</v>
      </c>
      <c r="BS180" s="24">
        <f t="shared" si="169"/>
        <v>0.29314595435181401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-1.1368683772161603E-13</v>
      </c>
      <c r="BZ180" s="14">
        <f>BY180*VLOOKUP('Données projet'!$B$12,Paramètres!$A$1:$I$89,3,0)*VLOOKUP('Données projet'!$B$12,Paramètres!$A$1:$I$89,5,0)</f>
        <v>-5.3205440053716299E-14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426.87921482911719</v>
      </c>
      <c r="CE180" s="62">
        <f t="shared" si="148"/>
        <v>313.49594674441835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-1.1368683772161603E-13</v>
      </c>
      <c r="CU180" s="18">
        <f>CT180*VLOOKUP('Données projet'!$B$13,Paramètres!$A$1:$I$89,3,0)*VLOOKUP('Données projet'!$B$13,Paramètres!$A$1:$I$89,5,0)</f>
        <v>-6.7984728957526396E-14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367.11994336501527</v>
      </c>
      <c r="CZ180" s="62">
        <f t="shared" si="150"/>
        <v>390.81417197867484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1.8853054960740403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3.4468391510009152E-22</v>
      </c>
      <c r="DI180" s="24">
        <f t="shared" si="175"/>
        <v>1.8853054960740403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1.9895196601282805E-13</v>
      </c>
      <c r="O181" s="14">
        <f>N181*VLOOKUP('Données projet'!$B$9,Paramètres!$A$1:$I$89,3,0)*VLOOKUP('Données projet'!$B$9,Paramètres!$A$1:$I$89,5,0)</f>
        <v>1.8001173884840681E-13</v>
      </c>
      <c r="P181" s="14">
        <f t="shared" si="141"/>
        <v>2.5254331426407198E-12</v>
      </c>
      <c r="Q181" s="22">
        <f t="shared" si="162"/>
        <v>4.7119831685935622E-12</v>
      </c>
      <c r="R181" s="62">
        <f t="shared" si="109"/>
        <v>289.26530351148489</v>
      </c>
      <c r="S181" s="62">
        <f ca="1">AVERAGE(OFFSET($R$3,0,0,'Données projet'!$E$9+1,1))-AVERAGE(OFFSET($H$3,0,0,'Données projet'!$E$9+1,1))</f>
        <v>312.43110610485337</v>
      </c>
      <c r="T181" s="62">
        <f t="shared" si="142"/>
        <v>442.54749157177571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2.8811550019659338E-2</v>
      </c>
      <c r="AA181" s="23">
        <f>EXP(-LN(2)/25)*AA180+(1-EXP(-LN(2)/25))/(LN(2)/25)*Calculateur!V181*Calculateur!X181*VLOOKUP('Données projet'!$B$9,Paramètres!$A$1:$I$89,3,0)*0.475*44/12</f>
        <v>1.5549648575203603E-2</v>
      </c>
      <c r="AB181" s="23">
        <f>EXP(-LN(2)/2)*AB180+(1-EXP(-LN(2)/2))/(LN(2)/2)*V181*Y181*VLOOKUP('Données projet'!$B$9,Paramètres!$A$1:$I$89,3,0)*0.475*44/12</f>
        <v>2.0337600858822178E-22</v>
      </c>
      <c r="AC181" s="24">
        <f t="shared" si="163"/>
        <v>4.4361198594862941E-2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-5.6843418860808015E-14</v>
      </c>
      <c r="AJ181" s="14">
        <f>AI181*VLOOKUP('Données projet'!$B$10,Paramètres!$A$1:$I$89,3,0)*VLOOKUP('Données projet'!$B$10,Paramètres!$A$1:$I$89,5,0)</f>
        <v>-4.7884896048344674E-14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445.02659128831181</v>
      </c>
      <c r="AO181" s="62">
        <f t="shared" si="144"/>
        <v>281.06176764290592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0.24898522404613543</v>
      </c>
      <c r="AV181" s="23">
        <f>EXP(-LN(2)/25)*AV180+(1-EXP(-LN(2)/25))/(LN(2)/25)*Calculateur!AQ181*Calculateur!AS181*VLOOKUP('Données projet'!$B$10,Paramètres!$A$1:$I$89,3,0)*0.475*44/12</f>
        <v>1.8445100378862239E-2</v>
      </c>
      <c r="AW181" s="23">
        <f>EXP(-LN(2)/2)*AW180+(1-EXP(-LN(2)/2))/(LN(2)/2)*AQ181*AT181*VLOOKUP('Données projet'!$B$10,Paramètres!$A$1:$I$89,3,0)*0.475*44/12</f>
        <v>9.9765601583096432E-22</v>
      </c>
      <c r="AX181" s="23">
        <f t="shared" si="166"/>
        <v>0.2674303244249977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-5.6843418860808015E-14</v>
      </c>
      <c r="BE181" s="14">
        <f>BD181*VLOOKUP('Données projet'!$B$11,Paramètres!$A$1:$I$89,3,0)*VLOOKUP('Données projet'!$B$11,Paramètres!$A$1:$I$89,5,0)</f>
        <v>-5.1431925385259088E-14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472.46893084347687</v>
      </c>
      <c r="BJ181" s="62">
        <f t="shared" si="146"/>
        <v>297.32483725004136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0.26742857397547887</v>
      </c>
      <c r="BQ181" s="23">
        <f>EXP(-LN(2)/25)*BQ180+(1-EXP(-LN(2)/25))/(LN(2)/25)*Calculateur!BL181*Calculateur!BN181*VLOOKUP('Données projet'!$B$11,Paramètres!$A$1:$I$89,3,0)*0.475*44/12</f>
        <v>1.9811404110629791E-2</v>
      </c>
      <c r="BR181" s="23">
        <f>EXP(-LN(2)/2)*BR180+(1-EXP(-LN(2)/2))/(LN(2)/2)*BL181*BO181*VLOOKUP('Données projet'!$B$11,Paramètres!$A$1:$I$89,3,0)*0.475*44/12</f>
        <v>1.0715564614480724E-21</v>
      </c>
      <c r="BS181" s="24">
        <f t="shared" si="169"/>
        <v>0.28723997808610868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-1.1368683772161603E-13</v>
      </c>
      <c r="BZ181" s="14">
        <f>BY181*VLOOKUP('Données projet'!$B$12,Paramètres!$A$1:$I$89,3,0)*VLOOKUP('Données projet'!$B$12,Paramètres!$A$1:$I$89,5,0)</f>
        <v>-5.3205440053716299E-14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426.87921482911719</v>
      </c>
      <c r="CE181" s="62">
        <f t="shared" si="148"/>
        <v>313.49594674441835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-1.1368683772161603E-13</v>
      </c>
      <c r="CU181" s="18">
        <f>CT181*VLOOKUP('Données projet'!$B$13,Paramètres!$A$1:$I$89,3,0)*VLOOKUP('Données projet'!$B$13,Paramètres!$A$1:$I$89,5,0)</f>
        <v>-6.7984728957526396E-14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367.11994336501527</v>
      </c>
      <c r="CZ181" s="62">
        <f t="shared" si="150"/>
        <v>390.81417197867484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1.8483358052188354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2.4372833373320293E-22</v>
      </c>
      <c r="DI181" s="24">
        <f t="shared" si="175"/>
        <v>1.8483358052188354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1.9895196601282805E-13</v>
      </c>
      <c r="O182" s="14">
        <f>N182*VLOOKUP('Données projet'!$B$9,Paramètres!$A$1:$I$89,3,0)*VLOOKUP('Données projet'!$B$9,Paramètres!$A$1:$I$89,5,0)</f>
        <v>1.8001173884840681E-13</v>
      </c>
      <c r="P182" s="14">
        <f t="shared" si="141"/>
        <v>2.5254331426407198E-12</v>
      </c>
      <c r="Q182" s="22">
        <f t="shared" si="162"/>
        <v>4.7119831685935622E-12</v>
      </c>
      <c r="R182" s="62">
        <f t="shared" si="109"/>
        <v>289.33587473414184</v>
      </c>
      <c r="S182" s="62">
        <f ca="1">AVERAGE(OFFSET($R$3,0,0,'Données projet'!$E$9+1,1))-AVERAGE(OFFSET($H$3,0,0,'Données projet'!$E$9+1,1))</f>
        <v>312.43110610485337</v>
      </c>
      <c r="T182" s="62">
        <f t="shared" si="142"/>
        <v>442.54749157177571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2.8246573097084112E-2</v>
      </c>
      <c r="AA182" s="23">
        <f>EXP(-LN(2)/25)*AA181+(1-EXP(-LN(2)/25))/(LN(2)/25)*Calculateur!V182*Calculateur!X182*VLOOKUP('Données projet'!$B$9,Paramètres!$A$1:$I$89,3,0)*0.475*44/12</f>
        <v>1.5124442617194181E-2</v>
      </c>
      <c r="AB182" s="23">
        <f>EXP(-LN(2)/2)*AB181+(1-EXP(-LN(2)/2))/(LN(2)/2)*V182*Y182*VLOOKUP('Données projet'!$B$9,Paramètres!$A$1:$I$89,3,0)*0.475*44/12</f>
        <v>1.4380855480338515E-22</v>
      </c>
      <c r="AC182" s="24">
        <f t="shared" si="163"/>
        <v>4.3371015714278295E-2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-5.6843418860808015E-14</v>
      </c>
      <c r="AJ182" s="14">
        <f>AI182*VLOOKUP('Données projet'!$B$10,Paramètres!$A$1:$I$89,3,0)*VLOOKUP('Données projet'!$B$10,Paramètres!$A$1:$I$89,5,0)</f>
        <v>-4.7884896048344674E-14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445.02659128831181</v>
      </c>
      <c r="AO182" s="62">
        <f t="shared" si="144"/>
        <v>281.06176764290592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0.24410277566858188</v>
      </c>
      <c r="AV182" s="23">
        <f>EXP(-LN(2)/25)*AV181+(1-EXP(-LN(2)/25))/(LN(2)/25)*Calculateur!AQ182*Calculateur!AS182*VLOOKUP('Données projet'!$B$10,Paramètres!$A$1:$I$89,3,0)*0.475*44/12</f>
        <v>1.7940718139016581E-2</v>
      </c>
      <c r="AW182" s="23">
        <f>EXP(-LN(2)/2)*AW181+(1-EXP(-LN(2)/2))/(LN(2)/2)*AQ182*AT182*VLOOKUP('Données projet'!$B$10,Paramètres!$A$1:$I$89,3,0)*0.475*44/12</f>
        <v>7.0544933408562849E-22</v>
      </c>
      <c r="AX182" s="23">
        <f t="shared" si="166"/>
        <v>0.26204349380759845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-5.6843418860808015E-14</v>
      </c>
      <c r="BE182" s="14">
        <f>BD182*VLOOKUP('Données projet'!$B$11,Paramètres!$A$1:$I$89,3,0)*VLOOKUP('Données projet'!$B$11,Paramètres!$A$1:$I$89,5,0)</f>
        <v>-5.1431925385259088E-14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472.46893084347687</v>
      </c>
      <c r="BJ182" s="62">
        <f t="shared" si="146"/>
        <v>297.32483725004136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0.26218446275514357</v>
      </c>
      <c r="BQ182" s="23">
        <f>EXP(-LN(2)/25)*BQ181+(1-EXP(-LN(2)/25))/(LN(2)/25)*Calculateur!BL182*Calculateur!BN182*VLOOKUP('Données projet'!$B$11,Paramètres!$A$1:$I$89,3,0)*0.475*44/12</f>
        <v>1.9269660223388156E-2</v>
      </c>
      <c r="BR182" s="23">
        <f>EXP(-LN(2)/2)*BR181+(1-EXP(-LN(2)/2))/(LN(2)/2)*BL182*BO182*VLOOKUP('Données projet'!$B$11,Paramètres!$A$1:$I$89,3,0)*0.475*44/12</f>
        <v>7.5770484031419329E-22</v>
      </c>
      <c r="BS182" s="24">
        <f t="shared" si="169"/>
        <v>0.28145412297853173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-1.1368683772161603E-13</v>
      </c>
      <c r="BZ182" s="14">
        <f>BY182*VLOOKUP('Données projet'!$B$12,Paramètres!$A$1:$I$89,3,0)*VLOOKUP('Données projet'!$B$12,Paramètres!$A$1:$I$89,5,0)</f>
        <v>-5.3205440053716299E-14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426.87921482911719</v>
      </c>
      <c r="CE182" s="62">
        <f t="shared" si="148"/>
        <v>313.49594674441835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-1.1368683772161603E-13</v>
      </c>
      <c r="CU182" s="18">
        <f>CT182*VLOOKUP('Données projet'!$B$13,Paramètres!$A$1:$I$89,3,0)*VLOOKUP('Données projet'!$B$13,Paramètres!$A$1:$I$89,5,0)</f>
        <v>-6.7984728957526396E-14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367.11994336501527</v>
      </c>
      <c r="CZ182" s="62">
        <f t="shared" si="150"/>
        <v>390.81417197867484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1.8120910674520163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1.7234195755004576E-22</v>
      </c>
      <c r="DI182" s="24">
        <f t="shared" si="175"/>
        <v>1.8120910674520163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1.9895196601282805E-13</v>
      </c>
      <c r="O183" s="14">
        <f>N183*VLOOKUP('Données projet'!$B$9,Paramètres!$A$1:$I$89,3,0)*VLOOKUP('Données projet'!$B$9,Paramètres!$A$1:$I$89,5,0)</f>
        <v>1.8001173884840681E-13</v>
      </c>
      <c r="P183" s="14">
        <f t="shared" si="141"/>
        <v>2.5254331426407198E-12</v>
      </c>
      <c r="Q183" s="22">
        <f t="shared" si="162"/>
        <v>4.7119831685935622E-12</v>
      </c>
      <c r="R183" s="62">
        <f t="shared" si="109"/>
        <v>289.40522170385935</v>
      </c>
      <c r="S183" s="62">
        <f ca="1">AVERAGE(OFFSET($R$3,0,0,'Données projet'!$E$9+1,1))-AVERAGE(OFFSET($H$3,0,0,'Données projet'!$E$9+1,1))</f>
        <v>312.43110610485337</v>
      </c>
      <c r="T183" s="62">
        <f t="shared" si="142"/>
        <v>442.54749157177571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2.7692675027358688E-2</v>
      </c>
      <c r="AA183" s="23">
        <f>EXP(-LN(2)/25)*AA182+(1-EXP(-LN(2)/25))/(LN(2)/25)*Calculateur!V183*Calculateur!X183*VLOOKUP('Données projet'!$B$9,Paramètres!$A$1:$I$89,3,0)*0.475*44/12</f>
        <v>1.4710863938467137E-2</v>
      </c>
      <c r="AB183" s="23">
        <f>EXP(-LN(2)/2)*AB182+(1-EXP(-LN(2)/2))/(LN(2)/2)*V183*Y183*VLOOKUP('Données projet'!$B$9,Paramètres!$A$1:$I$89,3,0)*0.475*44/12</f>
        <v>1.0168800429411089E-22</v>
      </c>
      <c r="AC183" s="24">
        <f t="shared" si="163"/>
        <v>4.2403538965825827E-2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-5.6843418860808015E-14</v>
      </c>
      <c r="AJ183" s="14">
        <f>AI183*VLOOKUP('Données projet'!$B$10,Paramètres!$A$1:$I$89,3,0)*VLOOKUP('Données projet'!$B$10,Paramètres!$A$1:$I$89,5,0)</f>
        <v>-4.7884896048344674E-14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445.02659128831181</v>
      </c>
      <c r="AO183" s="62">
        <f t="shared" si="144"/>
        <v>281.06176764290592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0.23931606912571268</v>
      </c>
      <c r="AV183" s="23">
        <f>EXP(-LN(2)/25)*AV182+(1-EXP(-LN(2)/25))/(LN(2)/25)*Calculateur!AQ183*Calculateur!AS183*VLOOKUP('Données projet'!$B$10,Paramètres!$A$1:$I$89,3,0)*0.475*44/12</f>
        <v>1.7450128258043811E-2</v>
      </c>
      <c r="AW183" s="23">
        <f>EXP(-LN(2)/2)*AW182+(1-EXP(-LN(2)/2))/(LN(2)/2)*AQ183*AT183*VLOOKUP('Données projet'!$B$10,Paramètres!$A$1:$I$89,3,0)*0.475*44/12</f>
        <v>4.9882800791548216E-22</v>
      </c>
      <c r="AX183" s="23">
        <f t="shared" si="166"/>
        <v>0.2567661973837565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-5.6843418860808015E-14</v>
      </c>
      <c r="BE183" s="14">
        <f>BD183*VLOOKUP('Données projet'!$B$11,Paramètres!$A$1:$I$89,3,0)*VLOOKUP('Données projet'!$B$11,Paramètres!$A$1:$I$89,5,0)</f>
        <v>-5.1431925385259088E-14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472.46893084347687</v>
      </c>
      <c r="BJ183" s="62">
        <f t="shared" si="146"/>
        <v>297.32483725004136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0.25704318535724702</v>
      </c>
      <c r="BQ183" s="23">
        <f>EXP(-LN(2)/25)*BQ182+(1-EXP(-LN(2)/25))/(LN(2)/25)*Calculateur!BL183*Calculateur!BN183*VLOOKUP('Données projet'!$B$11,Paramètres!$A$1:$I$89,3,0)*0.475*44/12</f>
        <v>1.8742730351232216E-2</v>
      </c>
      <c r="BR183" s="23">
        <f>EXP(-LN(2)/2)*BR182+(1-EXP(-LN(2)/2))/(LN(2)/2)*BL183*BO183*VLOOKUP('Données projet'!$B$11,Paramètres!$A$1:$I$89,3,0)*0.475*44/12</f>
        <v>5.357782307240362E-22</v>
      </c>
      <c r="BS183" s="24">
        <f t="shared" si="169"/>
        <v>0.27578591570847921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-1.1368683772161603E-13</v>
      </c>
      <c r="BZ183" s="14">
        <f>BY183*VLOOKUP('Données projet'!$B$12,Paramètres!$A$1:$I$89,3,0)*VLOOKUP('Données projet'!$B$12,Paramètres!$A$1:$I$89,5,0)</f>
        <v>-5.3205440053716299E-14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426.87921482911719</v>
      </c>
      <c r="CE183" s="62">
        <f t="shared" si="148"/>
        <v>313.49594674441835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-1.1368683772161603E-13</v>
      </c>
      <c r="CU183" s="18">
        <f>CT183*VLOOKUP('Données projet'!$B$13,Paramètres!$A$1:$I$89,3,0)*VLOOKUP('Données projet'!$B$13,Paramètres!$A$1:$I$89,5,0)</f>
        <v>-6.7984728957526396E-14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367.11994336501527</v>
      </c>
      <c r="CZ183" s="62">
        <f t="shared" si="150"/>
        <v>390.81417197867484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1.7765570668856974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1.2186416686660147E-22</v>
      </c>
      <c r="DI183" s="24">
        <f t="shared" si="175"/>
        <v>1.7765570668856974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1.9895196601282805E-13</v>
      </c>
      <c r="O184" s="14">
        <f>N184*VLOOKUP('Données projet'!$B$9,Paramètres!$A$1:$I$89,3,0)*VLOOKUP('Données projet'!$B$9,Paramètres!$A$1:$I$89,5,0)</f>
        <v>1.8001173884840681E-13</v>
      </c>
      <c r="P184" s="14">
        <f t="shared" si="141"/>
        <v>2.5254331426407198E-12</v>
      </c>
      <c r="Q184" s="22">
        <f t="shared" si="162"/>
        <v>4.7119831685935622E-12</v>
      </c>
      <c r="R184" s="62">
        <f t="shared" si="109"/>
        <v>289.47336565868881</v>
      </c>
      <c r="S184" s="62">
        <f ca="1">AVERAGE(OFFSET($R$3,0,0,'Données projet'!$E$9+1,1))-AVERAGE(OFFSET($H$3,0,0,'Données projet'!$E$9+1,1))</f>
        <v>312.43110610485337</v>
      </c>
      <c r="T184" s="62">
        <f t="shared" si="142"/>
        <v>442.54749157177571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2.7149638560936117E-2</v>
      </c>
      <c r="AA184" s="23">
        <f>EXP(-LN(2)/25)*AA183+(1-EXP(-LN(2)/25))/(LN(2)/25)*Calculateur!V184*Calculateur!X184*VLOOKUP('Données projet'!$B$9,Paramètres!$A$1:$I$89,3,0)*0.475*44/12</f>
        <v>1.430859459045904E-2</v>
      </c>
      <c r="AB184" s="23">
        <f>EXP(-LN(2)/2)*AB183+(1-EXP(-LN(2)/2))/(LN(2)/2)*V184*Y184*VLOOKUP('Données projet'!$B$9,Paramètres!$A$1:$I$89,3,0)*0.475*44/12</f>
        <v>7.1904277401692573E-23</v>
      </c>
      <c r="AC184" s="24">
        <f t="shared" si="163"/>
        <v>4.1458233151395157E-2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-5.6843418860808015E-14</v>
      </c>
      <c r="AJ184" s="14">
        <f>AI184*VLOOKUP('Données projet'!$B$10,Paramètres!$A$1:$I$89,3,0)*VLOOKUP('Données projet'!$B$10,Paramètres!$A$1:$I$89,5,0)</f>
        <v>-4.7884896048344674E-14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445.02659128831181</v>
      </c>
      <c r="AO184" s="62">
        <f t="shared" si="144"/>
        <v>281.06176764290592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0.23462322697854643</v>
      </c>
      <c r="AV184" s="23">
        <f>EXP(-LN(2)/25)*AV183+(1-EXP(-LN(2)/25))/(LN(2)/25)*Calculateur!AQ184*Calculateur!AS184*VLOOKUP('Données projet'!$B$10,Paramètres!$A$1:$I$89,3,0)*0.475*44/12</f>
        <v>1.6972953583165241E-2</v>
      </c>
      <c r="AW184" s="23">
        <f>EXP(-LN(2)/2)*AW183+(1-EXP(-LN(2)/2))/(LN(2)/2)*AQ184*AT184*VLOOKUP('Données projet'!$B$10,Paramètres!$A$1:$I$89,3,0)*0.475*44/12</f>
        <v>3.5272466704281425E-22</v>
      </c>
      <c r="AX184" s="23">
        <f t="shared" si="166"/>
        <v>0.25159618056171168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-5.6843418860808015E-14</v>
      </c>
      <c r="BE184" s="14">
        <f>BD184*VLOOKUP('Données projet'!$B$11,Paramètres!$A$1:$I$89,3,0)*VLOOKUP('Données projet'!$B$11,Paramètres!$A$1:$I$89,5,0)</f>
        <v>-5.1431925385259088E-14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472.46893084347687</v>
      </c>
      <c r="BJ184" s="62">
        <f t="shared" si="146"/>
        <v>297.32483725004136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0.25200272527325362</v>
      </c>
      <c r="BQ184" s="23">
        <f>EXP(-LN(2)/25)*BQ183+(1-EXP(-LN(2)/25))/(LN(2)/25)*Calculateur!BL184*Calculateur!BN184*VLOOKUP('Données projet'!$B$11,Paramètres!$A$1:$I$89,3,0)*0.475*44/12</f>
        <v>1.823020940414042E-2</v>
      </c>
      <c r="BR184" s="23">
        <f>EXP(-LN(2)/2)*BR183+(1-EXP(-LN(2)/2))/(LN(2)/2)*BL184*BO184*VLOOKUP('Données projet'!$B$11,Paramètres!$A$1:$I$89,3,0)*0.475*44/12</f>
        <v>3.7885242015709665E-22</v>
      </c>
      <c r="BS184" s="24">
        <f t="shared" si="169"/>
        <v>0.27023293467739407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-1.1368683772161603E-13</v>
      </c>
      <c r="BZ184" s="14">
        <f>BY184*VLOOKUP('Données projet'!$B$12,Paramètres!$A$1:$I$89,3,0)*VLOOKUP('Données projet'!$B$12,Paramètres!$A$1:$I$89,5,0)</f>
        <v>-5.3205440053716299E-14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426.87921482911719</v>
      </c>
      <c r="CE184" s="62">
        <f t="shared" si="148"/>
        <v>313.49594674441835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-1.1368683772161603E-13</v>
      </c>
      <c r="CU184" s="18">
        <f>CT184*VLOOKUP('Données projet'!$B$13,Paramètres!$A$1:$I$89,3,0)*VLOOKUP('Données projet'!$B$13,Paramètres!$A$1:$I$89,5,0)</f>
        <v>-6.7984728957526396E-14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367.11994336501527</v>
      </c>
      <c r="CZ184" s="62">
        <f t="shared" si="150"/>
        <v>390.81417197867484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1.7417198663968838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8.617097877502288E-23</v>
      </c>
      <c r="DI184" s="24">
        <f t="shared" si="175"/>
        <v>1.7417198663968838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1.9895196601282805E-13</v>
      </c>
      <c r="O185" s="14">
        <f>N185*VLOOKUP('Données projet'!$B$9,Paramètres!$A$1:$I$89,3,0)*VLOOKUP('Données projet'!$B$9,Paramètres!$A$1:$I$89,5,0)</f>
        <v>1.8001173884840681E-13</v>
      </c>
      <c r="P185" s="14">
        <f t="shared" si="141"/>
        <v>2.5254331426407198E-12</v>
      </c>
      <c r="Q185" s="22">
        <f t="shared" si="162"/>
        <v>4.7119831685935622E-12</v>
      </c>
      <c r="R185" s="62">
        <f t="shared" si="109"/>
        <v>289.54032746824913</v>
      </c>
      <c r="S185" s="62">
        <f ca="1">AVERAGE(OFFSET($R$3,0,0,'Données projet'!$E$9+1,1))-AVERAGE(OFFSET($H$3,0,0,'Données projet'!$E$9+1,1))</f>
        <v>312.43110610485337</v>
      </c>
      <c r="T185" s="62">
        <f t="shared" si="142"/>
        <v>442.54749157177571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2.6617250708400552E-2</v>
      </c>
      <c r="AA185" s="23">
        <f>EXP(-LN(2)/25)*AA184+(1-EXP(-LN(2)/25))/(LN(2)/25)*Calculateur!V185*Calculateur!X185*VLOOKUP('Données projet'!$B$9,Paramètres!$A$1:$I$89,3,0)*0.475*44/12</f>
        <v>1.391732531892665E-2</v>
      </c>
      <c r="AB185" s="23">
        <f>EXP(-LN(2)/2)*AB184+(1-EXP(-LN(2)/2))/(LN(2)/2)*V185*Y185*VLOOKUP('Données projet'!$B$9,Paramètres!$A$1:$I$89,3,0)*0.475*44/12</f>
        <v>5.0844002147055445E-23</v>
      </c>
      <c r="AC185" s="24">
        <f t="shared" si="163"/>
        <v>4.0534576027327199E-2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-5.6843418860808015E-14</v>
      </c>
      <c r="AJ185" s="14">
        <f>AI185*VLOOKUP('Données projet'!$B$10,Paramètres!$A$1:$I$89,3,0)*VLOOKUP('Données projet'!$B$10,Paramètres!$A$1:$I$89,5,0)</f>
        <v>-4.7884896048344674E-14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445.02659128831181</v>
      </c>
      <c r="AO185" s="62">
        <f t="shared" si="144"/>
        <v>281.06176764290592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0.23002240860353504</v>
      </c>
      <c r="AV185" s="23">
        <f>EXP(-LN(2)/25)*AV184+(1-EXP(-LN(2)/25))/(LN(2)/25)*Calculateur!AQ185*Calculateur!AS185*VLOOKUP('Données projet'!$B$10,Paramètres!$A$1:$I$89,3,0)*0.475*44/12</f>
        <v>1.6508827274864749E-2</v>
      </c>
      <c r="AW185" s="23">
        <f>EXP(-LN(2)/2)*AW184+(1-EXP(-LN(2)/2))/(LN(2)/2)*AQ185*AT185*VLOOKUP('Données projet'!$B$10,Paramètres!$A$1:$I$89,3,0)*0.475*44/12</f>
        <v>2.4941400395774108E-22</v>
      </c>
      <c r="AX185" s="23">
        <f t="shared" si="166"/>
        <v>0.24653123587839978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-5.6843418860808015E-14</v>
      </c>
      <c r="BE185" s="14">
        <f>BD185*VLOOKUP('Données projet'!$B$11,Paramètres!$A$1:$I$89,3,0)*VLOOKUP('Données projet'!$B$11,Paramètres!$A$1:$I$89,5,0)</f>
        <v>-5.1431925385259088E-14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472.46893084347687</v>
      </c>
      <c r="BJ185" s="62">
        <f t="shared" si="146"/>
        <v>297.32483725004136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0.24706110553713029</v>
      </c>
      <c r="BQ185" s="23">
        <f>EXP(-LN(2)/25)*BQ184+(1-EXP(-LN(2)/25))/(LN(2)/25)*Calculateur!BL185*Calculateur!BN185*VLOOKUP('Données projet'!$B$11,Paramètres!$A$1:$I$89,3,0)*0.475*44/12</f>
        <v>1.7731703369299152E-2</v>
      </c>
      <c r="BR185" s="23">
        <f>EXP(-LN(2)/2)*BR184+(1-EXP(-LN(2)/2))/(LN(2)/2)*BL185*BO185*VLOOKUP('Données projet'!$B$11,Paramètres!$A$1:$I$89,3,0)*0.475*44/12</f>
        <v>2.678891153620181E-22</v>
      </c>
      <c r="BS185" s="24">
        <f t="shared" si="169"/>
        <v>0.26479280890642942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-1.1368683772161603E-13</v>
      </c>
      <c r="BZ185" s="14">
        <f>BY185*VLOOKUP('Données projet'!$B$12,Paramètres!$A$1:$I$89,3,0)*VLOOKUP('Données projet'!$B$12,Paramètres!$A$1:$I$89,5,0)</f>
        <v>-5.3205440053716299E-14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426.87921482911719</v>
      </c>
      <c r="CE185" s="62">
        <f t="shared" si="148"/>
        <v>313.49594674441835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-1.1368683772161603E-13</v>
      </c>
      <c r="CU185" s="18">
        <f>CT185*VLOOKUP('Données projet'!$B$13,Paramètres!$A$1:$I$89,3,0)*VLOOKUP('Données projet'!$B$13,Paramètres!$A$1:$I$89,5,0)</f>
        <v>-6.7984728957526396E-14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367.11994336501527</v>
      </c>
      <c r="CZ185" s="62">
        <f t="shared" si="150"/>
        <v>390.81417197867484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1.7075658021610616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6.0932083433300733E-23</v>
      </c>
      <c r="DI185" s="24">
        <f t="shared" si="175"/>
        <v>1.7075658021610616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1.9895196601282805E-13</v>
      </c>
      <c r="O186" s="14">
        <f>N186*VLOOKUP('Données projet'!$B$9,Paramètres!$A$1:$I$89,3,0)*VLOOKUP('Données projet'!$B$9,Paramètres!$A$1:$I$89,5,0)</f>
        <v>1.8001173884840681E-13</v>
      </c>
      <c r="P186" s="14">
        <f t="shared" si="141"/>
        <v>2.5254331426407198E-12</v>
      </c>
      <c r="Q186" s="22">
        <f t="shared" si="162"/>
        <v>4.7119831685935622E-12</v>
      </c>
      <c r="R186" s="62">
        <f t="shared" si="109"/>
        <v>289.60612764011768</v>
      </c>
      <c r="S186" s="62">
        <f ca="1">AVERAGE(OFFSET($R$3,0,0,'Données projet'!$E$9+1,1))-AVERAGE(OFFSET($H$3,0,0,'Données projet'!$E$9+1,1))</f>
        <v>312.43110610485337</v>
      </c>
      <c r="T186" s="62">
        <f t="shared" si="142"/>
        <v>442.54749157177571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2.6095302656928686E-2</v>
      </c>
      <c r="AA186" s="23">
        <f>EXP(-LN(2)/25)*AA185+(1-EXP(-LN(2)/25))/(LN(2)/25)*Calculateur!V186*Calculateur!X186*VLOOKUP('Données projet'!$B$9,Paramètres!$A$1:$I$89,3,0)*0.475*44/12</f>
        <v>1.3536755326200271E-2</v>
      </c>
      <c r="AB186" s="23">
        <f>EXP(-LN(2)/2)*AB185+(1-EXP(-LN(2)/2))/(LN(2)/2)*V186*Y186*VLOOKUP('Données projet'!$B$9,Paramètres!$A$1:$I$89,3,0)*0.475*44/12</f>
        <v>3.5952138700846287E-23</v>
      </c>
      <c r="AC186" s="24">
        <f t="shared" si="163"/>
        <v>3.9632057983128959E-2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-5.6843418860808015E-14</v>
      </c>
      <c r="AJ186" s="14">
        <f>AI186*VLOOKUP('Données projet'!$B$10,Paramètres!$A$1:$I$89,3,0)*VLOOKUP('Données projet'!$B$10,Paramètres!$A$1:$I$89,5,0)</f>
        <v>-4.7884896048344674E-14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445.02659128831181</v>
      </c>
      <c r="AO186" s="62">
        <f t="shared" si="144"/>
        <v>281.06176764290592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0.22551180947063551</v>
      </c>
      <c r="AV186" s="23">
        <f>EXP(-LN(2)/25)*AV185+(1-EXP(-LN(2)/25))/(LN(2)/25)*Calculateur!AQ186*Calculateur!AS186*VLOOKUP('Données projet'!$B$10,Paramètres!$A$1:$I$89,3,0)*0.475*44/12</f>
        <v>1.6057392524872077E-2</v>
      </c>
      <c r="AW186" s="23">
        <f>EXP(-LN(2)/2)*AW185+(1-EXP(-LN(2)/2))/(LN(2)/2)*AQ186*AT186*VLOOKUP('Données projet'!$B$10,Paramètres!$A$1:$I$89,3,0)*0.475*44/12</f>
        <v>1.7636233352140712E-22</v>
      </c>
      <c r="AX186" s="23">
        <f t="shared" si="166"/>
        <v>0.24156920199550758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-5.6843418860808015E-14</v>
      </c>
      <c r="BE186" s="14">
        <f>BD186*VLOOKUP('Données projet'!$B$11,Paramètres!$A$1:$I$89,3,0)*VLOOKUP('Données projet'!$B$11,Paramètres!$A$1:$I$89,5,0)</f>
        <v>-5.1431925385259088E-14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472.46893084347687</v>
      </c>
      <c r="BJ186" s="62">
        <f t="shared" si="146"/>
        <v>297.32483725004136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0.24221638794994191</v>
      </c>
      <c r="BQ186" s="23">
        <f>EXP(-LN(2)/25)*BQ185+(1-EXP(-LN(2)/25))/(LN(2)/25)*Calculateur!BL186*Calculateur!BN186*VLOOKUP('Données projet'!$B$11,Paramètres!$A$1:$I$89,3,0)*0.475*44/12</f>
        <v>1.7246829008195911E-2</v>
      </c>
      <c r="BR186" s="23">
        <f>EXP(-LN(2)/2)*BR185+(1-EXP(-LN(2)/2))/(LN(2)/2)*BL186*BO186*VLOOKUP('Données projet'!$B$11,Paramètres!$A$1:$I$89,3,0)*0.475*44/12</f>
        <v>1.8942621007854832E-22</v>
      </c>
      <c r="BS186" s="24">
        <f t="shared" si="169"/>
        <v>0.25946321695813784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-1.1368683772161603E-13</v>
      </c>
      <c r="BZ186" s="14">
        <f>BY186*VLOOKUP('Données projet'!$B$12,Paramètres!$A$1:$I$89,3,0)*VLOOKUP('Données projet'!$B$12,Paramètres!$A$1:$I$89,5,0)</f>
        <v>-5.3205440053716299E-14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426.87921482911719</v>
      </c>
      <c r="CE186" s="62">
        <f t="shared" si="148"/>
        <v>313.49594674441835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-1.1368683772161603E-13</v>
      </c>
      <c r="CU186" s="18">
        <f>CT186*VLOOKUP('Données projet'!$B$13,Paramètres!$A$1:$I$89,3,0)*VLOOKUP('Données projet'!$B$13,Paramètres!$A$1:$I$89,5,0)</f>
        <v>-6.7984728957526396E-14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367.11994336501527</v>
      </c>
      <c r="CZ186" s="62">
        <f t="shared" si="150"/>
        <v>390.81417197867484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1.6740814782929816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4.308548938751144E-23</v>
      </c>
      <c r="DI186" s="24">
        <f t="shared" si="175"/>
        <v>1.6740814782929816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1.9895196601282805E-13</v>
      </c>
      <c r="O187" s="14">
        <f>N187*VLOOKUP('Données projet'!$B$9,Paramètres!$A$1:$I$89,3,0)*VLOOKUP('Données projet'!$B$9,Paramètres!$A$1:$I$89,5,0)</f>
        <v>1.8001173884840681E-13</v>
      </c>
      <c r="P187" s="14">
        <f t="shared" si="141"/>
        <v>2.5254331426407198E-12</v>
      </c>
      <c r="Q187" s="22">
        <f t="shared" si="162"/>
        <v>4.7119831685935622E-12</v>
      </c>
      <c r="R187" s="62">
        <f t="shared" si="109"/>
        <v>289.67078632611145</v>
      </c>
      <c r="S187" s="62">
        <f ca="1">AVERAGE(OFFSET($R$3,0,0,'Données projet'!$E$9+1,1))-AVERAGE(OFFSET($H$3,0,0,'Données projet'!$E$9+1,1))</f>
        <v>312.43110610485337</v>
      </c>
      <c r="T187" s="62">
        <f t="shared" si="142"/>
        <v>442.54749157177571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2.5583589688389304E-2</v>
      </c>
      <c r="AA187" s="23">
        <f>EXP(-LN(2)/25)*AA186+(1-EXP(-LN(2)/25))/(LN(2)/25)*Calculateur!V187*Calculateur!X187*VLOOKUP('Données projet'!$B$9,Paramètres!$A$1:$I$89,3,0)*0.475*44/12</f>
        <v>1.31665920399383E-2</v>
      </c>
      <c r="AB187" s="23">
        <f>EXP(-LN(2)/2)*AB186+(1-EXP(-LN(2)/2))/(LN(2)/2)*V187*Y187*VLOOKUP('Données projet'!$B$9,Paramètres!$A$1:$I$89,3,0)*0.475*44/12</f>
        <v>2.5422001073527723E-23</v>
      </c>
      <c r="AC187" s="24">
        <f t="shared" si="163"/>
        <v>3.8750181728327601E-2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-5.6843418860808015E-14</v>
      </c>
      <c r="AJ187" s="14">
        <f>AI187*VLOOKUP('Données projet'!$B$10,Paramètres!$A$1:$I$89,3,0)*VLOOKUP('Données projet'!$B$10,Paramètres!$A$1:$I$89,5,0)</f>
        <v>-4.7884896048344674E-14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445.02659128831181</v>
      </c>
      <c r="AO187" s="62">
        <f t="shared" si="144"/>
        <v>281.06176764290592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0.22108966043553832</v>
      </c>
      <c r="AV187" s="23">
        <f>EXP(-LN(2)/25)*AV186+(1-EXP(-LN(2)/25))/(LN(2)/25)*Calculateur!AQ187*Calculateur!AS187*VLOOKUP('Données projet'!$B$10,Paramètres!$A$1:$I$89,3,0)*0.475*44/12</f>
        <v>1.5618302281857876E-2</v>
      </c>
      <c r="AW187" s="23">
        <f>EXP(-LN(2)/2)*AW186+(1-EXP(-LN(2)/2))/(LN(2)/2)*AQ187*AT187*VLOOKUP('Données projet'!$B$10,Paramètres!$A$1:$I$89,3,0)*0.475*44/12</f>
        <v>1.2470700197887054E-22</v>
      </c>
      <c r="AX187" s="23">
        <f t="shared" si="166"/>
        <v>0.23670796271739619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-5.6843418860808015E-14</v>
      </c>
      <c r="BE187" s="14">
        <f>BD187*VLOOKUP('Données projet'!$B$11,Paramètres!$A$1:$I$89,3,0)*VLOOKUP('Données projet'!$B$11,Paramètres!$A$1:$I$89,5,0)</f>
        <v>-5.1431925385259088E-14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472.46893084347687</v>
      </c>
      <c r="BJ187" s="62">
        <f t="shared" si="146"/>
        <v>297.32483725004136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0.23746667231965235</v>
      </c>
      <c r="BQ187" s="23">
        <f>EXP(-LN(2)/25)*BQ186+(1-EXP(-LN(2)/25))/(LN(2)/25)*Calculateur!BL187*Calculateur!BN187*VLOOKUP('Données projet'!$B$11,Paramètres!$A$1:$I$89,3,0)*0.475*44/12</f>
        <v>1.6775213561995475E-2</v>
      </c>
      <c r="BR187" s="23">
        <f>EXP(-LN(2)/2)*BR186+(1-EXP(-LN(2)/2))/(LN(2)/2)*BL187*BO187*VLOOKUP('Données projet'!$B$11,Paramètres!$A$1:$I$89,3,0)*0.475*44/12</f>
        <v>1.3394455768100905E-22</v>
      </c>
      <c r="BS187" s="24">
        <f t="shared" si="169"/>
        <v>0.25424188588164781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-1.1368683772161603E-13</v>
      </c>
      <c r="BZ187" s="14">
        <f>BY187*VLOOKUP('Données projet'!$B$12,Paramètres!$A$1:$I$89,3,0)*VLOOKUP('Données projet'!$B$12,Paramètres!$A$1:$I$89,5,0)</f>
        <v>-5.3205440053716299E-14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426.87921482911719</v>
      </c>
      <c r="CE187" s="62">
        <f t="shared" si="148"/>
        <v>313.49594674441835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-1.1368683772161603E-13</v>
      </c>
      <c r="CU187" s="18">
        <f>CT187*VLOOKUP('Données projet'!$B$13,Paramètres!$A$1:$I$89,3,0)*VLOOKUP('Données projet'!$B$13,Paramètres!$A$1:$I$89,5,0)</f>
        <v>-6.7984728957526396E-14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367.11994336501527</v>
      </c>
      <c r="CZ187" s="62">
        <f t="shared" si="150"/>
        <v>390.81417197867484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1.6412537615925338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3.0466041716650367E-23</v>
      </c>
      <c r="DI187" s="24">
        <f t="shared" si="175"/>
        <v>1.6412537615925338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1.9895196601282805E-13</v>
      </c>
      <c r="O188" s="14">
        <f>N188*VLOOKUP('Données projet'!$B$9,Paramètres!$A$1:$I$89,3,0)*VLOOKUP('Données projet'!$B$9,Paramètres!$A$1:$I$89,5,0)</f>
        <v>1.8001173884840681E-13</v>
      </c>
      <c r="P188" s="14">
        <f t="shared" si="141"/>
        <v>2.5254331426407198E-12</v>
      </c>
      <c r="Q188" s="22">
        <f t="shared" si="162"/>
        <v>4.7119831685935622E-12</v>
      </c>
      <c r="R188" s="62">
        <f t="shared" si="109"/>
        <v>289.73432332845846</v>
      </c>
      <c r="S188" s="62">
        <f ca="1">AVERAGE(OFFSET($R$3,0,0,'Données projet'!$E$9+1,1))-AVERAGE(OFFSET($H$3,0,0,'Données projet'!$E$9+1,1))</f>
        <v>312.43110610485337</v>
      </c>
      <c r="T188" s="62">
        <f t="shared" si="142"/>
        <v>442.54749157177571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2.5081911099048889E-2</v>
      </c>
      <c r="AA188" s="23">
        <f>EXP(-LN(2)/25)*AA187+(1-EXP(-LN(2)/25))/(LN(2)/25)*Calculateur!V188*Calculateur!X188*VLOOKUP('Données projet'!$B$9,Paramètres!$A$1:$I$89,3,0)*0.475*44/12</f>
        <v>1.2806550888205205E-2</v>
      </c>
      <c r="AB188" s="23">
        <f>EXP(-LN(2)/2)*AB187+(1-EXP(-LN(2)/2))/(LN(2)/2)*V188*Y188*VLOOKUP('Données projet'!$B$9,Paramètres!$A$1:$I$89,3,0)*0.475*44/12</f>
        <v>1.7976069350423143E-23</v>
      </c>
      <c r="AC188" s="24">
        <f t="shared" si="163"/>
        <v>3.7888461987254096E-2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-5.6843418860808015E-14</v>
      </c>
      <c r="AJ188" s="14">
        <f>AI188*VLOOKUP('Données projet'!$B$10,Paramètres!$A$1:$I$89,3,0)*VLOOKUP('Données projet'!$B$10,Paramètres!$A$1:$I$89,5,0)</f>
        <v>-4.7884896048344674E-14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445.02659128831181</v>
      </c>
      <c r="AO188" s="62">
        <f t="shared" si="144"/>
        <v>281.06176764290592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0.21675422704577482</v>
      </c>
      <c r="AV188" s="23">
        <f>EXP(-LN(2)/25)*AV187+(1-EXP(-LN(2)/25))/(LN(2)/25)*Calculateur!AQ188*Calculateur!AS188*VLOOKUP('Données projet'!$B$10,Paramètres!$A$1:$I$89,3,0)*0.475*44/12</f>
        <v>1.5191218984629652E-2</v>
      </c>
      <c r="AW188" s="23">
        <f>EXP(-LN(2)/2)*AW187+(1-EXP(-LN(2)/2))/(LN(2)/2)*AQ188*AT188*VLOOKUP('Données projet'!$B$10,Paramètres!$A$1:$I$89,3,0)*0.475*44/12</f>
        <v>8.8181166760703562E-23</v>
      </c>
      <c r="AX188" s="23">
        <f t="shared" si="166"/>
        <v>0.23194544603040448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-5.6843418860808015E-14</v>
      </c>
      <c r="BE188" s="14">
        <f>BD188*VLOOKUP('Données projet'!$B$11,Paramètres!$A$1:$I$89,3,0)*VLOOKUP('Données projet'!$B$11,Paramètres!$A$1:$I$89,5,0)</f>
        <v>-5.1431925385259088E-14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472.46893084347687</v>
      </c>
      <c r="BJ188" s="62">
        <f t="shared" si="146"/>
        <v>297.32483725004136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0.23281009571583228</v>
      </c>
      <c r="BQ188" s="23">
        <f>EXP(-LN(2)/25)*BQ187+(1-EXP(-LN(2)/25))/(LN(2)/25)*Calculateur!BL188*Calculateur!BN188*VLOOKUP('Données projet'!$B$11,Paramètres!$A$1:$I$89,3,0)*0.475*44/12</f>
        <v>1.6316494464972568E-2</v>
      </c>
      <c r="BR188" s="23">
        <f>EXP(-LN(2)/2)*BR187+(1-EXP(-LN(2)/2))/(LN(2)/2)*BL188*BO188*VLOOKUP('Données projet'!$B$11,Paramètres!$A$1:$I$89,3,0)*0.475*44/12</f>
        <v>9.4713105039274161E-23</v>
      </c>
      <c r="BS188" s="24">
        <f t="shared" si="169"/>
        <v>0.24912659018080485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-1.1368683772161603E-13</v>
      </c>
      <c r="BZ188" s="14">
        <f>BY188*VLOOKUP('Données projet'!$B$12,Paramètres!$A$1:$I$89,3,0)*VLOOKUP('Données projet'!$B$12,Paramètres!$A$1:$I$89,5,0)</f>
        <v>-5.3205440053716299E-14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426.87921482911719</v>
      </c>
      <c r="CE188" s="62">
        <f t="shared" si="148"/>
        <v>313.49594674441835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-1.1368683772161603E-13</v>
      </c>
      <c r="CU188" s="18">
        <f>CT188*VLOOKUP('Données projet'!$B$13,Paramètres!$A$1:$I$89,3,0)*VLOOKUP('Données projet'!$B$13,Paramètres!$A$1:$I$89,5,0)</f>
        <v>-6.7984728957526396E-14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367.11994336501527</v>
      </c>
      <c r="CZ188" s="62">
        <f t="shared" si="150"/>
        <v>390.81417197867484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1.6090697763936517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2.154274469375572E-23</v>
      </c>
      <c r="DI188" s="24">
        <f t="shared" si="175"/>
        <v>1.6090697763936517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1.9895196601282805E-13</v>
      </c>
      <c r="O189" s="14">
        <f>N189*VLOOKUP('Données projet'!$B$9,Paramètres!$A$1:$I$89,3,0)*VLOOKUP('Données projet'!$B$9,Paramètres!$A$1:$I$89,5,0)</f>
        <v>1.8001173884840681E-13</v>
      </c>
      <c r="P189" s="14">
        <f t="shared" si="141"/>
        <v>2.5254331426407198E-12</v>
      </c>
      <c r="Q189" s="22">
        <f t="shared" si="162"/>
        <v>4.7119831685935622E-12</v>
      </c>
      <c r="R189" s="62">
        <f t="shared" si="109"/>
        <v>289.79675810586212</v>
      </c>
      <c r="S189" s="62">
        <f ca="1">AVERAGE(OFFSET($R$3,0,0,'Données projet'!$E$9+1,1))-AVERAGE(OFFSET($H$3,0,0,'Données projet'!$E$9+1,1))</f>
        <v>312.43110610485337</v>
      </c>
      <c r="T189" s="62">
        <f t="shared" si="142"/>
        <v>442.54749157177571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2.4590070120851713E-2</v>
      </c>
      <c r="AA189" s="23">
        <f>EXP(-LN(2)/25)*AA188+(1-EXP(-LN(2)/25))/(LN(2)/25)*Calculateur!V189*Calculateur!X189*VLOOKUP('Données projet'!$B$9,Paramètres!$A$1:$I$89,3,0)*0.475*44/12</f>
        <v>1.2456355080699992E-2</v>
      </c>
      <c r="AB189" s="23">
        <f>EXP(-LN(2)/2)*AB188+(1-EXP(-LN(2)/2))/(LN(2)/2)*V189*Y189*VLOOKUP('Données projet'!$B$9,Paramètres!$A$1:$I$89,3,0)*0.475*44/12</f>
        <v>1.2711000536763861E-23</v>
      </c>
      <c r="AC189" s="24">
        <f t="shared" si="163"/>
        <v>3.7046425201551707E-2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-5.6843418860808015E-14</v>
      </c>
      <c r="AJ189" s="14">
        <f>AI189*VLOOKUP('Données projet'!$B$10,Paramètres!$A$1:$I$89,3,0)*VLOOKUP('Données projet'!$B$10,Paramètres!$A$1:$I$89,5,0)</f>
        <v>-4.7884896048344674E-14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445.02659128831181</v>
      </c>
      <c r="AO189" s="62">
        <f t="shared" si="144"/>
        <v>281.06176764290592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0.21250380886043133</v>
      </c>
      <c r="AV189" s="23">
        <f>EXP(-LN(2)/25)*AV188+(1-EXP(-LN(2)/25))/(LN(2)/25)*Calculateur!AQ189*Calculateur!AS189*VLOOKUP('Données projet'!$B$10,Paramètres!$A$1:$I$89,3,0)*0.475*44/12</f>
        <v>1.4775814302623468E-2</v>
      </c>
      <c r="AW189" s="23">
        <f>EXP(-LN(2)/2)*AW188+(1-EXP(-LN(2)/2))/(LN(2)/2)*AQ189*AT189*VLOOKUP('Données projet'!$B$10,Paramètres!$A$1:$I$89,3,0)*0.475*44/12</f>
        <v>6.235350098943527E-23</v>
      </c>
      <c r="AX189" s="23">
        <f t="shared" si="166"/>
        <v>0.22727962316305481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-5.6843418860808015E-14</v>
      </c>
      <c r="BE189" s="14">
        <f>BD189*VLOOKUP('Données projet'!$B$11,Paramètres!$A$1:$I$89,3,0)*VLOOKUP('Données projet'!$B$11,Paramètres!$A$1:$I$89,5,0)</f>
        <v>-5.1431925385259088E-14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472.46893084347687</v>
      </c>
      <c r="BJ189" s="62">
        <f t="shared" si="146"/>
        <v>297.32483725004136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0.22824483173898186</v>
      </c>
      <c r="BQ189" s="23">
        <f>EXP(-LN(2)/25)*BQ188+(1-EXP(-LN(2)/25))/(LN(2)/25)*Calculateur!BL189*Calculateur!BN189*VLOOKUP('Données projet'!$B$11,Paramètres!$A$1:$I$89,3,0)*0.475*44/12</f>
        <v>1.5870319065780743E-2</v>
      </c>
      <c r="BR189" s="23">
        <f>EXP(-LN(2)/2)*BR188+(1-EXP(-LN(2)/2))/(LN(2)/2)*BL189*BO189*VLOOKUP('Données projet'!$B$11,Paramètres!$A$1:$I$89,3,0)*0.475*44/12</f>
        <v>6.6972278840504525E-23</v>
      </c>
      <c r="BS189" s="24">
        <f t="shared" si="169"/>
        <v>0.24411515080476259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-1.1368683772161603E-13</v>
      </c>
      <c r="BZ189" s="14">
        <f>BY189*VLOOKUP('Données projet'!$B$12,Paramètres!$A$1:$I$89,3,0)*VLOOKUP('Données projet'!$B$12,Paramètres!$A$1:$I$89,5,0)</f>
        <v>-5.3205440053716299E-14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426.87921482911719</v>
      </c>
      <c r="CE189" s="62">
        <f t="shared" si="148"/>
        <v>313.49594674441835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-1.1368683772161603E-13</v>
      </c>
      <c r="CU189" s="18">
        <f>CT189*VLOOKUP('Données projet'!$B$13,Paramètres!$A$1:$I$89,3,0)*VLOOKUP('Données projet'!$B$13,Paramètres!$A$1:$I$89,5,0)</f>
        <v>-6.7984728957526396E-14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367.11994336501527</v>
      </c>
      <c r="CZ189" s="62">
        <f t="shared" si="150"/>
        <v>390.81417197867484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1.577516899514227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1.5233020858325183E-23</v>
      </c>
      <c r="DI189" s="24">
        <f t="shared" si="175"/>
        <v>1.577516899514227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1.9895196601282805E-13</v>
      </c>
      <c r="O190" s="14">
        <f>N190*VLOOKUP('Données projet'!$B$9,Paramètres!$A$1:$I$89,3,0)*VLOOKUP('Données projet'!$B$9,Paramètres!$A$1:$I$89,5,0)</f>
        <v>1.8001173884840681E-13</v>
      </c>
      <c r="P190" s="14">
        <f t="shared" si="141"/>
        <v>2.5254331426407198E-12</v>
      </c>
      <c r="Q190" s="22">
        <f t="shared" si="162"/>
        <v>4.7119831685935622E-12</v>
      </c>
      <c r="R190" s="62">
        <f t="shared" si="109"/>
        <v>289.85810977946113</v>
      </c>
      <c r="S190" s="62">
        <f ca="1">AVERAGE(OFFSET($R$3,0,0,'Données projet'!$E$9+1,1))-AVERAGE(OFFSET($H$3,0,0,'Données projet'!$E$9+1,1))</f>
        <v>312.43110610485337</v>
      </c>
      <c r="T190" s="62">
        <f t="shared" si="142"/>
        <v>442.54749157177571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2.4107873844243607E-2</v>
      </c>
      <c r="AA190" s="23">
        <f>EXP(-LN(2)/25)*AA189+(1-EXP(-LN(2)/25))/(LN(2)/25)*Calculateur!V190*Calculateur!X190*VLOOKUP('Données projet'!$B$9,Paramètres!$A$1:$I$89,3,0)*0.475*44/12</f>
        <v>1.2115735395967006E-2</v>
      </c>
      <c r="AB190" s="23">
        <f>EXP(-LN(2)/2)*AB189+(1-EXP(-LN(2)/2))/(LN(2)/2)*V190*Y190*VLOOKUP('Données projet'!$B$9,Paramètres!$A$1:$I$89,3,0)*0.475*44/12</f>
        <v>8.9880346752115717E-24</v>
      </c>
      <c r="AC190" s="24">
        <f t="shared" si="163"/>
        <v>3.6223609240210612E-2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-5.6843418860808015E-14</v>
      </c>
      <c r="AJ190" s="14">
        <f>AI190*VLOOKUP('Données projet'!$B$10,Paramètres!$A$1:$I$89,3,0)*VLOOKUP('Données projet'!$B$10,Paramètres!$A$1:$I$89,5,0)</f>
        <v>-4.7884896048344674E-14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445.02659128831181</v>
      </c>
      <c r="AO190" s="62">
        <f t="shared" si="144"/>
        <v>281.06176764290592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0.2083367387832033</v>
      </c>
      <c r="AV190" s="23">
        <f>EXP(-LN(2)/25)*AV189+(1-EXP(-LN(2)/25))/(LN(2)/25)*Calculateur!AQ190*Calculateur!AS190*VLOOKUP('Données projet'!$B$10,Paramètres!$A$1:$I$89,3,0)*0.475*44/12</f>
        <v>1.4371768883491925E-2</v>
      </c>
      <c r="AW190" s="23">
        <f>EXP(-LN(2)/2)*AW189+(1-EXP(-LN(2)/2))/(LN(2)/2)*AQ190*AT190*VLOOKUP('Données projet'!$B$10,Paramètres!$A$1:$I$89,3,0)*0.475*44/12</f>
        <v>4.4090583380351781E-23</v>
      </c>
      <c r="AX190" s="23">
        <f t="shared" si="166"/>
        <v>0.22270850766669523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-5.6843418860808015E-14</v>
      </c>
      <c r="BE190" s="14">
        <f>BD190*VLOOKUP('Données projet'!$B$11,Paramètres!$A$1:$I$89,3,0)*VLOOKUP('Données projet'!$B$11,Paramètres!$A$1:$I$89,5,0)</f>
        <v>-5.1431925385259088E-14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472.46893084347687</v>
      </c>
      <c r="BJ190" s="62">
        <f t="shared" si="146"/>
        <v>297.32483725004136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0.22376908980418139</v>
      </c>
      <c r="BQ190" s="23">
        <f>EXP(-LN(2)/25)*BQ189+(1-EXP(-LN(2)/25))/(LN(2)/25)*Calculateur!BL190*Calculateur!BN190*VLOOKUP('Données projet'!$B$11,Paramètres!$A$1:$I$89,3,0)*0.475*44/12</f>
        <v>1.5436344356343161E-2</v>
      </c>
      <c r="BR190" s="23">
        <f>EXP(-LN(2)/2)*BR189+(1-EXP(-LN(2)/2))/(LN(2)/2)*BL190*BO190*VLOOKUP('Données projet'!$B$11,Paramètres!$A$1:$I$89,3,0)*0.475*44/12</f>
        <v>4.7356552519637081E-23</v>
      </c>
      <c r="BS190" s="24">
        <f t="shared" si="169"/>
        <v>0.23920543416052456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-1.1368683772161603E-13</v>
      </c>
      <c r="BZ190" s="14">
        <f>BY190*VLOOKUP('Données projet'!$B$12,Paramètres!$A$1:$I$89,3,0)*VLOOKUP('Données projet'!$B$12,Paramètres!$A$1:$I$89,5,0)</f>
        <v>-5.3205440053716299E-14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426.87921482911719</v>
      </c>
      <c r="CE190" s="62">
        <f t="shared" si="148"/>
        <v>313.49594674441835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-1.1368683772161603E-13</v>
      </c>
      <c r="CU190" s="18">
        <f>CT190*VLOOKUP('Données projet'!$B$13,Paramètres!$A$1:$I$89,3,0)*VLOOKUP('Données projet'!$B$13,Paramètres!$A$1:$I$89,5,0)</f>
        <v>-6.7984728957526396E-14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367.11994336501527</v>
      </c>
      <c r="CZ190" s="62">
        <f t="shared" si="150"/>
        <v>390.81417197867484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1.5465827553050533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1.077137234687786E-23</v>
      </c>
      <c r="DI190" s="24">
        <f t="shared" si="175"/>
        <v>1.5465827553050533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1.9895196601282805E-13</v>
      </c>
      <c r="O191" s="14">
        <f>N191*VLOOKUP('Données projet'!$B$9,Paramètres!$A$1:$I$89,3,0)*VLOOKUP('Données projet'!$B$9,Paramètres!$A$1:$I$89,5,0)</f>
        <v>1.8001173884840681E-13</v>
      </c>
      <c r="P191" s="14">
        <f t="shared" si="141"/>
        <v>2.5254331426407198E-12</v>
      </c>
      <c r="Q191" s="22">
        <f t="shared" si="162"/>
        <v>4.7119831685935622E-12</v>
      </c>
      <c r="R191" s="62">
        <f t="shared" si="109"/>
        <v>289.91839713868495</v>
      </c>
      <c r="S191" s="62">
        <f ca="1">AVERAGE(OFFSET($R$3,0,0,'Données projet'!$E$9+1,1))-AVERAGE(OFFSET($H$3,0,0,'Données projet'!$E$9+1,1))</f>
        <v>312.43110610485337</v>
      </c>
      <c r="T191" s="62">
        <f t="shared" si="142"/>
        <v>442.54749157177571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2.3635133142509101E-2</v>
      </c>
      <c r="AA191" s="23">
        <f>EXP(-LN(2)/25)*AA190+(1-EXP(-LN(2)/25))/(LN(2)/25)*Calculateur!V191*Calculateur!X191*VLOOKUP('Données projet'!$B$9,Paramètres!$A$1:$I$89,3,0)*0.475*44/12</f>
        <v>1.1784429974425454E-2</v>
      </c>
      <c r="AB191" s="23">
        <f>EXP(-LN(2)/2)*AB190+(1-EXP(-LN(2)/2))/(LN(2)/2)*V191*Y191*VLOOKUP('Données projet'!$B$9,Paramètres!$A$1:$I$89,3,0)*0.475*44/12</f>
        <v>6.3555002683819306E-24</v>
      </c>
      <c r="AC191" s="24">
        <f t="shared" si="163"/>
        <v>3.5419563116934553E-2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-5.6843418860808015E-14</v>
      </c>
      <c r="AJ191" s="14">
        <f>AI191*VLOOKUP('Données projet'!$B$10,Paramètres!$A$1:$I$89,3,0)*VLOOKUP('Données projet'!$B$10,Paramètres!$A$1:$I$89,5,0)</f>
        <v>-4.7884896048344674E-14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445.02659128831181</v>
      </c>
      <c r="AO191" s="62">
        <f t="shared" si="144"/>
        <v>281.06176764290592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0.20425138240852794</v>
      </c>
      <c r="AV191" s="23">
        <f>EXP(-LN(2)/25)*AV190+(1-EXP(-LN(2)/25))/(LN(2)/25)*Calculateur!AQ191*Calculateur!AS191*VLOOKUP('Données projet'!$B$10,Paramètres!$A$1:$I$89,3,0)*0.475*44/12</f>
        <v>1.3978772107594361E-2</v>
      </c>
      <c r="AW191" s="23">
        <f>EXP(-LN(2)/2)*AW190+(1-EXP(-LN(2)/2))/(LN(2)/2)*AQ191*AT191*VLOOKUP('Données projet'!$B$10,Paramètres!$A$1:$I$89,3,0)*0.475*44/12</f>
        <v>3.1176750494717635E-23</v>
      </c>
      <c r="AX191" s="23">
        <f t="shared" si="166"/>
        <v>0.21823015451612229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-5.6843418860808015E-14</v>
      </c>
      <c r="BE191" s="14">
        <f>BD191*VLOOKUP('Données projet'!$B$11,Paramètres!$A$1:$I$89,3,0)*VLOOKUP('Données projet'!$B$11,Paramètres!$A$1:$I$89,5,0)</f>
        <v>-5.1431925385259088E-14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472.46893084347687</v>
      </c>
      <c r="BJ191" s="62">
        <f t="shared" si="146"/>
        <v>297.32483725004136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0.21938111443878933</v>
      </c>
      <c r="BQ191" s="23">
        <f>EXP(-LN(2)/25)*BQ190+(1-EXP(-LN(2)/25))/(LN(2)/25)*Calculateur!BL191*Calculateur!BN191*VLOOKUP('Données projet'!$B$11,Paramètres!$A$1:$I$89,3,0)*0.475*44/12</f>
        <v>1.5014236708156888E-2</v>
      </c>
      <c r="BR191" s="23">
        <f>EXP(-LN(2)/2)*BR190+(1-EXP(-LN(2)/2))/(LN(2)/2)*BL191*BO191*VLOOKUP('Données projet'!$B$11,Paramètres!$A$1:$I$89,3,0)*0.475*44/12</f>
        <v>3.3486139420252263E-23</v>
      </c>
      <c r="BS191" s="24">
        <f t="shared" si="169"/>
        <v>0.23439535114694621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-1.1368683772161603E-13</v>
      </c>
      <c r="BZ191" s="14">
        <f>BY191*VLOOKUP('Données projet'!$B$12,Paramètres!$A$1:$I$89,3,0)*VLOOKUP('Données projet'!$B$12,Paramètres!$A$1:$I$89,5,0)</f>
        <v>-5.3205440053716299E-14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426.87921482911719</v>
      </c>
      <c r="CE191" s="62">
        <f t="shared" si="148"/>
        <v>313.49594674441835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-1.1368683772161603E-13</v>
      </c>
      <c r="CU191" s="18">
        <f>CT191*VLOOKUP('Données projet'!$B$13,Paramètres!$A$1:$I$89,3,0)*VLOOKUP('Données projet'!$B$13,Paramètres!$A$1:$I$89,5,0)</f>
        <v>-6.7984728957526396E-14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367.11994336501527</v>
      </c>
      <c r="CZ191" s="62">
        <f t="shared" si="150"/>
        <v>390.81417197867484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1.5162552107958567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7.6165104291625917E-24</v>
      </c>
      <c r="DI191" s="24">
        <f t="shared" si="175"/>
        <v>1.5162552107958567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1.9895196601282805E-13</v>
      </c>
      <c r="O192" s="14">
        <f>N192*VLOOKUP('Données projet'!$B$9,Paramètres!$A$1:$I$89,3,0)*VLOOKUP('Données projet'!$B$9,Paramètres!$A$1:$I$89,5,0)</f>
        <v>1.8001173884840681E-13</v>
      </c>
      <c r="P192" s="14">
        <f t="shared" si="141"/>
        <v>2.5254331426407198E-12</v>
      </c>
      <c r="Q192" s="22">
        <f t="shared" si="162"/>
        <v>4.7119831685935622E-12</v>
      </c>
      <c r="R192" s="62">
        <f t="shared" si="109"/>
        <v>289.97763864700858</v>
      </c>
      <c r="S192" s="62">
        <f ca="1">AVERAGE(OFFSET($R$3,0,0,'Données projet'!$E$9+1,1))-AVERAGE(OFFSET($H$3,0,0,'Données projet'!$E$9+1,1))</f>
        <v>312.43110610485337</v>
      </c>
      <c r="T192" s="62">
        <f t="shared" si="142"/>
        <v>442.54749157177571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2.3171662597592253E-2</v>
      </c>
      <c r="AA192" s="23">
        <f>EXP(-LN(2)/25)*AA191+(1-EXP(-LN(2)/25))/(LN(2)/25)*Calculateur!V192*Calculateur!X192*VLOOKUP('Données projet'!$B$9,Paramètres!$A$1:$I$89,3,0)*0.475*44/12</f>
        <v>1.1462184117058552E-2</v>
      </c>
      <c r="AB192" s="23">
        <f>EXP(-LN(2)/2)*AB191+(1-EXP(-LN(2)/2))/(LN(2)/2)*V192*Y192*VLOOKUP('Données projet'!$B$9,Paramètres!$A$1:$I$89,3,0)*0.475*44/12</f>
        <v>4.4940173376057858E-24</v>
      </c>
      <c r="AC192" s="24">
        <f t="shared" si="163"/>
        <v>3.4633846714650807E-2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-5.6843418860808015E-14</v>
      </c>
      <c r="AJ192" s="14">
        <f>AI192*VLOOKUP('Données projet'!$B$10,Paramètres!$A$1:$I$89,3,0)*VLOOKUP('Données projet'!$B$10,Paramètres!$A$1:$I$89,5,0)</f>
        <v>-4.7884896048344674E-14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445.02659128831181</v>
      </c>
      <c r="AO192" s="62">
        <f t="shared" si="144"/>
        <v>281.06176764290592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0.20024613738053862</v>
      </c>
      <c r="AV192" s="23">
        <f>EXP(-LN(2)/25)*AV191+(1-EXP(-LN(2)/25))/(LN(2)/25)*Calculateur!AQ192*Calculateur!AS192*VLOOKUP('Données projet'!$B$10,Paramètres!$A$1:$I$89,3,0)*0.475*44/12</f>
        <v>1.3596521849200517E-2</v>
      </c>
      <c r="AW192" s="23">
        <f>EXP(-LN(2)/2)*AW191+(1-EXP(-LN(2)/2))/(LN(2)/2)*AQ192*AT192*VLOOKUP('Données projet'!$B$10,Paramètres!$A$1:$I$89,3,0)*0.475*44/12</f>
        <v>2.204529169017589E-23</v>
      </c>
      <c r="AX192" s="23">
        <f t="shared" si="166"/>
        <v>0.21384265922973913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-5.6843418860808015E-14</v>
      </c>
      <c r="BE192" s="14">
        <f>BD192*VLOOKUP('Données projet'!$B$11,Paramètres!$A$1:$I$89,3,0)*VLOOKUP('Données projet'!$B$11,Paramètres!$A$1:$I$89,5,0)</f>
        <v>-5.1431925385259088E-14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472.46893084347687</v>
      </c>
      <c r="BJ192" s="62">
        <f t="shared" si="146"/>
        <v>297.32483725004136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0.2150791845939119</v>
      </c>
      <c r="BQ192" s="23">
        <f>EXP(-LN(2)/25)*BQ191+(1-EXP(-LN(2)/25))/(LN(2)/25)*Calculateur!BL192*Calculateur!BN192*VLOOKUP('Données projet'!$B$11,Paramètres!$A$1:$I$89,3,0)*0.475*44/12</f>
        <v>1.4603671615807945E-2</v>
      </c>
      <c r="BR192" s="23">
        <f>EXP(-LN(2)/2)*BR191+(1-EXP(-LN(2)/2))/(LN(2)/2)*BL192*BO192*VLOOKUP('Données projet'!$B$11,Paramètres!$A$1:$I$89,3,0)*0.475*44/12</f>
        <v>2.367827625981854E-23</v>
      </c>
      <c r="BS192" s="24">
        <f t="shared" si="169"/>
        <v>0.22968285620971984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-1.1368683772161603E-13</v>
      </c>
      <c r="BZ192" s="14">
        <f>BY192*VLOOKUP('Données projet'!$B$12,Paramètres!$A$1:$I$89,3,0)*VLOOKUP('Données projet'!$B$12,Paramètres!$A$1:$I$89,5,0)</f>
        <v>-5.3205440053716299E-14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426.87921482911719</v>
      </c>
      <c r="CE192" s="62">
        <f t="shared" si="148"/>
        <v>313.49594674441835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-1.1368683772161603E-13</v>
      </c>
      <c r="CU192" s="18">
        <f>CT192*VLOOKUP('Données projet'!$B$13,Paramètres!$A$1:$I$89,3,0)*VLOOKUP('Données projet'!$B$13,Paramètres!$A$1:$I$89,5,0)</f>
        <v>-6.7984728957526396E-14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367.11994336501527</v>
      </c>
      <c r="CZ192" s="62">
        <f t="shared" si="150"/>
        <v>390.81417197867484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1.4865223709365096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5.38568617343893E-24</v>
      </c>
      <c r="DI192" s="24">
        <f t="shared" si="175"/>
        <v>1.4865223709365096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1.9895196601282805E-13</v>
      </c>
      <c r="O193" s="14">
        <f>N193*VLOOKUP('Données projet'!$B$9,Paramètres!$A$1:$I$89,3,0)*VLOOKUP('Données projet'!$B$9,Paramètres!$A$1:$I$89,5,0)</f>
        <v>1.8001173884840681E-13</v>
      </c>
      <c r="P193" s="14">
        <f t="shared" si="141"/>
        <v>2.5254331426407198E-12</v>
      </c>
      <c r="Q193" s="22">
        <f t="shared" si="162"/>
        <v>4.7119831685935622E-12</v>
      </c>
      <c r="R193" s="62">
        <f t="shared" si="109"/>
        <v>290.035852447607</v>
      </c>
      <c r="S193" s="62">
        <f ca="1">AVERAGE(OFFSET($R$3,0,0,'Données projet'!$E$9+1,1))-AVERAGE(OFFSET($H$3,0,0,'Données projet'!$E$9+1,1))</f>
        <v>312.43110610485337</v>
      </c>
      <c r="T193" s="62">
        <f t="shared" si="142"/>
        <v>442.54749157177571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2.2717280427372102E-2</v>
      </c>
      <c r="AA193" s="23">
        <f>EXP(-LN(2)/25)*AA192+(1-EXP(-LN(2)/25))/(LN(2)/25)*Calculateur!V193*Calculateur!X193*VLOOKUP('Données projet'!$B$9,Paramètres!$A$1:$I$89,3,0)*0.475*44/12</f>
        <v>1.114875008960752E-2</v>
      </c>
      <c r="AB193" s="23">
        <f>EXP(-LN(2)/2)*AB192+(1-EXP(-LN(2)/2))/(LN(2)/2)*V193*Y193*VLOOKUP('Données projet'!$B$9,Paramètres!$A$1:$I$89,3,0)*0.475*44/12</f>
        <v>3.1777501341909653E-24</v>
      </c>
      <c r="AC193" s="24">
        <f t="shared" si="163"/>
        <v>3.3866030516979624E-2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-5.6843418860808015E-14</v>
      </c>
      <c r="AJ193" s="14">
        <f>AI193*VLOOKUP('Données projet'!$B$10,Paramètres!$A$1:$I$89,3,0)*VLOOKUP('Données projet'!$B$10,Paramètres!$A$1:$I$89,5,0)</f>
        <v>-4.7884896048344674E-14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445.02659128831181</v>
      </c>
      <c r="AO193" s="62">
        <f t="shared" si="144"/>
        <v>281.06176764290592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0.19631943276458994</v>
      </c>
      <c r="AV193" s="23">
        <f>EXP(-LN(2)/25)*AV192+(1-EXP(-LN(2)/25))/(LN(2)/25)*Calculateur!AQ193*Calculateur!AS193*VLOOKUP('Données projet'!$B$10,Paramètres!$A$1:$I$89,3,0)*0.475*44/12</f>
        <v>1.322472424422412E-2</v>
      </c>
      <c r="AW193" s="23">
        <f>EXP(-LN(2)/2)*AW192+(1-EXP(-LN(2)/2))/(LN(2)/2)*AQ193*AT193*VLOOKUP('Données projet'!$B$10,Paramètres!$A$1:$I$89,3,0)*0.475*44/12</f>
        <v>1.5588375247358817E-23</v>
      </c>
      <c r="AX193" s="23">
        <f t="shared" si="166"/>
        <v>0.20954415700881407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-5.6843418860808015E-14</v>
      </c>
      <c r="BE193" s="14">
        <f>BD193*VLOOKUP('Données projet'!$B$11,Paramètres!$A$1:$I$89,3,0)*VLOOKUP('Données projet'!$B$11,Paramètres!$A$1:$I$89,5,0)</f>
        <v>-5.1431925385259088E-14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472.46893084347687</v>
      </c>
      <c r="BJ193" s="62">
        <f t="shared" si="146"/>
        <v>297.32483725004136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0.21086161296937442</v>
      </c>
      <c r="BQ193" s="23">
        <f>EXP(-LN(2)/25)*BQ192+(1-EXP(-LN(2)/25))/(LN(2)/25)*Calculateur!BL193*Calculateur!BN193*VLOOKUP('Données projet'!$B$11,Paramètres!$A$1:$I$89,3,0)*0.475*44/12</f>
        <v>1.4204333447499964E-2</v>
      </c>
      <c r="BR193" s="23">
        <f>EXP(-LN(2)/2)*BR192+(1-EXP(-LN(2)/2))/(LN(2)/2)*BL193*BO193*VLOOKUP('Données projet'!$B$11,Paramètres!$A$1:$I$89,3,0)*0.475*44/12</f>
        <v>1.6743069710126131E-23</v>
      </c>
      <c r="BS193" s="24">
        <f t="shared" si="169"/>
        <v>0.22506594641687439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-1.1368683772161603E-13</v>
      </c>
      <c r="BZ193" s="14">
        <f>BY193*VLOOKUP('Données projet'!$B$12,Paramètres!$A$1:$I$89,3,0)*VLOOKUP('Données projet'!$B$12,Paramètres!$A$1:$I$89,5,0)</f>
        <v>-5.3205440053716299E-14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426.87921482911719</v>
      </c>
      <c r="CE193" s="62">
        <f t="shared" si="148"/>
        <v>313.49594674441835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-1.1368683772161603E-13</v>
      </c>
      <c r="CU193" s="18">
        <f>CT193*VLOOKUP('Données projet'!$B$13,Paramètres!$A$1:$I$89,3,0)*VLOOKUP('Données projet'!$B$13,Paramètres!$A$1:$I$89,5,0)</f>
        <v>-6.7984728957526396E-14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367.11994336501527</v>
      </c>
      <c r="CZ193" s="62">
        <f t="shared" si="150"/>
        <v>390.81417197867484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1.4573725739315628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3.8082552145812958E-24</v>
      </c>
      <c r="DI193" s="24">
        <f t="shared" si="175"/>
        <v>1.4573725739315628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1.9895196601282805E-13</v>
      </c>
      <c r="O194" s="14">
        <f>N194*VLOOKUP('Données projet'!$B$9,Paramètres!$A$1:$I$89,3,0)*VLOOKUP('Données projet'!$B$9,Paramètres!$A$1:$I$89,5,0)</f>
        <v>1.8001173884840681E-13</v>
      </c>
      <c r="P194" s="14">
        <f t="shared" si="141"/>
        <v>2.5254331426407198E-12</v>
      </c>
      <c r="Q194" s="22">
        <f t="shared" si="162"/>
        <v>4.7119831685935622E-12</v>
      </c>
      <c r="R194" s="62">
        <f t="shared" si="109"/>
        <v>290.09305636891156</v>
      </c>
      <c r="S194" s="62">
        <f ca="1">AVERAGE(OFFSET($R$3,0,0,'Données projet'!$E$9+1,1))-AVERAGE(OFFSET($H$3,0,0,'Données projet'!$E$9+1,1))</f>
        <v>312.43110610485337</v>
      </c>
      <c r="T194" s="62">
        <f t="shared" si="142"/>
        <v>442.54749157177571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2.2271808414364214E-2</v>
      </c>
      <c r="AA194" s="23">
        <f>EXP(-LN(2)/25)*AA193+(1-EXP(-LN(2)/25))/(LN(2)/25)*Calculateur!V194*Calculateur!X194*VLOOKUP('Données projet'!$B$9,Paramètres!$A$1:$I$89,3,0)*0.475*44/12</f>
        <v>1.0843886932119916E-2</v>
      </c>
      <c r="AB194" s="23">
        <f>EXP(-LN(2)/2)*AB193+(1-EXP(-LN(2)/2))/(LN(2)/2)*V194*Y194*VLOOKUP('Données projet'!$B$9,Paramètres!$A$1:$I$89,3,0)*0.475*44/12</f>
        <v>2.2470086688028929E-24</v>
      </c>
      <c r="AC194" s="24">
        <f t="shared" si="163"/>
        <v>3.3115695346484134E-2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-5.6843418860808015E-14</v>
      </c>
      <c r="AJ194" s="14">
        <f>AI194*VLOOKUP('Données projet'!$B$10,Paramètres!$A$1:$I$89,3,0)*VLOOKUP('Données projet'!$B$10,Paramètres!$A$1:$I$89,5,0)</f>
        <v>-4.7884896048344674E-14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445.02659128831181</v>
      </c>
      <c r="AO194" s="62">
        <f t="shared" si="144"/>
        <v>281.06176764290592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0.19246972843110666</v>
      </c>
      <c r="AV194" s="23">
        <f>EXP(-LN(2)/25)*AV193+(1-EXP(-LN(2)/25))/(LN(2)/25)*Calculateur!AQ194*Calculateur!AS194*VLOOKUP('Données projet'!$B$10,Paramètres!$A$1:$I$89,3,0)*0.475*44/12</f>
        <v>1.2863093464307789E-2</v>
      </c>
      <c r="AW194" s="23">
        <f>EXP(-LN(2)/2)*AW193+(1-EXP(-LN(2)/2))/(LN(2)/2)*AQ194*AT194*VLOOKUP('Données projet'!$B$10,Paramètres!$A$1:$I$89,3,0)*0.475*44/12</f>
        <v>1.1022645845087945E-23</v>
      </c>
      <c r="AX194" s="23">
        <f t="shared" si="166"/>
        <v>0.20533282189541444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-5.6843418860808015E-14</v>
      </c>
      <c r="BE194" s="14">
        <f>BD194*VLOOKUP('Données projet'!$B$11,Paramètres!$A$1:$I$89,3,0)*VLOOKUP('Données projet'!$B$11,Paramètres!$A$1:$I$89,5,0)</f>
        <v>-5.1431925385259088E-14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472.46893084347687</v>
      </c>
      <c r="BJ194" s="62">
        <f t="shared" si="146"/>
        <v>297.32483725004136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0.20672674535192942</v>
      </c>
      <c r="BQ194" s="23">
        <f>EXP(-LN(2)/25)*BQ193+(1-EXP(-LN(2)/25))/(LN(2)/25)*Calculateur!BL194*Calculateur!BN194*VLOOKUP('Données projet'!$B$11,Paramètres!$A$1:$I$89,3,0)*0.475*44/12</f>
        <v>1.3815915202404645E-2</v>
      </c>
      <c r="BR194" s="23">
        <f>EXP(-LN(2)/2)*BR193+(1-EXP(-LN(2)/2))/(LN(2)/2)*BL194*BO194*VLOOKUP('Données projet'!$B$11,Paramètres!$A$1:$I$89,3,0)*0.475*44/12</f>
        <v>1.183913812990927E-23</v>
      </c>
      <c r="BS194" s="24">
        <f t="shared" si="169"/>
        <v>0.22054266055433405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-1.1368683772161603E-13</v>
      </c>
      <c r="BZ194" s="14">
        <f>BY194*VLOOKUP('Données projet'!$B$12,Paramètres!$A$1:$I$89,3,0)*VLOOKUP('Données projet'!$B$12,Paramètres!$A$1:$I$89,5,0)</f>
        <v>-5.3205440053716299E-14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426.87921482911719</v>
      </c>
      <c r="CE194" s="62">
        <f t="shared" si="148"/>
        <v>313.49594674441835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-1.1368683772161603E-13</v>
      </c>
      <c r="CU194" s="18">
        <f>CT194*VLOOKUP('Données projet'!$B$13,Paramètres!$A$1:$I$89,3,0)*VLOOKUP('Données projet'!$B$13,Paramètres!$A$1:$I$89,5,0)</f>
        <v>-6.7984728957526396E-14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367.11994336501527</v>
      </c>
      <c r="CZ194" s="62">
        <f t="shared" si="150"/>
        <v>390.81417197867484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1.4287943866662625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2.692843086719465E-24</v>
      </c>
      <c r="DI194" s="24">
        <f t="shared" si="175"/>
        <v>1.4287943866662625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1.9895196601282805E-13</v>
      </c>
      <c r="O195" s="14">
        <f>N195*VLOOKUP('Données projet'!$B$9,Paramètres!$A$1:$I$89,3,0)*VLOOKUP('Données projet'!$B$9,Paramètres!$A$1:$I$89,5,0)</f>
        <v>1.8001173884840681E-13</v>
      </c>
      <c r="P195" s="14">
        <f t="shared" si="141"/>
        <v>2.5254331426407198E-12</v>
      </c>
      <c r="Q195" s="22">
        <f t="shared" si="162"/>
        <v>4.7119831685935622E-12</v>
      </c>
      <c r="R195" s="62">
        <f t="shared" ref="R195:R203" si="191">Q195+(I195+J195)*44/12</f>
        <v>290.14926793007038</v>
      </c>
      <c r="S195" s="62">
        <f ca="1">AVERAGE(OFFSET($R$3,0,0,'Données projet'!$E$9+1,1))-AVERAGE(OFFSET($H$3,0,0,'Données projet'!$E$9+1,1))</f>
        <v>312.43110610485337</v>
      </c>
      <c r="T195" s="62">
        <f t="shared" si="142"/>
        <v>442.54749157177571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2.183507183582031E-2</v>
      </c>
      <c r="AA195" s="23">
        <f>EXP(-LN(2)/25)*AA194+(1-EXP(-LN(2)/25))/(LN(2)/25)*Calculateur!V195*Calculateur!X195*VLOOKUP('Données projet'!$B$9,Paramètres!$A$1:$I$89,3,0)*0.475*44/12</f>
        <v>1.0547360273705867E-2</v>
      </c>
      <c r="AB195" s="23">
        <f>EXP(-LN(2)/2)*AB194+(1-EXP(-LN(2)/2))/(LN(2)/2)*V195*Y195*VLOOKUP('Données projet'!$B$9,Paramètres!$A$1:$I$89,3,0)*0.475*44/12</f>
        <v>1.5888750670954827E-24</v>
      </c>
      <c r="AC195" s="24">
        <f t="shared" si="163"/>
        <v>3.2382432109526176E-2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-5.6843418860808015E-14</v>
      </c>
      <c r="AJ195" s="14">
        <f>AI195*VLOOKUP('Données projet'!$B$10,Paramètres!$A$1:$I$89,3,0)*VLOOKUP('Données projet'!$B$10,Paramètres!$A$1:$I$89,5,0)</f>
        <v>-4.7884896048344674E-14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445.02659128831181</v>
      </c>
      <c r="AO195" s="62">
        <f t="shared" si="144"/>
        <v>281.06176764290592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0.18869551445151522</v>
      </c>
      <c r="AV195" s="23">
        <f>EXP(-LN(2)/25)*AV194+(1-EXP(-LN(2)/25))/(LN(2)/25)*Calculateur!AQ195*Calculateur!AS195*VLOOKUP('Données projet'!$B$10,Paramètres!$A$1:$I$89,3,0)*0.475*44/12</f>
        <v>1.2511351497085606E-2</v>
      </c>
      <c r="AW195" s="23">
        <f>EXP(-LN(2)/2)*AW194+(1-EXP(-LN(2)/2))/(LN(2)/2)*AQ195*AT195*VLOOKUP('Données projet'!$B$10,Paramètres!$A$1:$I$89,3,0)*0.475*44/12</f>
        <v>7.7941876236794087E-24</v>
      </c>
      <c r="AX195" s="23">
        <f t="shared" si="166"/>
        <v>0.20120686594860082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-5.6843418860808015E-14</v>
      </c>
      <c r="BE195" s="14">
        <f>BD195*VLOOKUP('Données projet'!$B$11,Paramètres!$A$1:$I$89,3,0)*VLOOKUP('Données projet'!$B$11,Paramètres!$A$1:$I$89,5,0)</f>
        <v>-5.1431925385259088E-14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472.46893084347687</v>
      </c>
      <c r="BJ195" s="62">
        <f t="shared" si="146"/>
        <v>297.32483725004136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0.2026729599664423</v>
      </c>
      <c r="BQ195" s="23">
        <f>EXP(-LN(2)/25)*BQ194+(1-EXP(-LN(2)/25))/(LN(2)/25)*Calculateur!BL195*Calculateur!BN195*VLOOKUP('Données projet'!$B$11,Paramètres!$A$1:$I$89,3,0)*0.475*44/12</f>
        <v>1.3438118274647486E-2</v>
      </c>
      <c r="BR195" s="23">
        <f>EXP(-LN(2)/2)*BR194+(1-EXP(-LN(2)/2))/(LN(2)/2)*BL195*BO195*VLOOKUP('Données projet'!$B$11,Paramètres!$A$1:$I$89,3,0)*0.475*44/12</f>
        <v>8.3715348550630656E-24</v>
      </c>
      <c r="BS195" s="24">
        <f t="shared" si="169"/>
        <v>0.2161110782410898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-1.1368683772161603E-13</v>
      </c>
      <c r="BZ195" s="14">
        <f>BY195*VLOOKUP('Données projet'!$B$12,Paramètres!$A$1:$I$89,3,0)*VLOOKUP('Données projet'!$B$12,Paramètres!$A$1:$I$89,5,0)</f>
        <v>-5.3205440053716299E-14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426.87921482911719</v>
      </c>
      <c r="CE195" s="62">
        <f t="shared" si="148"/>
        <v>313.49594674441835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-1.1368683772161603E-13</v>
      </c>
      <c r="CU195" s="18">
        <f>CT195*VLOOKUP('Données projet'!$B$13,Paramètres!$A$1:$I$89,3,0)*VLOOKUP('Données projet'!$B$13,Paramètres!$A$1:$I$89,5,0)</f>
        <v>-6.7984728957526396E-14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367.11994336501527</v>
      </c>
      <c r="CZ195" s="62">
        <f t="shared" si="150"/>
        <v>390.81417197867484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1.4007766002222615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1.9041276072906479E-24</v>
      </c>
      <c r="DI195" s="24">
        <f t="shared" si="175"/>
        <v>1.4007766002222615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1.9895196601282805E-13</v>
      </c>
      <c r="O196" s="14">
        <f>N196*VLOOKUP('Données projet'!$B$9,Paramètres!$A$1:$I$89,3,0)*VLOOKUP('Données projet'!$B$9,Paramètres!$A$1:$I$89,5,0)</f>
        <v>1.8001173884840681E-13</v>
      </c>
      <c r="P196" s="14">
        <f t="shared" si="141"/>
        <v>2.5254331426407198E-12</v>
      </c>
      <c r="Q196" s="22">
        <f t="shared" si="162"/>
        <v>4.7119831685935622E-12</v>
      </c>
      <c r="R196" s="62">
        <f t="shared" si="191"/>
        <v>290.20450434631323</v>
      </c>
      <c r="S196" s="62">
        <f ca="1">AVERAGE(OFFSET($R$3,0,0,'Données projet'!$E$9+1,1))-AVERAGE(OFFSET($H$3,0,0,'Données projet'!$E$9+1,1))</f>
        <v>312.43110610485337</v>
      </c>
      <c r="T196" s="62">
        <f t="shared" si="142"/>
        <v>442.54749157177571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2.1406899395198641E-2</v>
      </c>
      <c r="AA196" s="23">
        <f>EXP(-LN(2)/25)*AA195+(1-EXP(-LN(2)/25))/(LN(2)/25)*Calculateur!V196*Calculateur!X196*VLOOKUP('Données projet'!$B$9,Paramètres!$A$1:$I$89,3,0)*0.475*44/12</f>
        <v>1.0258942152359811E-2</v>
      </c>
      <c r="AB196" s="23">
        <f>EXP(-LN(2)/2)*AB195+(1-EXP(-LN(2)/2))/(LN(2)/2)*V196*Y196*VLOOKUP('Données projet'!$B$9,Paramètres!$A$1:$I$89,3,0)*0.475*44/12</f>
        <v>1.1235043344014465E-24</v>
      </c>
      <c r="AC196" s="24">
        <f t="shared" si="163"/>
        <v>3.166584154755845E-2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-5.6843418860808015E-14</v>
      </c>
      <c r="AJ196" s="14">
        <f>AI196*VLOOKUP('Données projet'!$B$10,Paramètres!$A$1:$I$89,3,0)*VLOOKUP('Données projet'!$B$10,Paramètres!$A$1:$I$89,5,0)</f>
        <v>-4.7884896048344674E-14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445.02659128831181</v>
      </c>
      <c r="AO196" s="62">
        <f t="shared" si="144"/>
        <v>281.06176764290592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0.18499531050602033</v>
      </c>
      <c r="AV196" s="23">
        <f>EXP(-LN(2)/25)*AV195+(1-EXP(-LN(2)/25))/(LN(2)/25)*Calculateur!AQ196*Calculateur!AS196*VLOOKUP('Données projet'!$B$10,Paramètres!$A$1:$I$89,3,0)*0.475*44/12</f>
        <v>1.216922793245442E-2</v>
      </c>
      <c r="AW196" s="23">
        <f>EXP(-LN(2)/2)*AW195+(1-EXP(-LN(2)/2))/(LN(2)/2)*AQ196*AT196*VLOOKUP('Données projet'!$B$10,Paramètres!$A$1:$I$89,3,0)*0.475*44/12</f>
        <v>5.5113229225439726E-24</v>
      </c>
      <c r="AX196" s="23">
        <f t="shared" si="166"/>
        <v>0.19716453843847476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-5.6843418860808015E-14</v>
      </c>
      <c r="BE196" s="14">
        <f>BD196*VLOOKUP('Données projet'!$B$11,Paramètres!$A$1:$I$89,3,0)*VLOOKUP('Données projet'!$B$11,Paramètres!$A$1:$I$89,5,0)</f>
        <v>-5.1431925385259088E-14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472.46893084347687</v>
      </c>
      <c r="BJ196" s="62">
        <f t="shared" si="146"/>
        <v>297.32483725004136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0.19869866683979964</v>
      </c>
      <c r="BQ196" s="23">
        <f>EXP(-LN(2)/25)*BQ195+(1-EXP(-LN(2)/25))/(LN(2)/25)*Calculateur!BL196*Calculateur!BN196*VLOOKUP('Données projet'!$B$11,Paramètres!$A$1:$I$89,3,0)*0.475*44/12</f>
        <v>1.3070652223747323E-2</v>
      </c>
      <c r="BR196" s="23">
        <f>EXP(-LN(2)/2)*BR195+(1-EXP(-LN(2)/2))/(LN(2)/2)*BL196*BO196*VLOOKUP('Données projet'!$B$11,Paramètres!$A$1:$I$89,3,0)*0.475*44/12</f>
        <v>5.9195690649546351E-24</v>
      </c>
      <c r="BS196" s="24">
        <f t="shared" si="169"/>
        <v>0.21176931906354696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-1.1368683772161603E-13</v>
      </c>
      <c r="BZ196" s="14">
        <f>BY196*VLOOKUP('Données projet'!$B$12,Paramètres!$A$1:$I$89,3,0)*VLOOKUP('Données projet'!$B$12,Paramètres!$A$1:$I$89,5,0)</f>
        <v>-5.3205440053716299E-14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426.87921482911719</v>
      </c>
      <c r="CE196" s="62">
        <f t="shared" si="148"/>
        <v>313.49594674441835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-1.1368683772161603E-13</v>
      </c>
      <c r="CU196" s="18">
        <f>CT196*VLOOKUP('Données projet'!$B$13,Paramètres!$A$1:$I$89,3,0)*VLOOKUP('Données projet'!$B$13,Paramètres!$A$1:$I$89,5,0)</f>
        <v>-6.7984728957526396E-14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367.11994336501527</v>
      </c>
      <c r="CZ196" s="62">
        <f t="shared" si="150"/>
        <v>390.81417197867484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1.3733082254812652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1.3464215433597325E-24</v>
      </c>
      <c r="DI196" s="24">
        <f t="shared" si="175"/>
        <v>1.3733082254812652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1.9895196601282805E-13</v>
      </c>
      <c r="O197" s="14">
        <f>N197*VLOOKUP('Données projet'!$B$9,Paramètres!$A$1:$I$89,3,0)*VLOOKUP('Données projet'!$B$9,Paramètres!$A$1:$I$89,5,0)</f>
        <v>1.8001173884840681E-13</v>
      </c>
      <c r="P197" s="14">
        <f t="shared" ref="P197:P203" si="203">EXP(-1.0587+0.8836*LN(O197)+0.284)</f>
        <v>2.5254331426407198E-12</v>
      </c>
      <c r="Q197" s="22">
        <f t="shared" si="162"/>
        <v>4.7119831685935622E-12</v>
      </c>
      <c r="R197" s="62">
        <f t="shared" si="191"/>
        <v>290.25878253422445</v>
      </c>
      <c r="S197" s="62">
        <f ca="1">AVERAGE(OFFSET($R$3,0,0,'Données projet'!$E$9+1,1))-AVERAGE(OFFSET($H$3,0,0,'Données projet'!$E$9+1,1))</f>
        <v>312.43110610485337</v>
      </c>
      <c r="T197" s="62">
        <f t="shared" ref="T197:T203" si="204">$T$3</f>
        <v>442.54749157177571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2.0987123154978162E-2</v>
      </c>
      <c r="AA197" s="23">
        <f>EXP(-LN(2)/25)*AA196+(1-EXP(-LN(2)/25))/(LN(2)/25)*Calculateur!V197*Calculateur!X197*VLOOKUP('Données projet'!$B$9,Paramètres!$A$1:$I$89,3,0)*0.475*44/12</f>
        <v>9.9784108397092102E-3</v>
      </c>
      <c r="AB197" s="23">
        <f>EXP(-LN(2)/2)*AB196+(1-EXP(-LN(2)/2))/(LN(2)/2)*V197*Y197*VLOOKUP('Données projet'!$B$9,Paramètres!$A$1:$I$89,3,0)*0.475*44/12</f>
        <v>7.9443753354774133E-25</v>
      </c>
      <c r="AC197" s="24">
        <f t="shared" si="163"/>
        <v>3.0965533994687371E-2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-5.6843418860808015E-14</v>
      </c>
      <c r="AJ197" s="14">
        <f>AI197*VLOOKUP('Données projet'!$B$10,Paramètres!$A$1:$I$89,3,0)*VLOOKUP('Données projet'!$B$10,Paramètres!$A$1:$I$89,5,0)</f>
        <v>-4.7884896048344674E-14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445.02659128831181</v>
      </c>
      <c r="AO197" s="62">
        <f t="shared" ref="AO197:AO203" si="205">$AO$3</f>
        <v>281.06176764290592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0.18136766530299506</v>
      </c>
      <c r="AV197" s="23">
        <f>EXP(-LN(2)/25)*AV196+(1-EXP(-LN(2)/25))/(LN(2)/25)*Calculateur!AQ197*Calculateur!AS197*VLOOKUP('Données projet'!$B$10,Paramètres!$A$1:$I$89,3,0)*0.475*44/12</f>
        <v>1.183645975468957E-2</v>
      </c>
      <c r="AW197" s="23">
        <f>EXP(-LN(2)/2)*AW196+(1-EXP(-LN(2)/2))/(LN(2)/2)*AQ197*AT197*VLOOKUP('Données projet'!$B$10,Paramètres!$A$1:$I$89,3,0)*0.475*44/12</f>
        <v>3.8970938118397044E-24</v>
      </c>
      <c r="AX197" s="23">
        <f t="shared" si="166"/>
        <v>0.19320412505768464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-5.6843418860808015E-14</v>
      </c>
      <c r="BE197" s="14">
        <f>BD197*VLOOKUP('Données projet'!$B$11,Paramètres!$A$1:$I$89,3,0)*VLOOKUP('Données projet'!$B$11,Paramètres!$A$1:$I$89,5,0)</f>
        <v>-5.1431925385259088E-14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472.46893084347687</v>
      </c>
      <c r="BJ197" s="62">
        <f t="shared" ref="BJ197:BJ203" si="206">$BJ$3</f>
        <v>297.32483725004136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0.194802307177291</v>
      </c>
      <c r="BQ197" s="23">
        <f>EXP(-LN(2)/25)*BQ196+(1-EXP(-LN(2)/25))/(LN(2)/25)*Calculateur!BL197*Calculateur!BN197*VLOOKUP('Données projet'!$B$11,Paramètres!$A$1:$I$89,3,0)*0.475*44/12</f>
        <v>1.2713234551333226E-2</v>
      </c>
      <c r="BR197" s="23">
        <f>EXP(-LN(2)/2)*BR196+(1-EXP(-LN(2)/2))/(LN(2)/2)*BL197*BO197*VLOOKUP('Données projet'!$B$11,Paramètres!$A$1:$I$89,3,0)*0.475*44/12</f>
        <v>4.1857674275315328E-24</v>
      </c>
      <c r="BS197" s="24">
        <f t="shared" si="169"/>
        <v>0.20751554172862421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-1.1368683772161603E-13</v>
      </c>
      <c r="BZ197" s="14">
        <f>BY197*VLOOKUP('Données projet'!$B$12,Paramètres!$A$1:$I$89,3,0)*VLOOKUP('Données projet'!$B$12,Paramètres!$A$1:$I$89,5,0)</f>
        <v>-5.3205440053716299E-14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426.87921482911719</v>
      </c>
      <c r="CE197" s="62">
        <f t="shared" ref="CE197:CE203" si="207">$CE$3</f>
        <v>313.49594674441835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-1.1368683772161603E-13</v>
      </c>
      <c r="CU197" s="18">
        <f>CT197*VLOOKUP('Données projet'!$B$13,Paramètres!$A$1:$I$89,3,0)*VLOOKUP('Données projet'!$B$13,Paramètres!$A$1:$I$89,5,0)</f>
        <v>-6.7984728957526396E-14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367.11994336501527</v>
      </c>
      <c r="CZ197" s="62">
        <f t="shared" ref="CZ197:CZ203" si="208">$CZ$3</f>
        <v>390.81417197867484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1.3463784888148855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9.5206380364532396E-25</v>
      </c>
      <c r="DI197" s="24">
        <f t="shared" si="175"/>
        <v>1.3463784888148855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1.9895196601282805E-13</v>
      </c>
      <c r="O198" s="14">
        <f>N198*VLOOKUP('Données projet'!$B$9,Paramètres!$A$1:$I$89,3,0)*VLOOKUP('Données projet'!$B$9,Paramètres!$A$1:$I$89,5,0)</f>
        <v>1.8001173884840681E-13</v>
      </c>
      <c r="P198" s="14">
        <f t="shared" si="203"/>
        <v>2.5254331426407198E-12</v>
      </c>
      <c r="Q198" s="22">
        <f t="shared" si="162"/>
        <v>4.7119831685935622E-12</v>
      </c>
      <c r="R198" s="62">
        <f t="shared" si="191"/>
        <v>290.31211911692321</v>
      </c>
      <c r="S198" s="62">
        <f ca="1">AVERAGE(OFFSET($R$3,0,0,'Données projet'!$E$9+1,1))-AVERAGE(OFFSET($H$3,0,0,'Données projet'!$E$9+1,1))</f>
        <v>312.43110610485337</v>
      </c>
      <c r="T198" s="62">
        <f t="shared" si="204"/>
        <v>442.54749157177571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2.0575578470790182E-2</v>
      </c>
      <c r="AA198" s="23">
        <f>EXP(-LN(2)/25)*AA197+(1-EXP(-LN(2)/25))/(LN(2)/25)*Calculateur!V198*Calculateur!X198*VLOOKUP('Données projet'!$B$9,Paramètres!$A$1:$I$89,3,0)*0.475*44/12</f>
        <v>9.7055506705555419E-3</v>
      </c>
      <c r="AB198" s="23">
        <f>EXP(-LN(2)/2)*AB197+(1-EXP(-LN(2)/2))/(LN(2)/2)*V198*Y198*VLOOKUP('Données projet'!$B$9,Paramètres!$A$1:$I$89,3,0)*0.475*44/12</f>
        <v>5.6175216720072323E-25</v>
      </c>
      <c r="AC198" s="24">
        <f t="shared" si="163"/>
        <v>3.0281129141345724E-2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-5.6843418860808015E-14</v>
      </c>
      <c r="AJ198" s="14">
        <f>AI198*VLOOKUP('Données projet'!$B$10,Paramètres!$A$1:$I$89,3,0)*VLOOKUP('Données projet'!$B$10,Paramètres!$A$1:$I$89,5,0)</f>
        <v>-4.7884896048344674E-14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445.02659128831181</v>
      </c>
      <c r="AO198" s="62">
        <f t="shared" si="205"/>
        <v>281.06176764290592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0.177811156009756</v>
      </c>
      <c r="AV198" s="23">
        <f>EXP(-LN(2)/25)*AV197+(1-EXP(-LN(2)/25))/(LN(2)/25)*Calculateur!AQ198*Calculateur!AS198*VLOOKUP('Données projet'!$B$10,Paramètres!$A$1:$I$89,3,0)*0.475*44/12</f>
        <v>1.1512791140245218E-2</v>
      </c>
      <c r="AW198" s="23">
        <f>EXP(-LN(2)/2)*AW197+(1-EXP(-LN(2)/2))/(LN(2)/2)*AQ198*AT198*VLOOKUP('Données projet'!$B$10,Paramètres!$A$1:$I$89,3,0)*0.475*44/12</f>
        <v>2.7556614612719863E-24</v>
      </c>
      <c r="AX198" s="23">
        <f t="shared" si="166"/>
        <v>0.18932394715000123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-5.6843418860808015E-14</v>
      </c>
      <c r="BE198" s="14">
        <f>BD198*VLOOKUP('Données projet'!$B$11,Paramètres!$A$1:$I$89,3,0)*VLOOKUP('Données projet'!$B$11,Paramètres!$A$1:$I$89,5,0)</f>
        <v>-5.1431925385259088E-14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472.46893084347687</v>
      </c>
      <c r="BJ198" s="62">
        <f t="shared" si="206"/>
        <v>297.32483725004136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0.19098235275121941</v>
      </c>
      <c r="BQ198" s="23">
        <f>EXP(-LN(2)/25)*BQ197+(1-EXP(-LN(2)/25))/(LN(2)/25)*Calculateur!BL198*Calculateur!BN198*VLOOKUP('Données projet'!$B$11,Paramètres!$A$1:$I$89,3,0)*0.475*44/12</f>
        <v>1.2365590483967071E-2</v>
      </c>
      <c r="BR198" s="23">
        <f>EXP(-LN(2)/2)*BR197+(1-EXP(-LN(2)/2))/(LN(2)/2)*BL198*BO198*VLOOKUP('Données projet'!$B$11,Paramètres!$A$1:$I$89,3,0)*0.475*44/12</f>
        <v>2.9597845324773175E-24</v>
      </c>
      <c r="BS198" s="24">
        <f t="shared" si="169"/>
        <v>0.20334794323518648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-1.1368683772161603E-13</v>
      </c>
      <c r="BZ198" s="14">
        <f>BY198*VLOOKUP('Données projet'!$B$12,Paramètres!$A$1:$I$89,3,0)*VLOOKUP('Données projet'!$B$12,Paramètres!$A$1:$I$89,5,0)</f>
        <v>-5.3205440053716299E-14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426.87921482911719</v>
      </c>
      <c r="CE198" s="62">
        <f t="shared" si="207"/>
        <v>313.49594674441835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-1.1368683772161603E-13</v>
      </c>
      <c r="CU198" s="18">
        <f>CT198*VLOOKUP('Données projet'!$B$13,Paramètres!$A$1:$I$89,3,0)*VLOOKUP('Données projet'!$B$13,Paramètres!$A$1:$I$89,5,0)</f>
        <v>-6.7984728957526396E-14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367.11994336501527</v>
      </c>
      <c r="CZ198" s="62">
        <f t="shared" si="208"/>
        <v>390.81417197867484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1.319976827859016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6.7321077167986625E-25</v>
      </c>
      <c r="DI198" s="24">
        <f t="shared" si="175"/>
        <v>1.319976827859016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1.9895196601282805E-13</v>
      </c>
      <c r="O199" s="14">
        <f>N199*VLOOKUP('Données projet'!$B$9,Paramètres!$A$1:$I$89,3,0)*VLOOKUP('Données projet'!$B$9,Paramètres!$A$1:$I$89,5,0)</f>
        <v>1.8001173884840681E-13</v>
      </c>
      <c r="P199" s="14">
        <f t="shared" si="203"/>
        <v>2.5254331426407198E-12</v>
      </c>
      <c r="Q199" s="22">
        <f t="shared" si="162"/>
        <v>4.7119831685935622E-12</v>
      </c>
      <c r="R199" s="62">
        <f t="shared" si="191"/>
        <v>290.36453042915491</v>
      </c>
      <c r="S199" s="62">
        <f ca="1">AVERAGE(OFFSET($R$3,0,0,'Données projet'!$E$9+1,1))-AVERAGE(OFFSET($H$3,0,0,'Données projet'!$E$9+1,1))</f>
        <v>312.43110610485337</v>
      </c>
      <c r="T199" s="62">
        <f t="shared" si="204"/>
        <v>442.54749157177571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2.0172103926841656E-2</v>
      </c>
      <c r="AA199" s="23">
        <f>EXP(-LN(2)/25)*AA198+(1-EXP(-LN(2)/25))/(LN(2)/25)*Calculateur!V199*Calculateur!X199*VLOOKUP('Données projet'!$B$9,Paramètres!$A$1:$I$89,3,0)*0.475*44/12</f>
        <v>9.440151877076473E-3</v>
      </c>
      <c r="AB199" s="23">
        <f>EXP(-LN(2)/2)*AB198+(1-EXP(-LN(2)/2))/(LN(2)/2)*V199*Y199*VLOOKUP('Données projet'!$B$9,Paramètres!$A$1:$I$89,3,0)*0.475*44/12</f>
        <v>3.9721876677387066E-25</v>
      </c>
      <c r="AC199" s="24">
        <f t="shared" si="163"/>
        <v>2.9612255803918131E-2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-5.6843418860808015E-14</v>
      </c>
      <c r="AJ199" s="14">
        <f>AI199*VLOOKUP('Données projet'!$B$10,Paramètres!$A$1:$I$89,3,0)*VLOOKUP('Données projet'!$B$10,Paramètres!$A$1:$I$89,5,0)</f>
        <v>-4.7884896048344674E-14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445.02659128831181</v>
      </c>
      <c r="AO199" s="62">
        <f t="shared" si="205"/>
        <v>281.06176764290592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0.1743243876945009</v>
      </c>
      <c r="AV199" s="23">
        <f>EXP(-LN(2)/25)*AV198+(1-EXP(-LN(2)/25))/(LN(2)/25)*Calculateur!AQ199*Calculateur!AS199*VLOOKUP('Données projet'!$B$10,Paramètres!$A$1:$I$89,3,0)*0.475*44/12</f>
        <v>1.1197973261083839E-2</v>
      </c>
      <c r="AW199" s="23">
        <f>EXP(-LN(2)/2)*AW198+(1-EXP(-LN(2)/2))/(LN(2)/2)*AQ199*AT199*VLOOKUP('Données projet'!$B$10,Paramètres!$A$1:$I$89,3,0)*0.475*44/12</f>
        <v>1.9485469059198522E-24</v>
      </c>
      <c r="AX199" s="23">
        <f t="shared" si="166"/>
        <v>0.18552236095558475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-5.6843418860808015E-14</v>
      </c>
      <c r="BE199" s="14">
        <f>BD199*VLOOKUP('Données projet'!$B$11,Paramètres!$A$1:$I$89,3,0)*VLOOKUP('Données projet'!$B$11,Paramètres!$A$1:$I$89,5,0)</f>
        <v>-5.1431925385259088E-14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472.46893084347687</v>
      </c>
      <c r="BJ199" s="62">
        <f t="shared" si="206"/>
        <v>297.32483725004136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0.18723730530150098</v>
      </c>
      <c r="BQ199" s="23">
        <f>EXP(-LN(2)/25)*BQ198+(1-EXP(-LN(2)/25))/(LN(2)/25)*Calculateur!BL199*Calculateur!BN199*VLOOKUP('Données projet'!$B$11,Paramètres!$A$1:$I$89,3,0)*0.475*44/12</f>
        <v>1.2027452761904849E-2</v>
      </c>
      <c r="BR199" s="23">
        <f>EXP(-LN(2)/2)*BR198+(1-EXP(-LN(2)/2))/(LN(2)/2)*BL199*BO199*VLOOKUP('Données projet'!$B$11,Paramètres!$A$1:$I$89,3,0)*0.475*44/12</f>
        <v>2.0928837137657664E-24</v>
      </c>
      <c r="BS199" s="24">
        <f t="shared" si="169"/>
        <v>0.19926475806340582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-1.1368683772161603E-13</v>
      </c>
      <c r="BZ199" s="14">
        <f>BY199*VLOOKUP('Données projet'!$B$12,Paramètres!$A$1:$I$89,3,0)*VLOOKUP('Données projet'!$B$12,Paramètres!$A$1:$I$89,5,0)</f>
        <v>-5.3205440053716299E-14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426.87921482911719</v>
      </c>
      <c r="CE199" s="62">
        <f t="shared" si="207"/>
        <v>313.49594674441835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-1.1368683772161603E-13</v>
      </c>
      <c r="CU199" s="18">
        <f>CT199*VLOOKUP('Données projet'!$B$13,Paramètres!$A$1:$I$89,3,0)*VLOOKUP('Données projet'!$B$13,Paramètres!$A$1:$I$89,5,0)</f>
        <v>-6.7984728957526396E-14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367.11994336501527</v>
      </c>
      <c r="CZ199" s="62">
        <f t="shared" si="208"/>
        <v>390.81417197867484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1.294092887371068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4.7603190182266198E-25</v>
      </c>
      <c r="DI199" s="24">
        <f t="shared" si="175"/>
        <v>1.294092887371068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1.9895196601282805E-13</v>
      </c>
      <c r="O200" s="14">
        <f>N200*VLOOKUP('Données projet'!$B$9,Paramètres!$A$1:$I$89,3,0)*VLOOKUP('Données projet'!$B$9,Paramètres!$A$1:$I$89,5,0)</f>
        <v>1.8001173884840681E-13</v>
      </c>
      <c r="P200" s="14">
        <f t="shared" si="203"/>
        <v>2.5254331426407198E-12</v>
      </c>
      <c r="Q200" s="22">
        <f t="shared" si="162"/>
        <v>4.7119831685935622E-12</v>
      </c>
      <c r="R200" s="62">
        <f t="shared" si="191"/>
        <v>290.41603252229351</v>
      </c>
      <c r="S200" s="62">
        <f ca="1">AVERAGE(OFFSET($R$3,0,0,'Données projet'!$E$9+1,1))-AVERAGE(OFFSET($H$3,0,0,'Données projet'!$E$9+1,1))</f>
        <v>312.43110610485337</v>
      </c>
      <c r="T200" s="62">
        <f t="shared" si="204"/>
        <v>442.54749157177571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1.9776541272604791E-2</v>
      </c>
      <c r="AA200" s="23">
        <f>EXP(-LN(2)/25)*AA199+(1-EXP(-LN(2)/25))/(LN(2)/25)*Calculateur!V200*Calculateur!X200*VLOOKUP('Données projet'!$B$9,Paramètres!$A$1:$I$89,3,0)*0.475*44/12</f>
        <v>9.1820104275618045E-3</v>
      </c>
      <c r="AB200" s="23">
        <f>EXP(-LN(2)/2)*AB199+(1-EXP(-LN(2)/2))/(LN(2)/2)*V200*Y200*VLOOKUP('Données projet'!$B$9,Paramètres!$A$1:$I$89,3,0)*0.475*44/12</f>
        <v>2.8087608360036161E-25</v>
      </c>
      <c r="AC200" s="24">
        <f t="shared" si="163"/>
        <v>2.8958551700166597E-2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-5.6843418860808015E-14</v>
      </c>
      <c r="AJ200" s="14">
        <f>AI200*VLOOKUP('Données projet'!$B$10,Paramètres!$A$1:$I$89,3,0)*VLOOKUP('Données projet'!$B$10,Paramètres!$A$1:$I$89,5,0)</f>
        <v>-4.7884896048344674E-14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445.02659128831181</v>
      </c>
      <c r="AO200" s="62">
        <f t="shared" si="205"/>
        <v>281.06176764290592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0.17090599277918928</v>
      </c>
      <c r="AV200" s="23">
        <f>EXP(-LN(2)/25)*AV199+(1-EXP(-LN(2)/25))/(LN(2)/25)*Calculateur!AQ200*Calculateur!AS200*VLOOKUP('Données projet'!$B$10,Paramètres!$A$1:$I$89,3,0)*0.475*44/12</f>
        <v>1.0891764093383681E-2</v>
      </c>
      <c r="AW200" s="23">
        <f>EXP(-LN(2)/2)*AW199+(1-EXP(-LN(2)/2))/(LN(2)/2)*AQ200*AT200*VLOOKUP('Données projet'!$B$10,Paramètres!$A$1:$I$89,3,0)*0.475*44/12</f>
        <v>1.3778307306359932E-24</v>
      </c>
      <c r="AX200" s="23">
        <f t="shared" si="166"/>
        <v>0.18179775687257296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-5.6843418860808015E-14</v>
      </c>
      <c r="BE200" s="14">
        <f>BD200*VLOOKUP('Données projet'!$B$11,Paramètres!$A$1:$I$89,3,0)*VLOOKUP('Données projet'!$B$11,Paramètres!$A$1:$I$89,5,0)</f>
        <v>-5.1431925385259088E-14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472.46893084347687</v>
      </c>
      <c r="BJ200" s="62">
        <f t="shared" si="206"/>
        <v>297.32483725004136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0.18356569594801814</v>
      </c>
      <c r="BQ200" s="23">
        <f>EXP(-LN(2)/25)*BQ199+(1-EXP(-LN(2)/25))/(LN(2)/25)*Calculateur!BL200*Calculateur!BN200*VLOOKUP('Données projet'!$B$11,Paramètres!$A$1:$I$89,3,0)*0.475*44/12</f>
        <v>1.1698561433634309E-2</v>
      </c>
      <c r="BR200" s="23">
        <f>EXP(-LN(2)/2)*BR199+(1-EXP(-LN(2)/2))/(LN(2)/2)*BL200*BO200*VLOOKUP('Données projet'!$B$11,Paramètres!$A$1:$I$89,3,0)*0.475*44/12</f>
        <v>1.4798922662386588E-24</v>
      </c>
      <c r="BS200" s="24">
        <f t="shared" si="169"/>
        <v>0.19526425738165246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-1.1368683772161603E-13</v>
      </c>
      <c r="BZ200" s="14">
        <f>BY200*VLOOKUP('Données projet'!$B$12,Paramètres!$A$1:$I$89,3,0)*VLOOKUP('Données projet'!$B$12,Paramètres!$A$1:$I$89,5,0)</f>
        <v>-5.3205440053716299E-14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426.87921482911719</v>
      </c>
      <c r="CE200" s="62">
        <f t="shared" si="207"/>
        <v>313.49594674441835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-1.1368683772161603E-13</v>
      </c>
      <c r="CU200" s="18">
        <f>CT200*VLOOKUP('Données projet'!$B$13,Paramètres!$A$1:$I$89,3,0)*VLOOKUP('Données projet'!$B$13,Paramètres!$A$1:$I$89,5,0)</f>
        <v>-6.7984728957526396E-14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367.11994336501527</v>
      </c>
      <c r="CZ200" s="62">
        <f t="shared" si="208"/>
        <v>390.81417197867484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1.2687165151684439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3.3660538583993312E-25</v>
      </c>
      <c r="DI200" s="24">
        <f t="shared" si="175"/>
        <v>1.2687165151684439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1.9895196601282805E-13</v>
      </c>
      <c r="O201" s="14">
        <f>N201*VLOOKUP('Données projet'!$B$9,Paramètres!$A$1:$I$89,3,0)*VLOOKUP('Données projet'!$B$9,Paramètres!$A$1:$I$89,5,0)</f>
        <v>1.8001173884840681E-13</v>
      </c>
      <c r="P201" s="14">
        <f t="shared" si="203"/>
        <v>2.5254331426407198E-12</v>
      </c>
      <c r="Q201" s="22">
        <f t="shared" si="162"/>
        <v>4.7119831685935622E-12</v>
      </c>
      <c r="R201" s="62">
        <f t="shared" si="191"/>
        <v>290.46664116925763</v>
      </c>
      <c r="S201" s="62">
        <f ca="1">AVERAGE(OFFSET($R$3,0,0,'Données projet'!$E$9+1,1))-AVERAGE(OFFSET($H$3,0,0,'Données projet'!$E$9+1,1))</f>
        <v>312.43110610485337</v>
      </c>
      <c r="T201" s="62">
        <f t="shared" si="204"/>
        <v>442.54749157177571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1.9388735360748116E-2</v>
      </c>
      <c r="AA201" s="23">
        <f>EXP(-LN(2)/25)*AA200+(1-EXP(-LN(2)/25))/(LN(2)/25)*Calculateur!V201*Calculateur!X201*VLOOKUP('Données projet'!$B$9,Paramètres!$A$1:$I$89,3,0)*0.475*44/12</f>
        <v>8.930927869559185E-3</v>
      </c>
      <c r="AB201" s="23">
        <f>EXP(-LN(2)/2)*AB200+(1-EXP(-LN(2)/2))/(LN(2)/2)*V201*Y201*VLOOKUP('Données projet'!$B$9,Paramètres!$A$1:$I$89,3,0)*0.475*44/12</f>
        <v>1.9860938338693533E-25</v>
      </c>
      <c r="AC201" s="24">
        <f t="shared" si="163"/>
        <v>2.8319663230307303E-2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-5.6843418860808015E-14</v>
      </c>
      <c r="AJ201" s="14">
        <f>AI201*VLOOKUP('Données projet'!$B$10,Paramètres!$A$1:$I$89,3,0)*VLOOKUP('Données projet'!$B$10,Paramètres!$A$1:$I$89,5,0)</f>
        <v>-4.7884896048344674E-14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445.02659128831181</v>
      </c>
      <c r="AO201" s="62">
        <f t="shared" si="205"/>
        <v>281.06176764290592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0.16755463050315189</v>
      </c>
      <c r="AV201" s="23">
        <f>EXP(-LN(2)/25)*AV200+(1-EXP(-LN(2)/25))/(LN(2)/25)*Calculateur!AQ201*Calculateur!AS201*VLOOKUP('Données projet'!$B$10,Paramètres!$A$1:$I$89,3,0)*0.475*44/12</f>
        <v>1.0593928231477125E-2</v>
      </c>
      <c r="AW201" s="23">
        <f>EXP(-LN(2)/2)*AW200+(1-EXP(-LN(2)/2))/(LN(2)/2)*AQ201*AT201*VLOOKUP('Données projet'!$B$10,Paramètres!$A$1:$I$89,3,0)*0.475*44/12</f>
        <v>9.7427345295992609E-25</v>
      </c>
      <c r="AX201" s="23">
        <f t="shared" si="166"/>
        <v>0.17814855873462901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-5.6843418860808015E-14</v>
      </c>
      <c r="BE201" s="14">
        <f>BD201*VLOOKUP('Données projet'!$B$11,Paramètres!$A$1:$I$89,3,0)*VLOOKUP('Données projet'!$B$11,Paramètres!$A$1:$I$89,5,0)</f>
        <v>-5.1431925385259088E-14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472.46893084347687</v>
      </c>
      <c r="BJ201" s="62">
        <f t="shared" si="206"/>
        <v>297.32483725004136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0.17996608461449651</v>
      </c>
      <c r="BQ201" s="23">
        <f>EXP(-LN(2)/25)*BQ200+(1-EXP(-LN(2)/25))/(LN(2)/25)*Calculateur!BL201*Calculateur!BN201*VLOOKUP('Données projet'!$B$11,Paramètres!$A$1:$I$89,3,0)*0.475*44/12</f>
        <v>1.137866365603097E-2</v>
      </c>
      <c r="BR201" s="23">
        <f>EXP(-LN(2)/2)*BR200+(1-EXP(-LN(2)/2))/(LN(2)/2)*BL201*BO201*VLOOKUP('Données projet'!$B$11,Paramètres!$A$1:$I$89,3,0)*0.475*44/12</f>
        <v>1.0464418568828832E-24</v>
      </c>
      <c r="BS201" s="24">
        <f t="shared" si="169"/>
        <v>0.19134474827052747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-1.1368683772161603E-13</v>
      </c>
      <c r="BZ201" s="14">
        <f>BY201*VLOOKUP('Données projet'!$B$12,Paramètres!$A$1:$I$89,3,0)*VLOOKUP('Données projet'!$B$12,Paramètres!$A$1:$I$89,5,0)</f>
        <v>-5.3205440053716299E-14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426.87921482911719</v>
      </c>
      <c r="CE201" s="62">
        <f t="shared" si="207"/>
        <v>313.49594674441835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-1.1368683772161603E-13</v>
      </c>
      <c r="CU201" s="18">
        <f>CT201*VLOOKUP('Données projet'!$B$13,Paramètres!$A$1:$I$89,3,0)*VLOOKUP('Données projet'!$B$13,Paramètres!$A$1:$I$89,5,0)</f>
        <v>-6.7984728957526396E-14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367.11994336501527</v>
      </c>
      <c r="CZ201" s="62">
        <f t="shared" si="208"/>
        <v>390.81417197867484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1.2438377581466544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2.3801595091133099E-25</v>
      </c>
      <c r="DI201" s="24">
        <f t="shared" si="175"/>
        <v>1.2438377581466544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1.9895196601282805E-13</v>
      </c>
      <c r="O202" s="14">
        <f>N202*VLOOKUP('Données projet'!$B$9,Paramètres!$A$1:$I$89,3,0)*VLOOKUP('Données projet'!$B$9,Paramètres!$A$1:$I$89,5,0)</f>
        <v>1.8001173884840681E-13</v>
      </c>
      <c r="P202" s="14">
        <f t="shared" si="203"/>
        <v>2.5254331426407198E-12</v>
      </c>
      <c r="Q202" s="22">
        <f t="shared" si="162"/>
        <v>4.7119831685935622E-12</v>
      </c>
      <c r="R202" s="62">
        <f t="shared" si="191"/>
        <v>290.51637186934084</v>
      </c>
      <c r="S202" s="62">
        <f ca="1">AVERAGE(OFFSET($R$3,0,0,'Données projet'!$E$9+1,1))-AVERAGE(OFFSET($H$3,0,0,'Données projet'!$E$9+1,1))</f>
        <v>312.43110610485337</v>
      </c>
      <c r="T202" s="62">
        <f t="shared" si="204"/>
        <v>442.54749157177571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1.9008534086284699E-2</v>
      </c>
      <c r="AA202" s="23">
        <f>EXP(-LN(2)/25)*AA201+(1-EXP(-LN(2)/25))/(LN(2)/25)*Calculateur!V202*Calculateur!X202*VLOOKUP('Données projet'!$B$9,Paramètres!$A$1:$I$89,3,0)*0.475*44/12</f>
        <v>8.686711177309004E-3</v>
      </c>
      <c r="AB202" s="23">
        <f>EXP(-LN(2)/2)*AB201+(1-EXP(-LN(2)/2))/(LN(2)/2)*V202*Y202*VLOOKUP('Données projet'!$B$9,Paramètres!$A$1:$I$89,3,0)*0.475*44/12</f>
        <v>1.4043804180018081E-25</v>
      </c>
      <c r="AC202" s="24">
        <f t="shared" si="163"/>
        <v>2.7695245263593703E-2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-5.6843418860808015E-14</v>
      </c>
      <c r="AJ202" s="14">
        <f>AI202*VLOOKUP('Données projet'!$B$10,Paramètres!$A$1:$I$89,3,0)*VLOOKUP('Données projet'!$B$10,Paramètres!$A$1:$I$89,5,0)</f>
        <v>-4.7884896048344674E-14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445.02659128831181</v>
      </c>
      <c r="AO202" s="62">
        <f t="shared" si="205"/>
        <v>281.06176764290592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0.16426898639721846</v>
      </c>
      <c r="AV202" s="23">
        <f>EXP(-LN(2)/25)*AV201+(1-EXP(-LN(2)/25))/(LN(2)/25)*Calculateur!AQ202*Calculateur!AS202*VLOOKUP('Données projet'!$B$10,Paramètres!$A$1:$I$89,3,0)*0.475*44/12</f>
        <v>1.0304236706876909E-2</v>
      </c>
      <c r="AW202" s="23">
        <f>EXP(-LN(2)/2)*AW201+(1-EXP(-LN(2)/2))/(LN(2)/2)*AQ202*AT202*VLOOKUP('Données projet'!$B$10,Paramètres!$A$1:$I$89,3,0)*0.475*44/12</f>
        <v>6.8891536531799658E-25</v>
      </c>
      <c r="AX202" s="23">
        <f t="shared" si="166"/>
        <v>0.17457322310409537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-5.6843418860808015E-14</v>
      </c>
      <c r="BE202" s="14">
        <f>BD202*VLOOKUP('Données projet'!$B$11,Paramètres!$A$1:$I$89,3,0)*VLOOKUP('Données projet'!$B$11,Paramètres!$A$1:$I$89,5,0)</f>
        <v>-5.1431925385259088E-14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472.46893084347687</v>
      </c>
      <c r="BJ202" s="62">
        <f t="shared" si="206"/>
        <v>297.32483725004136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0.1764370594636791</v>
      </c>
      <c r="BQ202" s="23">
        <f>EXP(-LN(2)/25)*BQ201+(1-EXP(-LN(2)/25))/(LN(2)/25)*Calculateur!BL202*Calculateur!BN202*VLOOKUP('Données projet'!$B$11,Paramètres!$A$1:$I$89,3,0)*0.475*44/12</f>
        <v>1.1067513499978887E-2</v>
      </c>
      <c r="BR202" s="23">
        <f>EXP(-LN(2)/2)*BR201+(1-EXP(-LN(2)/2))/(LN(2)/2)*BL202*BO202*VLOOKUP('Données projet'!$B$11,Paramètres!$A$1:$I$89,3,0)*0.475*44/12</f>
        <v>7.3994613311932939E-25</v>
      </c>
      <c r="BS202" s="24">
        <f t="shared" si="169"/>
        <v>0.18750457296365799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-1.1368683772161603E-13</v>
      </c>
      <c r="BZ202" s="14">
        <f>BY202*VLOOKUP('Données projet'!$B$12,Paramètres!$A$1:$I$89,3,0)*VLOOKUP('Données projet'!$B$12,Paramètres!$A$1:$I$89,5,0)</f>
        <v>-5.3205440053716299E-14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426.87921482911719</v>
      </c>
      <c r="CE202" s="62">
        <f t="shared" si="207"/>
        <v>313.49594674441835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-1.1368683772161603E-13</v>
      </c>
      <c r="CU202" s="18">
        <f>CT202*VLOOKUP('Données projet'!$B$13,Paramètres!$A$1:$I$89,3,0)*VLOOKUP('Données projet'!$B$13,Paramètres!$A$1:$I$89,5,0)</f>
        <v>-6.7984728957526396E-14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367.11994336501527</v>
      </c>
      <c r="CZ202" s="62">
        <f t="shared" si="208"/>
        <v>390.81417197867484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1.2194468583755189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1.6830269291996656E-25</v>
      </c>
      <c r="DI202" s="24">
        <f t="shared" si="175"/>
        <v>1.2194468583755189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1.9895196601282805E-13</v>
      </c>
      <c r="O203" s="14">
        <f>N203*VLOOKUP('Données projet'!$B$9,Paramètres!$A$1:$I$89,3,0)*VLOOKUP('Données projet'!$B$9,Paramètres!$A$1:$I$89,5,0)</f>
        <v>1.8001173884840681E-13</v>
      </c>
      <c r="P203" s="14">
        <f t="shared" si="203"/>
        <v>2.5254331426407198E-12</v>
      </c>
      <c r="Q203" s="22">
        <f t="shared" si="162"/>
        <v>4.7119831685935622E-12</v>
      </c>
      <c r="R203" s="62">
        <f t="shared" si="191"/>
        <v>290.56523985295883</v>
      </c>
      <c r="S203" s="62">
        <f ca="1">AVERAGE(OFFSET($R$3,0,0,'Données projet'!$E$9+1,1))-AVERAGE(OFFSET($H$3,0,0,'Données projet'!$E$9+1,1))</f>
        <v>312.43110610485337</v>
      </c>
      <c r="T203" s="62">
        <f t="shared" si="204"/>
        <v>442.54749157177571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1.8635788326913628E-2</v>
      </c>
      <c r="AA203" s="23">
        <f>EXP(-LN(2)/25)*AA202+(1-EXP(-LN(2)/25))/(LN(2)/25)*Calculateur!V203*Calculateur!X203*VLOOKUP('Données projet'!$B$9,Paramètres!$A$1:$I$89,3,0)*0.475*44/12</f>
        <v>8.4491726033512019E-3</v>
      </c>
      <c r="AB203" s="23">
        <f>EXP(-LN(2)/2)*AB202+(1-EXP(-LN(2)/2))/(LN(2)/2)*V203*Y203*VLOOKUP('Données projet'!$B$9,Paramètres!$A$1:$I$89,3,0)*0.475*44/12</f>
        <v>9.9304691693467666E-26</v>
      </c>
      <c r="AC203" s="24">
        <f t="shared" si="163"/>
        <v>2.7084960930264829E-2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-5.6843418860808015E-14</v>
      </c>
      <c r="AJ203" s="14">
        <f>AI203*VLOOKUP('Données projet'!$B$10,Paramètres!$A$1:$I$89,3,0)*VLOOKUP('Données projet'!$B$10,Paramètres!$A$1:$I$89,5,0)</f>
        <v>-4.7884896048344674E-14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445.02659128831181</v>
      </c>
      <c r="AO203" s="62">
        <f t="shared" si="205"/>
        <v>281.06176764290592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0.16104777176815735</v>
      </c>
      <c r="AV203" s="23">
        <f>EXP(-LN(2)/25)*AV202+(1-EXP(-LN(2)/25))/(LN(2)/25)*Calculateur!AQ203*Calculateur!AS203*VLOOKUP('Données projet'!$B$10,Paramètres!$A$1:$I$89,3,0)*0.475*44/12</f>
        <v>1.0022466812251102E-2</v>
      </c>
      <c r="AW203" s="23">
        <f>EXP(-LN(2)/2)*AW202+(1-EXP(-LN(2)/2))/(LN(2)/2)*AQ203*AT203*VLOOKUP('Données projet'!$B$10,Paramètres!$A$1:$I$89,3,0)*0.475*44/12</f>
        <v>4.8713672647996305E-25</v>
      </c>
      <c r="AX203" s="23">
        <f t="shared" si="166"/>
        <v>0.17107023858040846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-5.6843418860808015E-14</v>
      </c>
      <c r="BE203" s="14">
        <f>BD203*VLOOKUP('Données projet'!$B$11,Paramètres!$A$1:$I$89,3,0)*VLOOKUP('Données projet'!$B$11,Paramètres!$A$1:$I$89,5,0)</f>
        <v>-5.1431925385259088E-14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472.46893084347687</v>
      </c>
      <c r="BJ203" s="62">
        <f t="shared" si="206"/>
        <v>297.32483725004136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0.17297723634357642</v>
      </c>
      <c r="BQ203" s="23">
        <f>EXP(-LN(2)/25)*BQ202+(1-EXP(-LN(2)/25))/(LN(2)/25)*Calculateur!BL203*Calculateur!BN203*VLOOKUP('Données projet'!$B$11,Paramètres!$A$1:$I$89,3,0)*0.475*44/12</f>
        <v>1.0764871761306725E-2</v>
      </c>
      <c r="BR203" s="23">
        <f>EXP(-LN(2)/2)*BR202+(1-EXP(-LN(2)/2))/(LN(2)/2)*BL203*BO203*VLOOKUP('Données projet'!$B$11,Paramètres!$A$1:$I$89,3,0)*0.475*44/12</f>
        <v>5.232209284414416E-25</v>
      </c>
      <c r="BS203" s="24">
        <f t="shared" si="169"/>
        <v>0.18374210810488315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-1.1368683772161603E-13</v>
      </c>
      <c r="BZ203" s="14">
        <f>BY203*VLOOKUP('Données projet'!$B$12,Paramètres!$A$1:$I$89,3,0)*VLOOKUP('Données projet'!$B$12,Paramètres!$A$1:$I$89,5,0)</f>
        <v>-5.3205440053716299E-14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426.87921482911719</v>
      </c>
      <c r="CE203" s="62">
        <f t="shared" si="207"/>
        <v>313.49594674441835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-1.1368683772161603E-13</v>
      </c>
      <c r="CU203" s="18">
        <f>CT203*VLOOKUP('Données projet'!$B$13,Paramètres!$A$1:$I$89,3,0)*VLOOKUP('Données projet'!$B$13,Paramètres!$A$1:$I$89,5,0)</f>
        <v>-6.7984728957526396E-14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367.11994336501527</v>
      </c>
      <c r="CZ203" s="62">
        <f t="shared" si="208"/>
        <v>390.81417197867484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1.1955342492719154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1.1900797545566549E-25</v>
      </c>
      <c r="DI203" s="24">
        <f t="shared" si="175"/>
        <v>1.1955342492719154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1.9472943612303364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1.2392705892426346</v>
      </c>
      <c r="BA205" s="88">
        <f>EXP(LN('Données projet'!B88)/'Données projet'!A88)</f>
        <v>1.2392705892426346</v>
      </c>
      <c r="BV205" s="88">
        <f>EXP(LN('Données projet'!B114)/'Données projet'!A114)</f>
        <v>1.2880503926580862</v>
      </c>
      <c r="CQ205" s="88">
        <f>EXP(LN('Données projet'!B140)/'Données projet'!A140)</f>
        <v>1.3239616704988877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L16" sqref="L1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Robinier faux-acacia</v>
      </c>
      <c r="B6" s="155">
        <f>'Données projet'!D9</f>
        <v>3.2402000000000002</v>
      </c>
      <c r="C6" s="156">
        <f ca="1">IF(OR('Données projet'!B9="",'Données projet'!C9="",'Données projet'!C9=0%),0,Calculateur!S3)</f>
        <v>312.43110610485337</v>
      </c>
      <c r="D6" s="156">
        <f>IF(OR('Données projet'!B9="",'Données projet'!C9="",'Données projet'!C9=0%),0,Calculateur!T3)</f>
        <v>442.54749157177571</v>
      </c>
      <c r="E6" s="156">
        <f ca="1">MIN(C6,D6)</f>
        <v>312.43110610485337</v>
      </c>
      <c r="F6" s="156">
        <f ca="1">E6*B6</f>
        <v>1012.3392700009459</v>
      </c>
      <c r="G6" s="156">
        <f ca="1">F6*(100%-'Données projet'!$C$24)*(100%-'Données projet'!$C$25)*(100%-'Données projet'!$C$26)*(100%-'Données projet'!$C$27)</f>
        <v>911.10534300085135</v>
      </c>
      <c r="H6" s="157">
        <f>IF(OR('Données projet'!B9="",'Données projet'!C9="",'Données projet'!C9=0%),0,AVERAGE(Calculateur!$AC$3:$AC$33)*B6)</f>
        <v>0.556403324875134</v>
      </c>
      <c r="I6" s="158">
        <f>H6*(100%-'Données projet'!$C$24)*(100%-'Données projet'!$C$25)*(100%-'Données projet'!$C$26)*(100%-'Données projet'!$C$27)</f>
        <v>0.50076299238762056</v>
      </c>
      <c r="J6" s="159">
        <f>IF(OR('Données projet'!B9="",'Données projet'!C9="",'Données projet'!C9=0%),0,SUM(Calculateur!$V$3:$V$33)*VLOOKUP('Données projet'!$B$9,Paramètres!$A$1:$I$89,9,0)*B6)</f>
        <v>61.563800000000001</v>
      </c>
      <c r="K6" s="160">
        <f>J6*(100%-'Données projet'!$C$24)*(100%-'Données projet'!$C$25)*(100%-'Données projet'!$C$26)*(100%-'Données projet'!$C$27)</f>
        <v>55.407420000000002</v>
      </c>
      <c r="L6" s="161">
        <f ca="1">G6+I6+K6</f>
        <v>967.013525993239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Chêne pédonculé</v>
      </c>
      <c r="B7" s="163">
        <f>'Données projet'!D10</f>
        <v>1.0483</v>
      </c>
      <c r="C7" s="156">
        <f ca="1">IF(OR('Données projet'!B10="",'Données projet'!C10="",'Données projet'!C10=0%),0,Calculateur!AN3)</f>
        <v>445.02659128831181</v>
      </c>
      <c r="D7" s="156">
        <f>IF(OR('Données projet'!B10="",'Données projet'!C10="",'Données projet'!C10=0%),0,Calculateur!AO3)</f>
        <v>281.06176764290592</v>
      </c>
      <c r="E7" s="156">
        <f t="shared" ref="E7:E15" ca="1" si="0">MIN(C7,D7)</f>
        <v>281.06176764290592</v>
      </c>
      <c r="F7" s="156">
        <f t="shared" ref="F7:F15" ca="1" si="1">E7*B7</f>
        <v>294.63705102005827</v>
      </c>
      <c r="G7" s="156">
        <f ca="1">F7*(100%-'Données projet'!$C$24)*(100%-'Données projet'!$C$25)*(100%-'Données projet'!$C$26)*(100%-'Données projet'!$C$27)</f>
        <v>265.17334591805246</v>
      </c>
      <c r="H7" s="164">
        <f>IF(OR('Données projet'!B10="",'Données projet'!C10="",'Données projet'!C10=0%),0,AVERAGE(Calculateur!$AX$3:$AX$33)*B7)</f>
        <v>3.4652554424053656</v>
      </c>
      <c r="I7" s="158">
        <f>H7*(100%-'Données projet'!$C$24)*(100%-'Données projet'!$C$25)*(100%-'Données projet'!$C$26)*(100%-'Données projet'!$C$27)</f>
        <v>3.1187298981648293</v>
      </c>
      <c r="J7" s="159">
        <f>IF(OR('Données projet'!B10="",'Données projet'!C10="",'Données projet'!C10=0%),0,SUM(Calculateur!$AQ$3:$AQ$33)*VLOOKUP('Données projet'!$B$10,Paramètres!$A$1:$I$89,9,0)*B7)</f>
        <v>16.248650000000001</v>
      </c>
      <c r="K7" s="160">
        <f>J7*(100%-'Données projet'!$C$24)*(100%-'Données projet'!$C$25)*(100%-'Données projet'!$C$26)*(100%-'Données projet'!$C$27)</f>
        <v>14.623785000000002</v>
      </c>
      <c r="L7" s="161">
        <f t="shared" ref="L7:L15" ca="1" si="2">G7+I7+K7</f>
        <v>282.91586081621728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Chêne sessile</v>
      </c>
      <c r="B8" s="163">
        <f>'Données projet'!D11</f>
        <v>2.6684000000000001</v>
      </c>
      <c r="C8" s="156">
        <f ca="1">IF(OR('Données projet'!B11="",'Données projet'!C11="",'Données projet'!C11=0%),0,Calculateur!BI3)</f>
        <v>472.46893084347687</v>
      </c>
      <c r="D8" s="156">
        <f>IF(OR('Données projet'!B11="",'Données projet'!C11="",'Données projet'!C11=0%),0,Calculateur!BJ3)</f>
        <v>297.32483725004136</v>
      </c>
      <c r="E8" s="156">
        <f t="shared" ca="1" si="0"/>
        <v>297.32483725004136</v>
      </c>
      <c r="F8" s="156">
        <f t="shared" ca="1" si="1"/>
        <v>793.38159571801043</v>
      </c>
      <c r="G8" s="156">
        <f ca="1">F8*(100%-'Données projet'!$C$24)*(100%-'Données projet'!$C$25)*(100%-'Données projet'!$C$26)*(100%-'Données projet'!$C$27)</f>
        <v>714.04343614620939</v>
      </c>
      <c r="H8" s="164">
        <f>IF(OR('Données projet'!B11="",'Données projet'!C11="",'Données projet'!C11=0%),0,AVERAGE(Calculateur!$BS$3:$BS$33)*B8)</f>
        <v>9.474031714589751</v>
      </c>
      <c r="I8" s="158">
        <f>H8*(100%-'Données projet'!$C$24)*(100%-'Données projet'!$C$25)*(100%-'Données projet'!$C$26)*(100%-'Données projet'!$C$27)</f>
        <v>8.5266285431307764</v>
      </c>
      <c r="J8" s="159">
        <f>IF(OR('Données projet'!B11="",'Données projet'!C11="",'Données projet'!C11=0%),0,SUM(Calculateur!$BL$3:$BL$33)*VLOOKUP('Données projet'!$B$11,Paramètres!$A$1:$I$89,9,0)*B8)</f>
        <v>41.360199999999999</v>
      </c>
      <c r="K8" s="160">
        <f>J8*(100%-'Données projet'!$C$24)*(100%-'Données projet'!$C$25)*(100%-'Données projet'!$C$26)*(100%-'Données projet'!$C$27)</f>
        <v>37.224179999999997</v>
      </c>
      <c r="L8" s="161">
        <f t="shared" ca="1" si="2"/>
        <v>759.79424468934019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Cèdre de l'Atlas</v>
      </c>
      <c r="B9" s="163">
        <f>'Données projet'!D12</f>
        <v>1.2388999999999999</v>
      </c>
      <c r="C9" s="156">
        <f ca="1">IF(OR('Données projet'!B12="",'Données projet'!C12="",'Données projet'!C12=0%),0,Calculateur!CD3)</f>
        <v>426.87921482911719</v>
      </c>
      <c r="D9" s="156">
        <f>IF(OR('Données projet'!B12="",'Données projet'!C12="",'Données projet'!C12=0%),0,Calculateur!CE3)</f>
        <v>313.49594674441835</v>
      </c>
      <c r="E9" s="156">
        <f t="shared" ca="1" si="0"/>
        <v>313.49594674441835</v>
      </c>
      <c r="F9" s="156">
        <f t="shared" ca="1" si="1"/>
        <v>388.39012842165988</v>
      </c>
      <c r="G9" s="156">
        <f ca="1">F9*(100%-'Données projet'!$C$24)*(100%-'Données projet'!$C$25)*(100%-'Données projet'!$C$26)*(100%-'Données projet'!$C$27)</f>
        <v>349.55111557949391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ca="1" si="2"/>
        <v>349.55111557949391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>Pin laricio</v>
      </c>
      <c r="B10" s="163">
        <f>'Données projet'!D13</f>
        <v>1.3342000000000001</v>
      </c>
      <c r="C10" s="156">
        <f ca="1">IF(OR('Données projet'!B13="",'Données projet'!C13="",'Données projet'!C13=0%),0,Calculateur!CY3)</f>
        <v>367.11994336501527</v>
      </c>
      <c r="D10" s="156">
        <f>IF(OR('Données projet'!B13="",'Données projet'!C13="",'Données projet'!C13=0%),0,Calculateur!CZ3)</f>
        <v>390.81417197867484</v>
      </c>
      <c r="E10" s="156">
        <f t="shared" ca="1" si="0"/>
        <v>367.11994336501527</v>
      </c>
      <c r="F10" s="156">
        <f t="shared" ca="1" si="1"/>
        <v>489.81142843760341</v>
      </c>
      <c r="G10" s="156">
        <f ca="1">F10*(100%-'Données projet'!$C$24)*(100%-'Données projet'!$C$25)*(100%-'Données projet'!$C$26)*(100%-'Données projet'!$C$27)</f>
        <v>440.83028559384309</v>
      </c>
      <c r="H10" s="164">
        <f>IF(OR('Données projet'!B13="",'Données projet'!C13="",'Données projet'!C13=0%),0,AVERAGE(Calculateur!$DI$3:$DI$33)*B10)</f>
        <v>9.0800062054383677</v>
      </c>
      <c r="I10" s="158">
        <f>H10*(100%-'Données projet'!$C$24)*(100%-'Données projet'!$C$25)*(100%-'Données projet'!$C$26)*(100%-'Données projet'!$C$27)</f>
        <v>8.1720055848945314</v>
      </c>
      <c r="J10" s="159">
        <f>IF(OR('Données projet'!B13="",'Données projet'!C13="",'Données projet'!C13=0%),0,SUM(Calculateur!$DB$3:$DB$33)*VLOOKUP('Données projet'!$B$13,Paramètres!$A$1:$I$89,9,0)*B10)</f>
        <v>68.844720000000009</v>
      </c>
      <c r="K10" s="160">
        <f>J10*(100%-'Données projet'!$C$24)*(100%-'Données projet'!$C$25)*(100%-'Données projet'!$C$26)*(100%-'Données projet'!$C$27)</f>
        <v>61.960248000000007</v>
      </c>
      <c r="L10" s="161">
        <f t="shared" ca="1" si="2"/>
        <v>510.96253917873764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2978.5594735982777</v>
      </c>
      <c r="G16" s="175">
        <f t="shared" ca="1" si="3"/>
        <v>2680.7035262384502</v>
      </c>
      <c r="H16" s="176">
        <f t="shared" si="3"/>
        <v>22.575696687308621</v>
      </c>
      <c r="I16" s="176">
        <f t="shared" si="3"/>
        <v>20.318127018577758</v>
      </c>
      <c r="J16" s="177">
        <f t="shared" si="3"/>
        <v>188.01737000000003</v>
      </c>
      <c r="K16" s="177">
        <f t="shared" si="3"/>
        <v>169.215633</v>
      </c>
      <c r="L16" s="178">
        <f t="shared" ca="1" si="3"/>
        <v>2870.2372862570278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Robinier faux-acacia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Chêne pédonculé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Chêne sessile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Cèdre de l'Atlas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>Pin laricio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G9" zoomScale="70" zoomScaleNormal="70" workbookViewId="0">
      <selection activeCell="W27" sqref="W27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Robinier faux-acacia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835.68264071905787</v>
      </c>
      <c r="U10" s="190">
        <f>'Données projet'!D9</f>
        <v>3.2402000000000002</v>
      </c>
      <c r="V10" s="189">
        <f>U10*T10</f>
        <v>2707.7788924578913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pédonculé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2835.7128853947993</v>
      </c>
      <c r="U11" s="190">
        <f>'Données projet'!D10</f>
        <v>1.0483</v>
      </c>
      <c r="V11" s="189">
        <f t="shared" ref="V11" si="0">U11*T11</f>
        <v>2972.6778177593683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Chêne sessile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2.6684000000000001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Cèdre de l'Atlas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1438.4962231401878</v>
      </c>
      <c r="U13" s="190">
        <f>'Données projet'!D12</f>
        <v>1.2388999999999999</v>
      </c>
      <c r="V13" s="189">
        <f t="shared" si="1"/>
        <v>1782.1529708483786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Robinier faux-acacia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Pin laricio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3423.6364350518897</v>
      </c>
      <c r="U14" s="190">
        <f>'Données projet'!D13</f>
        <v>1.3342000000000001</v>
      </c>
      <c r="V14" s="189">
        <f t="shared" si="1"/>
        <v>4567.8157316462311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9031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5</v>
      </c>
      <c r="B23" s="193">
        <f>'Données projet'!D36</f>
        <v>4</v>
      </c>
      <c r="C23" s="206">
        <v>6</v>
      </c>
      <c r="D23" s="194">
        <f>B23*C23</f>
        <v>24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-74035.004587288131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10</v>
      </c>
      <c r="B24" s="193">
        <f>'Données projet'!D37</f>
        <v>21</v>
      </c>
      <c r="C24" s="206">
        <v>6</v>
      </c>
      <c r="D24" s="194">
        <f t="shared" ref="D24:D42" si="2">B24*C24</f>
        <v>126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15</v>
      </c>
      <c r="B25" s="193">
        <f>'Données projet'!D38</f>
        <v>17</v>
      </c>
      <c r="C25" s="206">
        <v>8</v>
      </c>
      <c r="D25" s="194">
        <f t="shared" si="2"/>
        <v>136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1">
        <f ca="1">T23-T24</f>
        <v>-74035.004587288131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20</v>
      </c>
      <c r="B26" s="193">
        <f>'Données projet'!D39</f>
        <v>14</v>
      </c>
      <c r="C26" s="206">
        <v>8</v>
      </c>
      <c r="D26" s="194">
        <f t="shared" si="2"/>
        <v>112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25</v>
      </c>
      <c r="B27" s="193">
        <f>'Données projet'!D40</f>
        <v>11</v>
      </c>
      <c r="C27" s="206">
        <v>11</v>
      </c>
      <c r="D27" s="194">
        <f t="shared" si="2"/>
        <v>121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30</v>
      </c>
      <c r="B28" s="193">
        <f>'Données projet'!D41</f>
        <v>9</v>
      </c>
      <c r="C28" s="206">
        <v>11</v>
      </c>
      <c r="D28" s="194">
        <f t="shared" si="2"/>
        <v>99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35</v>
      </c>
      <c r="B29" s="193">
        <f>'Données projet'!D42</f>
        <v>7</v>
      </c>
      <c r="C29" s="206">
        <v>12</v>
      </c>
      <c r="D29" s="194">
        <f t="shared" si="2"/>
        <v>84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40</v>
      </c>
      <c r="B30" s="193">
        <f>'Données projet'!D43</f>
        <v>6</v>
      </c>
      <c r="C30" s="206">
        <v>12</v>
      </c>
      <c r="D30" s="194">
        <f t="shared" si="2"/>
        <v>72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45</v>
      </c>
      <c r="B31" s="193">
        <f>'Données projet'!D44</f>
        <v>252</v>
      </c>
      <c r="C31" s="206">
        <v>15</v>
      </c>
      <c r="D31" s="194">
        <f t="shared" si="2"/>
        <v>3780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Chêne pédonculé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6</v>
      </c>
      <c r="C54" s="204">
        <v>5</v>
      </c>
      <c r="D54" s="191">
        <f>B54*C54</f>
        <v>30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25</v>
      </c>
      <c r="B55" s="193">
        <f>'Données projet'!D63</f>
        <v>28</v>
      </c>
      <c r="C55" s="204">
        <v>10</v>
      </c>
      <c r="D55" s="191">
        <f t="shared" ref="D55:D73" si="4">B55*C55</f>
        <v>280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30</v>
      </c>
      <c r="B56" s="193">
        <f>'Données projet'!D64</f>
        <v>28</v>
      </c>
      <c r="C56" s="204">
        <v>10</v>
      </c>
      <c r="D56" s="191">
        <f t="shared" si="4"/>
        <v>280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35</v>
      </c>
      <c r="B57" s="193">
        <f>'Données projet'!D65</f>
        <v>28</v>
      </c>
      <c r="C57" s="204">
        <v>50</v>
      </c>
      <c r="D57" s="191">
        <f t="shared" si="4"/>
        <v>1400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40</v>
      </c>
      <c r="B58" s="193">
        <f>'Données projet'!D66</f>
        <v>28</v>
      </c>
      <c r="C58" s="204">
        <v>80</v>
      </c>
      <c r="D58" s="191">
        <f t="shared" si="4"/>
        <v>2240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45</v>
      </c>
      <c r="B59" s="193">
        <f>'Données projet'!D67</f>
        <v>28</v>
      </c>
      <c r="C59" s="204">
        <v>100</v>
      </c>
      <c r="D59" s="191">
        <f t="shared" si="4"/>
        <v>2800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50</v>
      </c>
      <c r="B60" s="193">
        <f>'Données projet'!D68</f>
        <v>28</v>
      </c>
      <c r="C60" s="204">
        <v>100</v>
      </c>
      <c r="D60" s="191">
        <f t="shared" si="4"/>
        <v>2800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55</v>
      </c>
      <c r="B61" s="193">
        <f>'Données projet'!D69</f>
        <v>28</v>
      </c>
      <c r="C61" s="204">
        <v>100</v>
      </c>
      <c r="D61" s="191">
        <f t="shared" si="4"/>
        <v>2800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60</v>
      </c>
      <c r="B62" s="193">
        <f>'Données projet'!D70</f>
        <v>28</v>
      </c>
      <c r="C62" s="204">
        <v>100</v>
      </c>
      <c r="D62" s="191">
        <f t="shared" si="4"/>
        <v>2800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65</v>
      </c>
      <c r="B63" s="193">
        <f>'Données projet'!D71</f>
        <v>28</v>
      </c>
      <c r="C63" s="204">
        <v>100</v>
      </c>
      <c r="D63" s="191">
        <f t="shared" si="4"/>
        <v>2800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70</v>
      </c>
      <c r="B64" s="193">
        <f>'Données projet'!D72</f>
        <v>28</v>
      </c>
      <c r="C64" s="204">
        <v>100</v>
      </c>
      <c r="D64" s="191">
        <f t="shared" si="4"/>
        <v>2800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75</v>
      </c>
      <c r="B65" s="193">
        <f>'Données projet'!D73</f>
        <v>28</v>
      </c>
      <c r="C65" s="204">
        <v>100</v>
      </c>
      <c r="D65" s="191">
        <f t="shared" si="4"/>
        <v>2800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80</v>
      </c>
      <c r="B66" s="193">
        <f>'Données projet'!D74</f>
        <v>28</v>
      </c>
      <c r="C66" s="204">
        <v>100</v>
      </c>
      <c r="D66" s="191">
        <f t="shared" si="4"/>
        <v>2800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85</v>
      </c>
      <c r="B67" s="193">
        <f>'Données projet'!D75</f>
        <v>28</v>
      </c>
      <c r="C67" s="204">
        <v>100</v>
      </c>
      <c r="D67" s="191">
        <f t="shared" si="4"/>
        <v>2800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90</v>
      </c>
      <c r="B68" s="193">
        <f>'Données projet'!D76</f>
        <v>28</v>
      </c>
      <c r="C68" s="204">
        <v>100</v>
      </c>
      <c r="D68" s="191">
        <f t="shared" si="4"/>
        <v>2800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95</v>
      </c>
      <c r="B69" s="193">
        <f>'Données projet'!D77</f>
        <v>28</v>
      </c>
      <c r="C69" s="204">
        <v>100</v>
      </c>
      <c r="D69" s="191">
        <f t="shared" si="4"/>
        <v>2800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100</v>
      </c>
      <c r="B70" s="193">
        <f>'Données projet'!D78</f>
        <v>27</v>
      </c>
      <c r="C70" s="204">
        <v>100</v>
      </c>
      <c r="D70" s="191">
        <f t="shared" si="4"/>
        <v>2700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105</v>
      </c>
      <c r="B71" s="193">
        <f>'Données projet'!D79</f>
        <v>26</v>
      </c>
      <c r="C71" s="204">
        <v>100</v>
      </c>
      <c r="D71" s="191">
        <f t="shared" si="4"/>
        <v>2600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110</v>
      </c>
      <c r="B72" s="193">
        <f>'Données projet'!D80</f>
        <v>25</v>
      </c>
      <c r="C72" s="204">
        <v>100</v>
      </c>
      <c r="D72" s="191">
        <f t="shared" si="4"/>
        <v>2500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115</v>
      </c>
      <c r="B73" s="193">
        <f>'Données projet'!D81</f>
        <v>321</v>
      </c>
      <c r="C73" s="204">
        <v>100</v>
      </c>
      <c r="D73" s="191">
        <f t="shared" si="4"/>
        <v>32100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Chêne sessile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str">
        <f>IF(O78+1&lt;=MIN('Données projet'!$E$9:$E$18),O78+1,"STOP")</f>
        <v>STOP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20</v>
      </c>
      <c r="B85" s="193">
        <f>'Données projet'!D88</f>
        <v>6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25</v>
      </c>
      <c r="B86" s="193">
        <f>'Données projet'!D89</f>
        <v>28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30</v>
      </c>
      <c r="B87" s="193">
        <f>'Données projet'!D90</f>
        <v>28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35</v>
      </c>
      <c r="B88" s="193">
        <f>'Données projet'!D91</f>
        <v>28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40</v>
      </c>
      <c r="B89" s="193">
        <f>'Données projet'!D92</f>
        <v>28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45</v>
      </c>
      <c r="B90" s="193">
        <f>'Données projet'!D93</f>
        <v>28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50</v>
      </c>
      <c r="B91" s="193">
        <f>'Données projet'!D94</f>
        <v>28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55</v>
      </c>
      <c r="B92" s="193">
        <f>'Données projet'!D95</f>
        <v>28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60</v>
      </c>
      <c r="B93" s="193">
        <f>'Données projet'!D96</f>
        <v>28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65</v>
      </c>
      <c r="B94" s="193">
        <f>'Données projet'!D97</f>
        <v>28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70</v>
      </c>
      <c r="B95" s="193">
        <f>'Données projet'!D98</f>
        <v>28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75</v>
      </c>
      <c r="B96" s="193">
        <f>'Données projet'!D99</f>
        <v>28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80</v>
      </c>
      <c r="B97" s="193">
        <f>'Données projet'!D100</f>
        <v>28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85</v>
      </c>
      <c r="B98" s="193">
        <f>'Données projet'!D101</f>
        <v>28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90</v>
      </c>
      <c r="B99" s="193">
        <f>'Données projet'!D102</f>
        <v>28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95</v>
      </c>
      <c r="B100" s="193">
        <f>'Données projet'!D103</f>
        <v>28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100</v>
      </c>
      <c r="B101" s="193">
        <f>'Données projet'!D104</f>
        <v>27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105</v>
      </c>
      <c r="B102" s="193">
        <f>'Données projet'!D105</f>
        <v>26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110</v>
      </c>
      <c r="B103" s="193">
        <f>'Données projet'!D106</f>
        <v>25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115</v>
      </c>
      <c r="B104" s="193">
        <f>'Données projet'!D107</f>
        <v>321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Cèdre de l'Atlas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20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30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40</v>
      </c>
      <c r="B118" s="193">
        <f>'Données projet'!D116</f>
        <v>88</v>
      </c>
      <c r="C118" s="204">
        <v>20</v>
      </c>
      <c r="D118" s="191">
        <f t="shared" si="8"/>
        <v>1760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50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60</v>
      </c>
      <c r="B120" s="193">
        <f>'Données projet'!D118</f>
        <v>102</v>
      </c>
      <c r="C120" s="204">
        <v>35</v>
      </c>
      <c r="D120" s="191">
        <f t="shared" si="8"/>
        <v>3570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70</v>
      </c>
      <c r="B121" s="193">
        <f>'Données projet'!D119</f>
        <v>113</v>
      </c>
      <c r="C121" s="204">
        <v>35</v>
      </c>
      <c r="D121" s="191">
        <f t="shared" si="8"/>
        <v>3955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80</v>
      </c>
      <c r="B122" s="193">
        <f>'Données projet'!D120</f>
        <v>124</v>
      </c>
      <c r="C122" s="204">
        <v>35</v>
      </c>
      <c r="D122" s="191">
        <f t="shared" si="8"/>
        <v>4340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90</v>
      </c>
      <c r="B123" s="193">
        <f>'Données projet'!D121</f>
        <v>135</v>
      </c>
      <c r="C123" s="204">
        <v>50</v>
      </c>
      <c r="D123" s="191">
        <f t="shared" si="8"/>
        <v>6750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100</v>
      </c>
      <c r="B124" s="193">
        <f>'Données projet'!D122</f>
        <v>723</v>
      </c>
      <c r="C124" s="204">
        <v>50</v>
      </c>
      <c r="D124" s="191">
        <f t="shared" si="8"/>
        <v>36150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>Pin laricio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17</v>
      </c>
      <c r="B147" s="187">
        <f>'Données projet'!D140</f>
        <v>15</v>
      </c>
      <c r="C147" s="204">
        <v>4</v>
      </c>
      <c r="D147" s="194">
        <f>B147*C147</f>
        <v>60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20</v>
      </c>
      <c r="B148" s="187">
        <f>'Données projet'!D141</f>
        <v>15</v>
      </c>
      <c r="C148" s="204">
        <v>10</v>
      </c>
      <c r="D148" s="194">
        <f t="shared" ref="D148:D166" si="10">B148*C148</f>
        <v>150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25</v>
      </c>
      <c r="B149" s="187">
        <f>'Données projet'!D142</f>
        <v>36</v>
      </c>
      <c r="C149" s="204">
        <v>10</v>
      </c>
      <c r="D149" s="194">
        <f t="shared" si="10"/>
        <v>360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30</v>
      </c>
      <c r="B150" s="187">
        <f>'Données projet'!D143</f>
        <v>54</v>
      </c>
      <c r="C150" s="204">
        <v>20</v>
      </c>
      <c r="D150" s="194">
        <f t="shared" si="10"/>
        <v>1080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35</v>
      </c>
      <c r="B151" s="187">
        <f>'Données projet'!D144</f>
        <v>52</v>
      </c>
      <c r="C151" s="204">
        <v>20</v>
      </c>
      <c r="D151" s="194">
        <f t="shared" si="10"/>
        <v>1040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40</v>
      </c>
      <c r="B152" s="187">
        <f>'Données projet'!D145</f>
        <v>48</v>
      </c>
      <c r="C152" s="204">
        <v>40</v>
      </c>
      <c r="D152" s="194">
        <f t="shared" si="10"/>
        <v>1920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45</v>
      </c>
      <c r="B153" s="187">
        <f>'Données projet'!D146</f>
        <v>57</v>
      </c>
      <c r="C153" s="204">
        <v>40</v>
      </c>
      <c r="D153" s="194">
        <f t="shared" si="10"/>
        <v>2280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50</v>
      </c>
      <c r="B154" s="187">
        <f>'Données projet'!D147</f>
        <v>47</v>
      </c>
      <c r="C154" s="204">
        <v>40</v>
      </c>
      <c r="D154" s="194">
        <f t="shared" si="10"/>
        <v>1880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55</v>
      </c>
      <c r="B155" s="187">
        <f>'Données projet'!D148</f>
        <v>48</v>
      </c>
      <c r="C155" s="204">
        <v>40</v>
      </c>
      <c r="D155" s="194">
        <f t="shared" si="10"/>
        <v>1920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60</v>
      </c>
      <c r="B156" s="187">
        <f>'Données projet'!D149</f>
        <v>32</v>
      </c>
      <c r="C156" s="204">
        <v>40</v>
      </c>
      <c r="D156" s="194">
        <f t="shared" si="10"/>
        <v>1280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65</v>
      </c>
      <c r="B157" s="187">
        <f>'Données projet'!D150</f>
        <v>555</v>
      </c>
      <c r="C157" s="204">
        <v>50</v>
      </c>
      <c r="D157" s="194">
        <f t="shared" si="10"/>
        <v>27750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2023-01-12T10:00:28Z</dcterms:modified>
</cp:coreProperties>
</file>