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C+FOR\A.S.O\Tour de France 2022\81 - Jonquières\Dossier labellisation\"/>
    </mc:Choice>
  </mc:AlternateContent>
  <bookViews>
    <workbookView xWindow="0" yWindow="0" windowWidth="20490" windowHeight="7155" tabRatio="866" activeTab="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7" i="1" l="1"/>
  <c r="B127" i="1"/>
  <c r="B126" i="1"/>
  <c r="D125" i="1"/>
  <c r="B125" i="1"/>
  <c r="B124" i="1"/>
  <c r="D123" i="1"/>
  <c r="B123" i="1"/>
  <c r="B122" i="1"/>
  <c r="D121" i="1"/>
  <c r="B121" i="1"/>
  <c r="B120" i="1"/>
  <c r="D119" i="1"/>
  <c r="B119" i="1"/>
  <c r="B118" i="1"/>
  <c r="D117" i="1"/>
  <c r="B117" i="1"/>
  <c r="B116" i="1"/>
  <c r="D115" i="1"/>
  <c r="B115" i="1"/>
  <c r="B114" i="1"/>
  <c r="B158" i="1"/>
  <c r="D158" i="1" s="1"/>
  <c r="B157" i="1"/>
  <c r="D155" i="1"/>
  <c r="B155" i="1"/>
  <c r="D153" i="1"/>
  <c r="B153" i="1"/>
  <c r="D151" i="1"/>
  <c r="B151" i="1"/>
  <c r="D149" i="1"/>
  <c r="B149" i="1"/>
  <c r="D147" i="1"/>
  <c r="B147" i="1"/>
  <c r="D145" i="1"/>
  <c r="B145" i="1"/>
  <c r="B156" i="1"/>
  <c r="B154" i="1"/>
  <c r="B152" i="1"/>
  <c r="B150" i="1"/>
  <c r="B148" i="1"/>
  <c r="B146" i="1"/>
  <c r="B144" i="1"/>
  <c r="D143" i="1"/>
  <c r="B143" i="1"/>
  <c r="B142" i="1"/>
  <c r="D141" i="1"/>
  <c r="B141" i="1"/>
  <c r="B140" i="1"/>
  <c r="D172" i="1"/>
  <c r="B172" i="1"/>
  <c r="B171" i="1"/>
  <c r="D170" i="1"/>
  <c r="B170" i="1"/>
  <c r="B169" i="1"/>
  <c r="B168" i="1"/>
  <c r="D94" i="1"/>
  <c r="B94" i="1"/>
  <c r="B93" i="1"/>
  <c r="D92" i="1"/>
  <c r="B92" i="1"/>
  <c r="B91" i="1"/>
  <c r="B90" i="1"/>
  <c r="B81" i="1"/>
  <c r="B80" i="1"/>
  <c r="B79" i="1"/>
  <c r="D78" i="1"/>
  <c r="B78" i="1"/>
  <c r="B77" i="1"/>
  <c r="D76" i="1"/>
  <c r="B76" i="1"/>
  <c r="B75" i="1"/>
  <c r="D74" i="1"/>
  <c r="B74" i="1"/>
  <c r="B73" i="1"/>
  <c r="D72" i="1"/>
  <c r="B72" i="1"/>
  <c r="B71" i="1"/>
  <c r="D70" i="1"/>
  <c r="B70" i="1"/>
  <c r="B69" i="1"/>
  <c r="D68" i="1"/>
  <c r="B68" i="1"/>
  <c r="B67" i="1"/>
  <c r="D66" i="1"/>
  <c r="B66" i="1"/>
  <c r="B65" i="1"/>
  <c r="D81" i="1"/>
  <c r="B64" i="1"/>
  <c r="B204" i="1"/>
  <c r="B203" i="1"/>
  <c r="D201" i="1"/>
  <c r="B201" i="1"/>
  <c r="D199" i="1"/>
  <c r="B199" i="1"/>
  <c r="D197" i="1"/>
  <c r="B197" i="1"/>
  <c r="D195" i="1"/>
  <c r="B195" i="1"/>
  <c r="B193" i="1"/>
  <c r="D204" i="1"/>
  <c r="D193" i="1"/>
  <c r="D39" i="1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BQ4" i="2" s="1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HI4" i="2" l="1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EX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W22" i="2"/>
  <c r="EC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V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W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W38" i="2"/>
  <c r="EX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V61" i="2"/>
  <c r="EX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B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V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EX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EY154" i="2"/>
  <c r="AC154" i="2"/>
  <c r="EW155" i="2"/>
  <c r="EX155" i="2"/>
  <c r="EA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EB156" i="2" l="1"/>
  <c r="EY155" i="2"/>
  <c r="EX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X157" i="2"/>
  <c r="EC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EA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X161" i="2" l="1"/>
  <c r="EB161" i="2"/>
  <c r="EA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EY161" i="2"/>
  <c r="EW162" i="2"/>
  <c r="EC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V163" i="2"/>
  <c r="EA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DI163" i="2" l="1"/>
  <c r="EA164" i="2"/>
  <c r="EY163" i="2"/>
  <c r="EX164" i="2"/>
  <c r="EV164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D165" i="2" s="1"/>
  <c r="EX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X167" i="2"/>
  <c r="EA167" i="2"/>
  <c r="EB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W168" i="2"/>
  <c r="DG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Y168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D172" i="2" s="1"/>
  <c r="EY171" i="2"/>
  <c r="EW172" i="2"/>
  <c r="EV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EA178" i="2"/>
  <c r="EB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V179" i="2" l="1"/>
  <c r="DF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Y184" i="2"/>
  <c r="EW185" i="2"/>
  <c r="EV185" i="2"/>
  <c r="EA185" i="2"/>
  <c r="EB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EW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EY186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V189" i="2"/>
  <c r="EB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V190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C192" i="2" l="1"/>
  <c r="EY191" i="2"/>
  <c r="EW192" i="2"/>
  <c r="EV192" i="2"/>
  <c r="EB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AX190" i="2"/>
  <c r="EY192" i="2" l="1"/>
  <c r="EX193" i="2"/>
  <c r="DI192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Y194" i="2" l="1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Y196" i="2" l="1"/>
  <c r="EW197" i="2"/>
  <c r="EC197" i="2"/>
  <c r="EA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V199" i="2"/>
  <c r="EW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ED200" i="2"/>
  <c r="EY200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 l="1"/>
  <c r="EX202" i="2"/>
  <c r="EW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66" i="2" a="1"/>
  <c r="EI166" i="2" s="1"/>
  <c r="EI153" i="2" a="1"/>
  <c r="EI153" i="2" s="1"/>
  <c r="EI142" i="2" a="1"/>
  <c r="EI142" i="2" s="1"/>
  <c r="DN155" i="2" a="1"/>
  <c r="DN155" i="2" s="1"/>
  <c r="DN124" i="2" a="1"/>
  <c r="DN124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DN123" i="2" a="1"/>
  <c r="DN123" i="2" s="1"/>
  <c r="AH151" i="2" a="1"/>
  <c r="AH151" i="2" s="1"/>
  <c r="DN103" i="2" a="1"/>
  <c r="DN103" i="2" s="1"/>
  <c r="DN114" i="2" a="1"/>
  <c r="DN114" i="2" s="1"/>
  <c r="AH19" i="2" a="1"/>
  <c r="AH19" i="2" s="1"/>
  <c r="AH166" i="2" a="1"/>
  <c r="AH166" i="2" s="1"/>
  <c r="AH62" i="2" a="1"/>
  <c r="AH62" i="2" s="1"/>
  <c r="CS105" i="2" a="1"/>
  <c r="CS105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87" i="2" a="1"/>
  <c r="EI87" i="2" s="1"/>
  <c r="EI36" i="2" a="1"/>
  <c r="EI36" i="2" s="1"/>
  <c r="EI71" i="2" a="1"/>
  <c r="EI71" i="2" s="1"/>
  <c r="EI113" i="2" a="1"/>
  <c r="EI113" i="2" s="1"/>
  <c r="EI16" i="2" a="1"/>
  <c r="EI16" i="2" s="1"/>
  <c r="EI67" i="2" a="1"/>
  <c r="EI6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BX107" i="2" a="1"/>
  <c r="BX107" i="2" s="1"/>
  <c r="FD82" i="2" a="1"/>
  <c r="FD82" i="2" s="1"/>
  <c r="DN187" i="2" a="1"/>
  <c r="DN187" i="2" s="1"/>
  <c r="HJ202" i="2"/>
  <c r="AX200" i="2"/>
  <c r="CS137" i="2" l="1" a="1"/>
  <c r="CS137" i="2" s="1"/>
  <c r="CS66" i="2" a="1"/>
  <c r="CS66" i="2" s="1"/>
  <c r="CS161" i="2" a="1"/>
  <c r="CS161" i="2" s="1"/>
  <c r="CS116" i="2" a="1"/>
  <c r="CS116" i="2" s="1"/>
  <c r="CS185" i="2" a="1"/>
  <c r="CS185" i="2" s="1"/>
  <c r="CS77" i="2" a="1"/>
  <c r="CS77" i="2" s="1"/>
  <c r="CS72" i="2" a="1"/>
  <c r="CS72" i="2" s="1"/>
  <c r="CS24" i="2" a="1"/>
  <c r="CS24" i="2" s="1"/>
  <c r="CS134" i="2" a="1"/>
  <c r="CS134" i="2" s="1"/>
  <c r="CS38" i="2" a="1"/>
  <c r="CS38" i="2" s="1"/>
  <c r="CS114" i="2" a="1"/>
  <c r="CS114" i="2" s="1"/>
  <c r="CS52" i="2" a="1"/>
  <c r="CS52" i="2" s="1"/>
  <c r="CS56" i="2" a="1"/>
  <c r="CS56" i="2" s="1"/>
  <c r="CS120" i="2" a="1"/>
  <c r="CS120" i="2" s="1"/>
  <c r="AH90" i="2" a="1"/>
  <c r="AH90" i="2" s="1"/>
  <c r="AH163" i="2" a="1"/>
  <c r="AH163" i="2" s="1"/>
  <c r="AH199" i="2" a="1"/>
  <c r="AH199" i="2" s="1"/>
  <c r="EY202" i="2"/>
  <c r="EI195" i="2" a="1"/>
  <c r="EI195" i="2" s="1"/>
  <c r="EI29" i="2" a="1"/>
  <c r="EI29" i="2" s="1"/>
  <c r="EI170" i="2" a="1"/>
  <c r="EI170" i="2" s="1"/>
  <c r="EI57" i="2" a="1"/>
  <c r="EI57" i="2" s="1"/>
  <c r="EI106" i="2" a="1"/>
  <c r="EI106" i="2" s="1"/>
  <c r="EI128" i="2" a="1"/>
  <c r="EI128" i="2" s="1"/>
  <c r="EI109" i="2" a="1"/>
  <c r="EI109" i="2" s="1"/>
  <c r="EI178" i="2" a="1"/>
  <c r="EI178" i="2" s="1"/>
  <c r="EI198" i="2" a="1"/>
  <c r="EI198" i="2" s="1"/>
  <c r="EI20" i="2" a="1"/>
  <c r="EI20" i="2" s="1"/>
  <c r="EI38" i="2" a="1"/>
  <c r="EI38" i="2" s="1"/>
  <c r="EI145" i="2" a="1"/>
  <c r="EI145" i="2" s="1"/>
  <c r="EI35" i="2" a="1"/>
  <c r="EI35" i="2" s="1"/>
  <c r="EI34" i="2" a="1"/>
  <c r="EI34" i="2" s="1"/>
  <c r="EI162" i="2" a="1"/>
  <c r="EI162" i="2" s="1"/>
  <c r="EI37" i="2" a="1"/>
  <c r="EI37" i="2" s="1"/>
  <c r="EI139" i="2" a="1"/>
  <c r="EI139" i="2" s="1"/>
  <c r="EI165" i="2" a="1"/>
  <c r="EI165" i="2" s="1"/>
  <c r="EI150" i="2" a="1"/>
  <c r="EI150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EY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CY191" i="2" l="1"/>
  <c r="CY118" i="2"/>
  <c r="CY24" i="2"/>
  <c r="CY144" i="2"/>
  <c r="CY86" i="2"/>
  <c r="CY162" i="2"/>
  <c r="CY189" i="2"/>
  <c r="CY199" i="2"/>
  <c r="CY99" i="2"/>
  <c r="CY125" i="2"/>
  <c r="CY109" i="2"/>
  <c r="CY9" i="2"/>
  <c r="CY156" i="2"/>
  <c r="CY57" i="2"/>
  <c r="CY166" i="2"/>
  <c r="CY124" i="2"/>
  <c r="CY155" i="2"/>
  <c r="CY3" i="2"/>
  <c r="C10" i="4" s="1"/>
  <c r="E10" i="4" s="1"/>
  <c r="F10" i="4" s="1"/>
  <c r="G10" i="4" s="1"/>
  <c r="L10" i="4" s="1"/>
  <c r="CY180" i="2"/>
  <c r="CY120" i="2"/>
  <c r="CY91" i="2"/>
  <c r="CY133" i="2"/>
  <c r="CY42" i="2"/>
  <c r="CY49" i="2"/>
  <c r="CY160" i="2"/>
  <c r="CY188" i="2"/>
  <c r="CY134" i="2"/>
  <c r="CY171" i="2"/>
  <c r="CY114" i="2"/>
  <c r="CY71" i="2"/>
  <c r="CY183" i="2"/>
  <c r="CY146" i="2"/>
  <c r="CY170" i="2"/>
  <c r="CY41" i="2"/>
  <c r="CY84" i="2"/>
  <c r="CY4" i="2"/>
  <c r="CY112" i="2"/>
  <c r="CY46" i="2"/>
  <c r="CY81" i="2"/>
  <c r="CY195" i="2"/>
  <c r="CY110" i="2"/>
  <c r="CY34" i="2"/>
  <c r="CY79" i="2"/>
  <c r="CY141" i="2"/>
  <c r="CY94" i="2"/>
  <c r="CY68" i="2"/>
  <c r="CY137" i="2"/>
  <c r="CY193" i="2"/>
  <c r="CY135" i="2"/>
  <c r="CY131" i="2"/>
  <c r="CY177" i="2"/>
  <c r="CY55" i="2"/>
  <c r="CY149" i="2"/>
  <c r="CY96" i="2"/>
  <c r="CY190" i="2"/>
  <c r="CY105" i="2"/>
  <c r="CY161" i="2"/>
  <c r="CY78" i="2"/>
  <c r="CY132" i="2"/>
  <c r="CY14" i="2"/>
  <c r="CY102" i="2"/>
  <c r="CY45" i="2"/>
  <c r="CY185" i="2"/>
  <c r="CY93" i="2"/>
  <c r="CY83" i="2"/>
  <c r="CY74" i="2"/>
  <c r="CY87" i="2"/>
  <c r="CY90" i="2"/>
  <c r="CY117" i="2"/>
  <c r="CY197" i="2"/>
  <c r="CY72" i="2"/>
  <c r="CY178" i="2"/>
  <c r="CY80" i="2"/>
  <c r="CY182" i="2"/>
  <c r="CY154" i="2"/>
  <c r="CY48" i="2"/>
  <c r="CY29" i="2"/>
  <c r="CY36" i="2"/>
  <c r="CY88" i="2"/>
  <c r="CY116" i="2"/>
  <c r="CY168" i="2"/>
  <c r="CY37" i="2"/>
  <c r="CY153" i="2"/>
  <c r="CY53" i="2"/>
  <c r="CY59" i="2"/>
  <c r="CY21" i="2"/>
  <c r="CY66" i="2"/>
  <c r="CY8" i="2"/>
  <c r="CY56" i="2"/>
  <c r="CY126" i="2"/>
  <c r="CY113" i="2"/>
  <c r="CY164" i="2"/>
  <c r="CY111" i="2"/>
  <c r="CY63" i="2"/>
  <c r="CY65" i="2"/>
  <c r="CY198" i="2"/>
  <c r="CY101" i="2"/>
  <c r="CY174" i="2"/>
  <c r="CY82" i="2"/>
  <c r="CY202" i="2"/>
  <c r="CY54" i="2"/>
  <c r="CY158" i="2"/>
  <c r="CY62" i="2"/>
  <c r="CY52" i="2"/>
  <c r="CY139" i="2"/>
  <c r="CY23" i="2"/>
  <c r="CY108" i="2"/>
  <c r="CY143" i="2"/>
  <c r="CY89" i="2"/>
  <c r="CY186" i="2"/>
  <c r="CY50" i="2"/>
  <c r="CY98" i="2"/>
  <c r="CY35" i="2"/>
  <c r="CY159" i="2"/>
  <c r="CY7" i="2"/>
  <c r="CY169" i="2"/>
  <c r="CY203" i="2"/>
  <c r="CY145" i="2"/>
  <c r="CY18" i="2"/>
  <c r="CY163" i="2"/>
  <c r="CY192" i="2"/>
  <c r="CY22" i="2"/>
  <c r="CY123" i="2"/>
  <c r="CY106" i="2"/>
  <c r="CY51" i="2"/>
  <c r="CY175" i="2"/>
  <c r="CY70" i="2"/>
  <c r="CY32" i="2"/>
  <c r="CY33" i="2"/>
  <c r="CY138" i="2"/>
  <c r="CY13" i="2"/>
  <c r="CY127" i="2"/>
  <c r="CY97" i="2"/>
  <c r="CY20" i="2"/>
  <c r="CY30" i="2"/>
  <c r="CY44" i="2"/>
  <c r="CY196" i="2"/>
  <c r="CY61" i="2"/>
  <c r="CY115" i="2"/>
  <c r="CY67" i="2"/>
  <c r="CY184" i="2"/>
  <c r="CY129" i="2"/>
  <c r="CY152" i="2"/>
  <c r="CY19" i="2"/>
  <c r="CY194" i="2"/>
  <c r="CY121" i="2"/>
  <c r="CY43" i="2"/>
  <c r="CY15" i="2"/>
  <c r="CY11" i="2"/>
  <c r="CY92" i="2"/>
  <c r="CY200" i="2"/>
  <c r="CY167" i="2"/>
  <c r="CY201" i="2"/>
  <c r="CY64" i="2"/>
  <c r="CY187" i="2"/>
  <c r="CY151" i="2"/>
  <c r="CY75" i="2"/>
  <c r="CY60" i="2"/>
  <c r="CY104" i="2"/>
  <c r="CY107" i="2"/>
  <c r="CY26" i="2"/>
  <c r="CY173" i="2"/>
  <c r="CY38" i="2"/>
  <c r="CY12" i="2"/>
  <c r="CY16" i="2"/>
  <c r="CY122" i="2"/>
  <c r="CY142" i="2"/>
  <c r="CY148" i="2"/>
  <c r="CY181" i="2"/>
  <c r="CY47" i="2"/>
  <c r="CY85" i="2"/>
  <c r="CY31" i="2"/>
  <c r="CY165" i="2"/>
  <c r="CY136" i="2"/>
  <c r="CY130" i="2"/>
  <c r="CY128" i="2"/>
  <c r="CY176" i="2"/>
  <c r="CY179" i="2"/>
  <c r="CY58" i="2"/>
  <c r="CY25" i="2"/>
  <c r="CY77" i="2"/>
  <c r="CY103" i="2"/>
  <c r="CY27" i="2"/>
  <c r="CY76" i="2"/>
  <c r="CY119" i="2"/>
  <c r="CY157" i="2"/>
  <c r="CY150" i="2"/>
  <c r="CY69" i="2"/>
  <c r="CY39" i="2"/>
  <c r="CY140" i="2"/>
  <c r="CY28" i="2"/>
  <c r="CY17" i="2"/>
  <c r="CY73" i="2"/>
  <c r="CY5" i="2"/>
  <c r="CY40" i="2"/>
  <c r="CY172" i="2"/>
  <c r="CY100" i="2"/>
  <c r="CY6" i="2"/>
  <c r="CY95" i="2"/>
  <c r="CY10" i="2"/>
  <c r="CY147" i="2"/>
  <c r="CD60" i="2"/>
  <c r="CD58" i="2"/>
  <c r="CD187" i="2"/>
  <c r="CD202" i="2"/>
  <c r="CD130" i="2"/>
  <c r="CD16" i="2"/>
  <c r="CD136" i="2"/>
  <c r="CD76" i="2"/>
  <c r="CD166" i="2"/>
  <c r="CD24" i="2"/>
  <c r="CD103" i="2"/>
  <c r="CD144" i="2"/>
  <c r="CD167" i="2"/>
  <c r="CD17" i="2"/>
  <c r="CD151" i="2"/>
  <c r="CD128" i="2"/>
  <c r="CD43" i="2"/>
  <c r="CD158" i="2"/>
  <c r="CD48" i="2"/>
  <c r="CD178" i="2"/>
  <c r="CD183" i="2"/>
  <c r="CD198" i="2"/>
  <c r="CD138" i="2"/>
  <c r="CD119" i="2"/>
  <c r="CD5" i="2"/>
  <c r="CD84" i="2"/>
  <c r="CD113" i="2"/>
  <c r="CD86" i="2"/>
  <c r="CD45" i="2"/>
  <c r="CD66" i="2"/>
  <c r="CD172" i="2"/>
  <c r="CD11" i="2"/>
  <c r="CD146" i="2"/>
  <c r="CD115" i="2"/>
  <c r="CD82" i="2"/>
  <c r="CD110" i="2"/>
  <c r="CD133" i="2"/>
  <c r="CD13" i="2"/>
  <c r="CD200" i="2"/>
  <c r="CD22" i="2"/>
  <c r="CD163" i="2"/>
  <c r="CD20" i="2"/>
  <c r="CD6" i="2"/>
  <c r="CD159" i="2"/>
  <c r="CD31" i="2"/>
  <c r="CD111" i="2"/>
  <c r="CD129" i="2"/>
  <c r="CD191" i="2"/>
  <c r="CD153" i="2"/>
  <c r="CD125" i="2"/>
  <c r="CD7" i="2"/>
  <c r="CD156" i="2"/>
  <c r="CD9" i="2"/>
  <c r="CD54" i="2"/>
  <c r="CD189" i="2"/>
  <c r="CD85" i="2"/>
  <c r="CD186" i="2"/>
  <c r="CD23" i="2"/>
  <c r="CD192" i="2"/>
  <c r="CD3" i="2"/>
  <c r="C9" i="4" s="1"/>
  <c r="E9" i="4" s="1"/>
  <c r="F9" i="4" s="1"/>
  <c r="G9" i="4" s="1"/>
  <c r="L9" i="4" s="1"/>
  <c r="CD102" i="2"/>
  <c r="CD162" i="2"/>
  <c r="CD19" i="2"/>
  <c r="CD44" i="2"/>
  <c r="CD114" i="2"/>
  <c r="CD161" i="2"/>
  <c r="CD75" i="2"/>
  <c r="CD145" i="2"/>
  <c r="CD141" i="2"/>
  <c r="CD63" i="2"/>
  <c r="CD196" i="2"/>
  <c r="CD127" i="2"/>
  <c r="CD98" i="2"/>
  <c r="CD64" i="2"/>
  <c r="CD147" i="2"/>
  <c r="CD176" i="2"/>
  <c r="CD123" i="2"/>
  <c r="CD148" i="2"/>
  <c r="CD8" i="2"/>
  <c r="CD131" i="2"/>
  <c r="CD109" i="2"/>
  <c r="CD108" i="2"/>
  <c r="CD179" i="2"/>
  <c r="CD68" i="2"/>
  <c r="CD80" i="2"/>
  <c r="CD157" i="2"/>
  <c r="CD78" i="2"/>
  <c r="CD67" i="2"/>
  <c r="CD52" i="2"/>
  <c r="CD116" i="2"/>
  <c r="CD152" i="2"/>
  <c r="CD62" i="2"/>
  <c r="CD190" i="2"/>
  <c r="CD164" i="2"/>
  <c r="CD126" i="2"/>
  <c r="CD199" i="2"/>
  <c r="CD185" i="2"/>
  <c r="CD29" i="2"/>
  <c r="CD135" i="2"/>
  <c r="CD91" i="2"/>
  <c r="CD160" i="2"/>
  <c r="CD21" i="2"/>
  <c r="CD168" i="2"/>
  <c r="CD42" i="2"/>
  <c r="CD51" i="2"/>
  <c r="CD28" i="2"/>
  <c r="CD122" i="2"/>
  <c r="CD173" i="2"/>
  <c r="CD117" i="2"/>
  <c r="CD18" i="2"/>
  <c r="CD79" i="2"/>
  <c r="CD140" i="2"/>
  <c r="CD184" i="2"/>
  <c r="CD41" i="2"/>
  <c r="CD26" i="2"/>
  <c r="CD53" i="2"/>
  <c r="CD65" i="2"/>
  <c r="CD154" i="2"/>
  <c r="CD47" i="2"/>
  <c r="CD49" i="2"/>
  <c r="CD70" i="2"/>
  <c r="CD142" i="2"/>
  <c r="CD90" i="2"/>
  <c r="CD105" i="2"/>
  <c r="CD104" i="2"/>
  <c r="CD181" i="2"/>
  <c r="CD139" i="2"/>
  <c r="CD174" i="2"/>
  <c r="CD180" i="2"/>
  <c r="CD33" i="2"/>
  <c r="CD40" i="2"/>
  <c r="CD92" i="2"/>
  <c r="CD87" i="2"/>
  <c r="CD38" i="2"/>
  <c r="CD112" i="2"/>
  <c r="CD35" i="2"/>
  <c r="CD14" i="2"/>
  <c r="CD106" i="2"/>
  <c r="CD36" i="2"/>
  <c r="CD95" i="2"/>
  <c r="CD50" i="2"/>
  <c r="CD59" i="2"/>
  <c r="CD83" i="2"/>
  <c r="CD132" i="2"/>
  <c r="CD81" i="2"/>
  <c r="CD149" i="2"/>
  <c r="CD150" i="2"/>
  <c r="CD170" i="2"/>
  <c r="CD100" i="2"/>
  <c r="CD73" i="2"/>
  <c r="CD175" i="2"/>
  <c r="CD201" i="2"/>
  <c r="CD124" i="2"/>
  <c r="CD155" i="2"/>
  <c r="CD88" i="2"/>
  <c r="CD188" i="2"/>
  <c r="CD203" i="2"/>
  <c r="CD107" i="2"/>
  <c r="CD134" i="2"/>
  <c r="CD37" i="2"/>
  <c r="CD12" i="2"/>
  <c r="CD27" i="2"/>
  <c r="CD77" i="2"/>
  <c r="CD15" i="2"/>
  <c r="CD71" i="2"/>
  <c r="CD137" i="2"/>
  <c r="CD32" i="2"/>
  <c r="CD55" i="2"/>
  <c r="CD10" i="2"/>
  <c r="CD25" i="2"/>
  <c r="CD121" i="2"/>
  <c r="CD171" i="2"/>
  <c r="CD195" i="2"/>
  <c r="CD72" i="2"/>
  <c r="CD34" i="2"/>
  <c r="CD182" i="2"/>
  <c r="CD143" i="2"/>
  <c r="CD165" i="2"/>
  <c r="CD177" i="2"/>
  <c r="CD93" i="2"/>
  <c r="CD69" i="2"/>
  <c r="CD194" i="2"/>
  <c r="CD193" i="2"/>
  <c r="CD97" i="2"/>
  <c r="CD120" i="2"/>
  <c r="CD56" i="2"/>
  <c r="CD118" i="2"/>
  <c r="CD197" i="2"/>
  <c r="CD89" i="2"/>
  <c r="CD4" i="2"/>
  <c r="CD61" i="2"/>
  <c r="CD30" i="2"/>
  <c r="CD99" i="2"/>
  <c r="CD101" i="2"/>
  <c r="CD169" i="2"/>
  <c r="CD74" i="2"/>
  <c r="CD94" i="2"/>
  <c r="CD46" i="2"/>
  <c r="CD39" i="2"/>
  <c r="CD96" i="2"/>
  <c r="CD57" i="2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DT121" i="2" l="1"/>
  <c r="DT109" i="2"/>
  <c r="DT178" i="2"/>
  <c r="DT186" i="2"/>
  <c r="DT158" i="2"/>
  <c r="DT199" i="2"/>
  <c r="DT105" i="2"/>
  <c r="DT23" i="2"/>
  <c r="DT180" i="2"/>
  <c r="DT82" i="2"/>
  <c r="DT115" i="2"/>
  <c r="DT194" i="2"/>
  <c r="DT161" i="2"/>
  <c r="DT175" i="2"/>
  <c r="DT27" i="2"/>
  <c r="DT189" i="2"/>
  <c r="DT91" i="2"/>
  <c r="DT73" i="2"/>
  <c r="DT203" i="2"/>
  <c r="DT172" i="2"/>
  <c r="DT191" i="2"/>
  <c r="DT143" i="2"/>
  <c r="DT149" i="2"/>
  <c r="DT41" i="2"/>
  <c r="DT170" i="2"/>
  <c r="DT16" i="2"/>
  <c r="DT155" i="2"/>
  <c r="DT165" i="2"/>
  <c r="DT49" i="2"/>
  <c r="DT67" i="2"/>
  <c r="DT9" i="2"/>
  <c r="DT63" i="2"/>
  <c r="DT122" i="2"/>
  <c r="DT59" i="2"/>
  <c r="DT119" i="2"/>
  <c r="DT130" i="2"/>
  <c r="DT144" i="2"/>
  <c r="DT66" i="2"/>
  <c r="DT131" i="2"/>
  <c r="DT129" i="2"/>
  <c r="DT141" i="2"/>
  <c r="DT171" i="2"/>
  <c r="DT126" i="2"/>
  <c r="DT52" i="2"/>
  <c r="DT137" i="2"/>
  <c r="DT116" i="2"/>
  <c r="DT56" i="2"/>
  <c r="DT45" i="2"/>
  <c r="DT86" i="2"/>
  <c r="DT153" i="2"/>
  <c r="DT36" i="2"/>
  <c r="DT94" i="2"/>
  <c r="DT75" i="2"/>
  <c r="DT102" i="2"/>
  <c r="DT47" i="2"/>
  <c r="DT6" i="2"/>
  <c r="DT33" i="2"/>
  <c r="DT81" i="2"/>
  <c r="DT179" i="2"/>
  <c r="DT40" i="2"/>
  <c r="DT174" i="2"/>
  <c r="DT135" i="2"/>
  <c r="DT147" i="2"/>
  <c r="DT50" i="2"/>
  <c r="DT201" i="2"/>
  <c r="DT69" i="2"/>
  <c r="DT35" i="2"/>
  <c r="DT132" i="2"/>
  <c r="DT29" i="2"/>
  <c r="DT112" i="2"/>
  <c r="DT111" i="2"/>
  <c r="DT177" i="2"/>
  <c r="DT68" i="2"/>
  <c r="DT200" i="2"/>
  <c r="DT39" i="2"/>
  <c r="DT138" i="2"/>
  <c r="DT184" i="2"/>
  <c r="DT48" i="2"/>
  <c r="DT93" i="2"/>
  <c r="DT70" i="2"/>
  <c r="DT133" i="2"/>
  <c r="DT53" i="2"/>
  <c r="DT61" i="2"/>
  <c r="DT162" i="2"/>
  <c r="DT103" i="2"/>
  <c r="DT156" i="2"/>
  <c r="DT164" i="2"/>
  <c r="DT26" i="2"/>
  <c r="DT31" i="2"/>
  <c r="DT148" i="2"/>
  <c r="DT87" i="2"/>
  <c r="DT21" i="2"/>
  <c r="DT106" i="2"/>
  <c r="DT160" i="2"/>
  <c r="DT64" i="2"/>
  <c r="DT43" i="2"/>
  <c r="DT88" i="2"/>
  <c r="DT38" i="2"/>
  <c r="DT110" i="2"/>
  <c r="DT142" i="2"/>
  <c r="DT190" i="2"/>
  <c r="DT107" i="2"/>
  <c r="DT152" i="2"/>
  <c r="DT30" i="2"/>
  <c r="DT183" i="2"/>
  <c r="DT192" i="2"/>
  <c r="DT4" i="2"/>
  <c r="DT77" i="2"/>
  <c r="DT80" i="2"/>
  <c r="DT24" i="2"/>
  <c r="DT22" i="2"/>
  <c r="DT10" i="2"/>
  <c r="DT128" i="2"/>
  <c r="DT98" i="2"/>
  <c r="DT84" i="2"/>
  <c r="DT83" i="2"/>
  <c r="DT76" i="2"/>
  <c r="DT151" i="2"/>
  <c r="DT74" i="2"/>
  <c r="DT166" i="2"/>
  <c r="DT140" i="2"/>
  <c r="DT11" i="2"/>
  <c r="DT99" i="2"/>
  <c r="DT101" i="2"/>
  <c r="DT13" i="2"/>
  <c r="DT34" i="2"/>
  <c r="DT181" i="2"/>
  <c r="DT12" i="2"/>
  <c r="DT187" i="2"/>
  <c r="DT37" i="2"/>
  <c r="DT169" i="2"/>
  <c r="DT139" i="2"/>
  <c r="DT58" i="2"/>
  <c r="DT120" i="2"/>
  <c r="DT54" i="2"/>
  <c r="DT173" i="2"/>
  <c r="DT57" i="2"/>
  <c r="DT163" i="2"/>
  <c r="DT188" i="2"/>
  <c r="DT97" i="2"/>
  <c r="DT85" i="2"/>
  <c r="DT185" i="2"/>
  <c r="DT182" i="2"/>
  <c r="DT17" i="2"/>
  <c r="DT7" i="2"/>
  <c r="DT5" i="2"/>
  <c r="DT60" i="2"/>
  <c r="DT95" i="2"/>
  <c r="DT44" i="2"/>
  <c r="DT127" i="2"/>
  <c r="DT146" i="2"/>
  <c r="DT42" i="2"/>
  <c r="DT14" i="2"/>
  <c r="DT104" i="2"/>
  <c r="DT150" i="2"/>
  <c r="DT193" i="2"/>
  <c r="DT195" i="2"/>
  <c r="DT96" i="2"/>
  <c r="DT28" i="2"/>
  <c r="DT157" i="2"/>
  <c r="DT20" i="2"/>
  <c r="DT196" i="2"/>
  <c r="DT15" i="2"/>
  <c r="DT32" i="2"/>
  <c r="DT176" i="2"/>
  <c r="DT108" i="2"/>
  <c r="DT118" i="2"/>
  <c r="DT55" i="2"/>
  <c r="DT79" i="2"/>
  <c r="DT202" i="2"/>
  <c r="DT168" i="2"/>
  <c r="DT124" i="2"/>
  <c r="DT167" i="2"/>
  <c r="DT92" i="2"/>
  <c r="DT8" i="2"/>
  <c r="DT3" i="2"/>
  <c r="C11" i="4" s="1"/>
  <c r="E11" i="4" s="1"/>
  <c r="F11" i="4" s="1"/>
  <c r="G11" i="4" s="1"/>
  <c r="L11" i="4" s="1"/>
  <c r="DT114" i="2"/>
  <c r="DT197" i="2"/>
  <c r="DT18" i="2"/>
  <c r="DT25" i="2"/>
  <c r="DT134" i="2"/>
  <c r="DT90" i="2"/>
  <c r="DT89" i="2"/>
  <c r="DT198" i="2"/>
  <c r="DT117" i="2"/>
  <c r="DT136" i="2"/>
  <c r="DT46" i="2"/>
  <c r="DT51" i="2"/>
  <c r="DT19" i="2"/>
  <c r="DT100" i="2"/>
  <c r="DT71" i="2"/>
  <c r="DT123" i="2"/>
  <c r="DT125" i="2"/>
  <c r="DT72" i="2"/>
  <c r="DT154" i="2"/>
  <c r="DT113" i="2"/>
  <c r="DT145" i="2"/>
  <c r="DT65" i="2"/>
  <c r="DT62" i="2"/>
  <c r="DT159" i="2"/>
  <c r="DT78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54" i="2" l="1"/>
  <c r="BI174" i="2"/>
  <c r="BI47" i="2"/>
  <c r="BI136" i="2"/>
  <c r="BI132" i="2"/>
  <c r="BI11" i="2"/>
  <c r="BI140" i="2"/>
  <c r="BI147" i="2"/>
  <c r="BI83" i="2"/>
  <c r="BI17" i="2"/>
  <c r="BI195" i="2"/>
  <c r="BI46" i="2"/>
  <c r="BI166" i="2"/>
  <c r="BI200" i="2"/>
  <c r="BI150" i="2"/>
  <c r="BI151" i="2"/>
  <c r="BI5" i="2"/>
  <c r="BI159" i="2"/>
  <c r="BI66" i="2"/>
  <c r="BI53" i="2"/>
  <c r="BI31" i="2"/>
  <c r="BI117" i="2"/>
  <c r="BI171" i="2"/>
  <c r="BI124" i="2"/>
  <c r="BI139" i="2"/>
  <c r="BI88" i="2"/>
  <c r="BI36" i="2"/>
  <c r="BI118" i="2"/>
  <c r="BI131" i="2"/>
  <c r="BI164" i="2"/>
  <c r="BI194" i="2"/>
  <c r="BI168" i="2"/>
  <c r="BI102" i="2"/>
  <c r="BI143" i="2"/>
  <c r="BI29" i="2"/>
  <c r="BI22" i="2"/>
  <c r="BI165" i="2"/>
  <c r="BI14" i="2"/>
  <c r="BI85" i="2"/>
  <c r="BI59" i="2"/>
  <c r="BI169" i="2"/>
  <c r="BI18" i="2"/>
  <c r="BI162" i="2"/>
  <c r="BI148" i="2"/>
  <c r="BI37" i="2"/>
  <c r="BI39" i="2"/>
  <c r="BI161" i="2"/>
  <c r="BI43" i="2"/>
  <c r="BI75" i="2"/>
  <c r="BI130" i="2"/>
  <c r="BI3" i="2"/>
  <c r="C8" i="4" s="1"/>
  <c r="E8" i="4" s="1"/>
  <c r="F8" i="4" s="1"/>
  <c r="G8" i="4" s="1"/>
  <c r="L8" i="4" s="1"/>
  <c r="BI190" i="2"/>
  <c r="BI49" i="2"/>
  <c r="BI187" i="2"/>
  <c r="BI180" i="2"/>
  <c r="BI8" i="2"/>
  <c r="BI155" i="2"/>
  <c r="BI172" i="2"/>
  <c r="BI4" i="2"/>
  <c r="BI16" i="2"/>
  <c r="BI103" i="2"/>
  <c r="BI61" i="2"/>
  <c r="BI196" i="2"/>
  <c r="BI58" i="2"/>
  <c r="BI163" i="2"/>
  <c r="BI97" i="2"/>
  <c r="BI112" i="2"/>
  <c r="BI78" i="2"/>
  <c r="BI158" i="2"/>
  <c r="BI141" i="2"/>
  <c r="BI122" i="2"/>
  <c r="BI62" i="2"/>
  <c r="BI9" i="2"/>
  <c r="BI202" i="2"/>
  <c r="BI167" i="2"/>
  <c r="BI183" i="2"/>
  <c r="BI123" i="2"/>
  <c r="BI89" i="2"/>
  <c r="BI153" i="2"/>
  <c r="BI90" i="2"/>
  <c r="BI48" i="2"/>
  <c r="BI40" i="2"/>
  <c r="BI34" i="2"/>
  <c r="BI149" i="2"/>
  <c r="BI56" i="2"/>
  <c r="BI70" i="2"/>
  <c r="BI23" i="2"/>
  <c r="BI185" i="2"/>
  <c r="BI81" i="2"/>
  <c r="BI105" i="2"/>
  <c r="BI73" i="2"/>
  <c r="BI128" i="2"/>
  <c r="BI42" i="2"/>
  <c r="BI157" i="2"/>
  <c r="BI177" i="2"/>
  <c r="BI144" i="2"/>
  <c r="BI188" i="2"/>
  <c r="BI80" i="2"/>
  <c r="BI6" i="2"/>
  <c r="BI146" i="2"/>
  <c r="BI25" i="2"/>
  <c r="BI156" i="2"/>
  <c r="BI192" i="2"/>
  <c r="BI106" i="2"/>
  <c r="BI109" i="2"/>
  <c r="BI27" i="2"/>
  <c r="BI10" i="2"/>
  <c r="BI55" i="2"/>
  <c r="BI173" i="2"/>
  <c r="BI32" i="2"/>
  <c r="BI38" i="2"/>
  <c r="BI113" i="2"/>
  <c r="BI86" i="2"/>
  <c r="BI197" i="2"/>
  <c r="BI95" i="2"/>
  <c r="BI51" i="2"/>
  <c r="BI92" i="2"/>
  <c r="BI111" i="2"/>
  <c r="BI96" i="2"/>
  <c r="BI45" i="2"/>
  <c r="BI119" i="2"/>
  <c r="BI116" i="2"/>
  <c r="BI126" i="2"/>
  <c r="BI20" i="2"/>
  <c r="BI201" i="2"/>
  <c r="BI137" i="2"/>
  <c r="BI104" i="2"/>
  <c r="BI57" i="2"/>
  <c r="BI15" i="2"/>
  <c r="BI63" i="2"/>
  <c r="BI135" i="2"/>
  <c r="BI93" i="2"/>
  <c r="BI125" i="2"/>
  <c r="BI99" i="2"/>
  <c r="BI191" i="2"/>
  <c r="BI79" i="2"/>
  <c r="BI110" i="2"/>
  <c r="BI160" i="2"/>
  <c r="BI121" i="2"/>
  <c r="BI120" i="2"/>
  <c r="BI193" i="2"/>
  <c r="BI60" i="2"/>
  <c r="BI94" i="2"/>
  <c r="BI181" i="2"/>
  <c r="BI19" i="2"/>
  <c r="BI176" i="2"/>
  <c r="BI127" i="2"/>
  <c r="BI76" i="2"/>
  <c r="BI133" i="2"/>
  <c r="BI13" i="2"/>
  <c r="BI115" i="2"/>
  <c r="BI203" i="2"/>
  <c r="BI41" i="2"/>
  <c r="BI67" i="2"/>
  <c r="BI154" i="2"/>
  <c r="BI24" i="2"/>
  <c r="BI77" i="2"/>
  <c r="BI178" i="2"/>
  <c r="BI108" i="2"/>
  <c r="BI107" i="2"/>
  <c r="BI82" i="2"/>
  <c r="BI184" i="2"/>
  <c r="BI138" i="2"/>
  <c r="BI71" i="2"/>
  <c r="BI84" i="2"/>
  <c r="BI65" i="2"/>
  <c r="BI69" i="2"/>
  <c r="BI50" i="2"/>
  <c r="BI198" i="2"/>
  <c r="BI170" i="2"/>
  <c r="BI98" i="2"/>
  <c r="BI26" i="2"/>
  <c r="BI30" i="2"/>
  <c r="BI114" i="2"/>
  <c r="BI74" i="2"/>
  <c r="BI199" i="2"/>
  <c r="BI52" i="2"/>
  <c r="BI152" i="2"/>
  <c r="BI134" i="2"/>
  <c r="BI175" i="2"/>
  <c r="BI145" i="2"/>
  <c r="BI87" i="2"/>
  <c r="BI182" i="2"/>
  <c r="BI12" i="2"/>
  <c r="BI28" i="2"/>
  <c r="BI7" i="2"/>
  <c r="BI189" i="2"/>
  <c r="BI44" i="2"/>
  <c r="BI129" i="2"/>
  <c r="BI101" i="2"/>
  <c r="BI68" i="2"/>
  <c r="BI100" i="2"/>
  <c r="BI179" i="2"/>
  <c r="BI142" i="2"/>
  <c r="BI186" i="2"/>
  <c r="BI72" i="2"/>
  <c r="BI91" i="2"/>
  <c r="BI64" i="2"/>
  <c r="BI35" i="2"/>
  <c r="BI21" i="2"/>
  <c r="BI33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<sst xmlns="http://schemas.openxmlformats.org/spreadsheetml/2006/main" count="1176" uniqueCount="324">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</sst>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0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1.76305537274468</c:v>
                </c:pt>
                <c:pt idx="2">
                  <c:v>2.0469384691847292</c:v>
                </c:pt>
                <c:pt idx="3">
                  <c:v>2.376700715252722</c:v>
                </c:pt>
                <c:pt idx="4">
                  <c:v>2.7597826385013615</c:v>
                </c:pt>
                <c:pt idx="5">
                  <c:v>3.204835392658858</c:v>
                </c:pt>
                <c:pt idx="6">
                  <c:v>3.721918334923894</c:v>
                </c:pt>
                <c:pt idx="7">
                  <c:v>4.3227289392803279</c:v>
                </c:pt>
                <c:pt idx="8">
                  <c:v>5.0208703517611921</c:v>
                </c:pt>
                <c:pt idx="9">
                  <c:v>5.8321627662954576</c:v>
                </c:pt>
                <c:pt idx="10">
                  <c:v>6.7750058163258302</c:v>
                </c:pt>
                <c:pt idx="11">
                  <c:v>7.8708003615489739</c:v>
                </c:pt>
                <c:pt idx="12">
                  <c:v>9.1444394285901893</c:v>
                </c:pt>
                <c:pt idx="13">
                  <c:v>10.624879671453259</c:v>
                </c:pt>
                <c:pt idx="14">
                  <c:v>12.345806589795551</c:v>
                </c:pt>
                <c:pt idx="15">
                  <c:v>14.346408924308165</c:v>
                </c:pt>
                <c:pt idx="16">
                  <c:v>16.67228018983042</c:v>
                </c:pt>
                <c:pt idx="17">
                  <c:v>19.376468267860236</c:v>
                </c:pt>
                <c:pt idx="18">
                  <c:v>22.520697430268285</c:v>
                </c:pt>
                <c:pt idx="19">
                  <c:v>26.176791186219294</c:v>
                </c:pt>
                <c:pt idx="20">
                  <c:v>30.428329028899054</c:v>
                </c:pt>
                <c:pt idx="21">
                  <c:v>35.372575617629785</c:v>
                </c:pt>
                <c:pt idx="22">
                  <c:v>41.122727292557506</c:v>
                </c:pt>
                <c:pt idx="23">
                  <c:v>47.810528232802419</c:v>
                </c:pt>
                <c:pt idx="24">
                  <c:v>55.589317209067083</c:v>
                </c:pt>
                <c:pt idx="25">
                  <c:v>64.637575951395064</c:v>
                </c:pt>
                <c:pt idx="26">
                  <c:v>75.163061888986704</c:v>
                </c:pt>
                <c:pt idx="27">
                  <c:v>87.407621697943583</c:v>
                </c:pt>
                <c:pt idx="28">
                  <c:v>101.6527980366231</c:v>
                </c:pt>
                <c:pt idx="29">
                  <c:v>118.22636043249992</c:v>
                </c:pt>
                <c:pt idx="30">
                  <c:v>137.50991294698483</c:v>
                </c:pt>
                <c:pt idx="31">
                  <c:v>85.865974691262736</c:v>
                </c:pt>
                <c:pt idx="32">
                  <c:v>95.833033151768745</c:v>
                </c:pt>
                <c:pt idx="33">
                  <c:v>105.77426679342307</c:v>
                </c:pt>
                <c:pt idx="34">
                  <c:v>115.69244913489831</c:v>
                </c:pt>
                <c:pt idx="35">
                  <c:v>125.58983794594606</c:v>
                </c:pt>
                <c:pt idx="36">
                  <c:v>135.46830519561522</c:v>
                </c:pt>
                <c:pt idx="37">
                  <c:v>145.32942695245674</c:v>
                </c:pt>
                <c:pt idx="38">
                  <c:v>155.17454751946181</c:v>
                </c:pt>
                <c:pt idx="39">
                  <c:v>165.00482639014098</c:v>
                </c:pt>
                <c:pt idx="40">
                  <c:v>174.82127339872909</c:v>
                </c:pt>
                <c:pt idx="41">
                  <c:v>184.62477554331016</c:v>
                </c:pt>
                <c:pt idx="42">
                  <c:v>194.41611780141557</c:v>
                </c:pt>
                <c:pt idx="43">
                  <c:v>204.19599952481835</c:v>
                </c:pt>
                <c:pt idx="44">
                  <c:v>213.96504752365885</c:v>
                </c:pt>
                <c:pt idx="45">
                  <c:v>223.72382663226162</c:v>
                </c:pt>
                <c:pt idx="46">
                  <c:v>140.48595399968411</c:v>
                </c:pt>
                <c:pt idx="47">
                  <c:v>149.82954016541163</c:v>
                </c:pt>
                <c:pt idx="48">
                  <c:v>159.15923377673082</c:v>
                </c:pt>
                <c:pt idx="49">
                  <c:v>168.47596500705609</c:v>
                </c:pt>
                <c:pt idx="50">
                  <c:v>177.78055258834297</c:v>
                </c:pt>
                <c:pt idx="51">
                  <c:v>187.07372242622978</c:v>
                </c:pt>
                <c:pt idx="52">
                  <c:v>196.35612231530558</c:v>
                </c:pt>
                <c:pt idx="53">
                  <c:v>205.62833372118303</c:v>
                </c:pt>
                <c:pt idx="54">
                  <c:v>214.89088132275279</c:v>
                </c:pt>
                <c:pt idx="55">
                  <c:v>224.14424082064872</c:v>
                </c:pt>
                <c:pt idx="56">
                  <c:v>233.38884538702783</c:v>
                </c:pt>
                <c:pt idx="57">
                  <c:v>242.62509103866611</c:v>
                </c:pt>
                <c:pt idx="58">
                  <c:v>251.85334114811266</c:v>
                </c:pt>
                <c:pt idx="59">
                  <c:v>261.07393025835268</c:v>
                </c:pt>
                <c:pt idx="60">
                  <c:v>270.2871673298319</c:v>
                </c:pt>
                <c:pt idx="61">
                  <c:v>181.43578259212734</c:v>
                </c:pt>
                <c:pt idx="62">
                  <c:v>189.73293805188086</c:v>
                </c:pt>
                <c:pt idx="63">
                  <c:v>198.02164025995341</c:v>
                </c:pt>
                <c:pt idx="64">
                  <c:v>206.30229339751165</c:v>
                </c:pt>
                <c:pt idx="65">
                  <c:v>214.5752665051854</c:v>
                </c:pt>
                <c:pt idx="66">
                  <c:v>222.84089780539838</c:v>
                </c:pt>
                <c:pt idx="67">
                  <c:v>231.09949834896022</c:v>
                </c:pt>
                <c:pt idx="68">
                  <c:v>239.35135511244934</c:v>
                </c:pt>
                <c:pt idx="69">
                  <c:v>247.59673364558614</c:v>
                </c:pt>
                <c:pt idx="70">
                  <c:v>255.83588034710485</c:v>
                </c:pt>
                <c:pt idx="71">
                  <c:v>264.06902443179484</c:v>
                </c:pt>
                <c:pt idx="72">
                  <c:v>272.29637963914507</c:v>
                </c:pt>
                <c:pt idx="73">
                  <c:v>280.51814572448393</c:v>
                </c:pt>
                <c:pt idx="74">
                  <c:v>288.73450976599906</c:v>
                </c:pt>
                <c:pt idx="75">
                  <c:v>296.94564731507757</c:v>
                </c:pt>
                <c:pt idx="76">
                  <c:v>305.15172341265026</c:v>
                </c:pt>
                <c:pt idx="77">
                  <c:v>313.35289349041221</c:v>
                </c:pt>
                <c:pt idx="78">
                  <c:v>321.54930417269247</c:v>
                </c:pt>
                <c:pt idx="79">
                  <c:v>329.74109399223408</c:v>
                </c:pt>
                <c:pt idx="80">
                  <c:v>337.92839403108115</c:v>
                </c:pt>
                <c:pt idx="81">
                  <c:v>4.3899355776218544E-12</c:v>
                </c:pt>
                <c:pt idx="82">
                  <c:v>4.3899355776218544E-12</c:v>
                </c:pt>
                <c:pt idx="83">
                  <c:v>4.3899355776218544E-12</c:v>
                </c:pt>
                <c:pt idx="84">
                  <c:v>4.3899355776218544E-12</c:v>
                </c:pt>
                <c:pt idx="85">
                  <c:v>4.3899355776218544E-12</c:v>
                </c:pt>
                <c:pt idx="86">
                  <c:v>4.3899355776218544E-12</c:v>
                </c:pt>
                <c:pt idx="87">
                  <c:v>4.3899355776218544E-12</c:v>
                </c:pt>
                <c:pt idx="88">
                  <c:v>4.3899355776218544E-12</c:v>
                </c:pt>
                <c:pt idx="89">
                  <c:v>4.3899355776218544E-12</c:v>
                </c:pt>
                <c:pt idx="90">
                  <c:v>4.3899355776218544E-12</c:v>
                </c:pt>
                <c:pt idx="91">
                  <c:v>4.3899355776218544E-12</c:v>
                </c:pt>
                <c:pt idx="92">
                  <c:v>4.3899355776218544E-12</c:v>
                </c:pt>
                <c:pt idx="93">
                  <c:v>4.3899355776218544E-12</c:v>
                </c:pt>
                <c:pt idx="94">
                  <c:v>4.3899355776218544E-12</c:v>
                </c:pt>
                <c:pt idx="95">
                  <c:v>4.3899355776218544E-12</c:v>
                </c:pt>
                <c:pt idx="96">
                  <c:v>4.3899355776218544E-12</c:v>
                </c:pt>
                <c:pt idx="97">
                  <c:v>4.3899355776218544E-12</c:v>
                </c:pt>
                <c:pt idx="98">
                  <c:v>4.3899355776218544E-12</c:v>
                </c:pt>
                <c:pt idx="99">
                  <c:v>4.3899355776218544E-12</c:v>
                </c:pt>
                <c:pt idx="100">
                  <c:v>4.3899355776218544E-12</c:v>
                </c:pt>
                <c:pt idx="101">
                  <c:v>4.3899355776218544E-12</c:v>
                </c:pt>
                <c:pt idx="102">
                  <c:v>4.3899355776218544E-12</c:v>
                </c:pt>
                <c:pt idx="103">
                  <c:v>4.3899355776218544E-12</c:v>
                </c:pt>
                <c:pt idx="104">
                  <c:v>4.3899355776218544E-12</c:v>
                </c:pt>
                <c:pt idx="105">
                  <c:v>4.3899355776218544E-12</c:v>
                </c:pt>
                <c:pt idx="106">
                  <c:v>4.3899355776218544E-12</c:v>
                </c:pt>
                <c:pt idx="107">
                  <c:v>4.3899355776218544E-12</c:v>
                </c:pt>
                <c:pt idx="108">
                  <c:v>4.3899355776218544E-12</c:v>
                </c:pt>
                <c:pt idx="109">
                  <c:v>4.3899355776218544E-12</c:v>
                </c:pt>
                <c:pt idx="110">
                  <c:v>4.3899355776218544E-12</c:v>
                </c:pt>
                <c:pt idx="111">
                  <c:v>4.3899355776218544E-12</c:v>
                </c:pt>
                <c:pt idx="112">
                  <c:v>4.3899355776218544E-12</c:v>
                </c:pt>
                <c:pt idx="113">
                  <c:v>4.3899355776218544E-12</c:v>
                </c:pt>
                <c:pt idx="114">
                  <c:v>4.3899355776218544E-12</c:v>
                </c:pt>
                <c:pt idx="115">
                  <c:v>4.3899355776218544E-12</c:v>
                </c:pt>
                <c:pt idx="116">
                  <c:v>4.3899355776218544E-12</c:v>
                </c:pt>
                <c:pt idx="117">
                  <c:v>4.3899355776218544E-12</c:v>
                </c:pt>
                <c:pt idx="118">
                  <c:v>4.3899355776218544E-12</c:v>
                </c:pt>
                <c:pt idx="119">
                  <c:v>4.3899355776218544E-12</c:v>
                </c:pt>
                <c:pt idx="120">
                  <c:v>4.3899355776218544E-12</c:v>
                </c:pt>
                <c:pt idx="121">
                  <c:v>4.3899355776218544E-12</c:v>
                </c:pt>
                <c:pt idx="122">
                  <c:v>4.3899355776218544E-12</c:v>
                </c:pt>
                <c:pt idx="123">
                  <c:v>4.3899355776218544E-12</c:v>
                </c:pt>
                <c:pt idx="124">
                  <c:v>4.3899355776218544E-12</c:v>
                </c:pt>
                <c:pt idx="125">
                  <c:v>4.3899355776218544E-12</c:v>
                </c:pt>
                <c:pt idx="126">
                  <c:v>4.3899355776218544E-12</c:v>
                </c:pt>
                <c:pt idx="127">
                  <c:v>4.3899355776218544E-12</c:v>
                </c:pt>
                <c:pt idx="128">
                  <c:v>4.3899355776218544E-12</c:v>
                </c:pt>
                <c:pt idx="129">
                  <c:v>4.3899355776218544E-12</c:v>
                </c:pt>
                <c:pt idx="130">
                  <c:v>4.3899355776218544E-12</c:v>
                </c:pt>
                <c:pt idx="131">
                  <c:v>4.3899355776218544E-12</c:v>
                </c:pt>
                <c:pt idx="132">
                  <c:v>4.3899355776218544E-12</c:v>
                </c:pt>
                <c:pt idx="133">
                  <c:v>4.3899355776218544E-12</c:v>
                </c:pt>
                <c:pt idx="134">
                  <c:v>4.3899355776218544E-12</c:v>
                </c:pt>
                <c:pt idx="135">
                  <c:v>4.3899355776218544E-12</c:v>
                </c:pt>
                <c:pt idx="136">
                  <c:v>4.3899355776218544E-12</c:v>
                </c:pt>
                <c:pt idx="137">
                  <c:v>4.3899355776218544E-12</c:v>
                </c:pt>
                <c:pt idx="138">
                  <c:v>4.3899355776218544E-12</c:v>
                </c:pt>
                <c:pt idx="139">
                  <c:v>4.3899355776218544E-12</c:v>
                </c:pt>
                <c:pt idx="140">
                  <c:v>4.3899355776218544E-12</c:v>
                </c:pt>
                <c:pt idx="141">
                  <c:v>4.3899355776218544E-12</c:v>
                </c:pt>
                <c:pt idx="142">
                  <c:v>4.3899355776218544E-12</c:v>
                </c:pt>
                <c:pt idx="143">
                  <c:v>4.3899355776218544E-12</c:v>
                </c:pt>
                <c:pt idx="144">
                  <c:v>4.3899355776218544E-12</c:v>
                </c:pt>
                <c:pt idx="145">
                  <c:v>4.3899355776218544E-12</c:v>
                </c:pt>
                <c:pt idx="146">
                  <c:v>4.3899355776218544E-12</c:v>
                </c:pt>
                <c:pt idx="147">
                  <c:v>4.3899355776218544E-12</c:v>
                </c:pt>
                <c:pt idx="148">
                  <c:v>4.3899355776218544E-12</c:v>
                </c:pt>
                <c:pt idx="149">
                  <c:v>4.3899355776218544E-12</c:v>
                </c:pt>
                <c:pt idx="150">
                  <c:v>4.3899355776218544E-12</c:v>
                </c:pt>
                <c:pt idx="151">
                  <c:v>4.3899355776218544E-12</c:v>
                </c:pt>
                <c:pt idx="152">
                  <c:v>4.3899355776218544E-12</c:v>
                </c:pt>
                <c:pt idx="153">
                  <c:v>4.3899355776218544E-12</c:v>
                </c:pt>
                <c:pt idx="154">
                  <c:v>4.3899355776218544E-12</c:v>
                </c:pt>
                <c:pt idx="155">
                  <c:v>4.3899355776218544E-12</c:v>
                </c:pt>
                <c:pt idx="156">
                  <c:v>4.3899355776218544E-12</c:v>
                </c:pt>
                <c:pt idx="157">
                  <c:v>4.3899355776218544E-12</c:v>
                </c:pt>
                <c:pt idx="158">
                  <c:v>4.3899355776218544E-12</c:v>
                </c:pt>
                <c:pt idx="159">
                  <c:v>4.3899355776218544E-12</c:v>
                </c:pt>
                <c:pt idx="160">
                  <c:v>4.3899355776218544E-12</c:v>
                </c:pt>
                <c:pt idx="161">
                  <c:v>4.3899355776218544E-12</c:v>
                </c:pt>
                <c:pt idx="162">
                  <c:v>4.3899355776218544E-12</c:v>
                </c:pt>
                <c:pt idx="163">
                  <c:v>4.3899355776218544E-12</c:v>
                </c:pt>
                <c:pt idx="164">
                  <c:v>4.3899355776218544E-12</c:v>
                </c:pt>
                <c:pt idx="165">
                  <c:v>4.3899355776218544E-12</c:v>
                </c:pt>
                <c:pt idx="166">
                  <c:v>4.3899355776218544E-12</c:v>
                </c:pt>
                <c:pt idx="167">
                  <c:v>4.3899355776218544E-12</c:v>
                </c:pt>
                <c:pt idx="168">
                  <c:v>4.3899355776218544E-12</c:v>
                </c:pt>
                <c:pt idx="169">
                  <c:v>4.3899355776218544E-12</c:v>
                </c:pt>
                <c:pt idx="170">
                  <c:v>4.3899355776218544E-12</c:v>
                </c:pt>
                <c:pt idx="171">
                  <c:v>4.3899355776218544E-12</c:v>
                </c:pt>
                <c:pt idx="172">
                  <c:v>4.3899355776218544E-12</c:v>
                </c:pt>
                <c:pt idx="173">
                  <c:v>4.3899355776218544E-12</c:v>
                </c:pt>
                <c:pt idx="174">
                  <c:v>4.3899355776218544E-12</c:v>
                </c:pt>
                <c:pt idx="175">
                  <c:v>4.3899355776218544E-12</c:v>
                </c:pt>
                <c:pt idx="176">
                  <c:v>4.3899355776218544E-12</c:v>
                </c:pt>
                <c:pt idx="177">
                  <c:v>4.3899355776218544E-12</c:v>
                </c:pt>
                <c:pt idx="178">
                  <c:v>4.3899355776218544E-12</c:v>
                </c:pt>
                <c:pt idx="179">
                  <c:v>4.3899355776218544E-12</c:v>
                </c:pt>
                <c:pt idx="180">
                  <c:v>4.3899355776218544E-12</c:v>
                </c:pt>
                <c:pt idx="181">
                  <c:v>4.3899355776218544E-12</c:v>
                </c:pt>
                <c:pt idx="182">
                  <c:v>4.3899355776218544E-12</c:v>
                </c:pt>
                <c:pt idx="183">
                  <c:v>4.3899355776218544E-12</c:v>
                </c:pt>
                <c:pt idx="184">
                  <c:v>4.3899355776218544E-12</c:v>
                </c:pt>
                <c:pt idx="185">
                  <c:v>4.3899355776218544E-12</c:v>
                </c:pt>
                <c:pt idx="186">
                  <c:v>4.3899355776218544E-12</c:v>
                </c:pt>
                <c:pt idx="187">
                  <c:v>4.3899355776218544E-12</c:v>
                </c:pt>
                <c:pt idx="188">
                  <c:v>4.3899355776218544E-12</c:v>
                </c:pt>
                <c:pt idx="189">
                  <c:v>4.3899355776218544E-12</c:v>
                </c:pt>
                <c:pt idx="190">
                  <c:v>4.3899355776218544E-12</c:v>
                </c:pt>
                <c:pt idx="191">
                  <c:v>4.3899355776218544E-12</c:v>
                </c:pt>
                <c:pt idx="192">
                  <c:v>4.3899355776218544E-12</c:v>
                </c:pt>
                <c:pt idx="193">
                  <c:v>4.3899355776218544E-12</c:v>
                </c:pt>
                <c:pt idx="194">
                  <c:v>4.3899355776218544E-12</c:v>
                </c:pt>
                <c:pt idx="195">
                  <c:v>4.3899355776218544E-12</c:v>
                </c:pt>
                <c:pt idx="196">
                  <c:v>4.3899355776218544E-12</c:v>
                </c:pt>
                <c:pt idx="197">
                  <c:v>4.3899355776218544E-12</c:v>
                </c:pt>
                <c:pt idx="198">
                  <c:v>4.3899355776218544E-12</c:v>
                </c:pt>
                <c:pt idx="199">
                  <c:v>4.3899355776218544E-12</c:v>
                </c:pt>
                <c:pt idx="200">
                  <c:v>4.3899355776218544E-12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9403840"/>
        <c:axId val="709408736"/>
      </c:scatterChart>
      <c:valAx>
        <c:axId val="7094038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09408736"/>
        <c:crosses val="autoZero"/>
        <c:crossBetween val="midCat"/>
      </c:valAx>
      <c:valAx>
        <c:axId val="709408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094038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8722608"/>
        <c:axId val="328720432"/>
      </c:scatterChart>
      <c:valAx>
        <c:axId val="3287226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28720432"/>
        <c:crosses val="autoZero"/>
        <c:crossBetween val="midCat"/>
      </c:valAx>
      <c:valAx>
        <c:axId val="328720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287226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2.9397746868298928</c:v>
                </c:pt>
                <c:pt idx="2">
                  <c:v>3.3517128427294267</c:v>
                </c:pt>
                <c:pt idx="3">
                  <c:v>3.8215785182927724</c:v>
                </c:pt>
                <c:pt idx="4">
                  <c:v>4.3575447416298188</c:v>
                </c:pt>
                <c:pt idx="5">
                  <c:v>4.9689412725572728</c:v>
                </c:pt>
                <c:pt idx="6">
                  <c:v>5.6664187895100824</c:v>
                </c:pt>
                <c:pt idx="7">
                  <c:v>6.4621364435798609</c:v>
                </c:pt>
                <c:pt idx="8">
                  <c:v>7.3699761134774882</c:v>
                </c:pt>
                <c:pt idx="9">
                  <c:v>8.4057871719211263</c:v>
                </c:pt>
                <c:pt idx="10">
                  <c:v>9.5876661189594543</c:v>
                </c:pt>
                <c:pt idx="11">
                  <c:v>10.936276060857622</c:v>
                </c:pt>
                <c:pt idx="12">
                  <c:v>12.4752117256155</c:v>
                </c:pt>
                <c:pt idx="13">
                  <c:v>14.231416520782107</c:v>
                </c:pt>
                <c:pt idx="14">
                  <c:v>16.235659070649749</c:v>
                </c:pt>
                <c:pt idx="15">
                  <c:v>18.523077734940472</c:v>
                </c:pt>
                <c:pt idx="16">
                  <c:v>21.133802828935874</c:v>
                </c:pt>
                <c:pt idx="17">
                  <c:v>24.113667657611057</c:v>
                </c:pt>
                <c:pt idx="18">
                  <c:v>27.515021068839172</c:v>
                </c:pt>
                <c:pt idx="19">
                  <c:v>31.397656051876599</c:v>
                </c:pt>
                <c:pt idx="20">
                  <c:v>35.829870989999293</c:v>
                </c:pt>
                <c:pt idx="21">
                  <c:v>40.889682557955688</c:v>
                </c:pt>
                <c:pt idx="22">
                  <c:v>46.666211978863579</c:v>
                </c:pt>
                <c:pt idx="23">
                  <c:v>53.261269470543994</c:v>
                </c:pt>
                <c:pt idx="24">
                  <c:v>60.7911652743812</c:v>
                </c:pt>
                <c:pt idx="25">
                  <c:v>69.388779735073783</c:v>
                </c:pt>
                <c:pt idx="26">
                  <c:v>80.165002252238452</c:v>
                </c:pt>
                <c:pt idx="27">
                  <c:v>90.90448288189036</c:v>
                </c:pt>
                <c:pt idx="28">
                  <c:v>101.6121846030364</c:v>
                </c:pt>
                <c:pt idx="29">
                  <c:v>112.29193461821403</c:v>
                </c:pt>
                <c:pt idx="30">
                  <c:v>122.94677025652987</c:v>
                </c:pt>
                <c:pt idx="31">
                  <c:v>134.02171836924822</c:v>
                </c:pt>
                <c:pt idx="32">
                  <c:v>145.07460486529592</c:v>
                </c:pt>
                <c:pt idx="33">
                  <c:v>156.10734926897979</c:v>
                </c:pt>
                <c:pt idx="34">
                  <c:v>167.12157714245114</c:v>
                </c:pt>
                <c:pt idx="35">
                  <c:v>178.11868194628323</c:v>
                </c:pt>
                <c:pt idx="36">
                  <c:v>161.3963988836461</c:v>
                </c:pt>
                <c:pt idx="37">
                  <c:v>173.28198421740612</c:v>
                </c:pt>
                <c:pt idx="38">
                  <c:v>185.14840694275611</c:v>
                </c:pt>
                <c:pt idx="39">
                  <c:v>196.99706917130376</c:v>
                </c:pt>
                <c:pt idx="40">
                  <c:v>208.82919038278203</c:v>
                </c:pt>
                <c:pt idx="41">
                  <c:v>221.08320971383424</c:v>
                </c:pt>
                <c:pt idx="42">
                  <c:v>233.32164253354549</c:v>
                </c:pt>
                <c:pt idx="43">
                  <c:v>245.54542201156013</c:v>
                </c:pt>
                <c:pt idx="44">
                  <c:v>257.75538075421986</c:v>
                </c:pt>
                <c:pt idx="45">
                  <c:v>269.95226599479992</c:v>
                </c:pt>
                <c:pt idx="46">
                  <c:v>221.08320971383421</c:v>
                </c:pt>
                <c:pt idx="47">
                  <c:v>233.32164253354537</c:v>
                </c:pt>
                <c:pt idx="48">
                  <c:v>245.54542201156005</c:v>
                </c:pt>
                <c:pt idx="49">
                  <c:v>257.7553807542198</c:v>
                </c:pt>
                <c:pt idx="50">
                  <c:v>269.95226599479992</c:v>
                </c:pt>
                <c:pt idx="51">
                  <c:v>282.13675189211079</c:v>
                </c:pt>
                <c:pt idx="52">
                  <c:v>294.30944959160263</c:v>
                </c:pt>
                <c:pt idx="53">
                  <c:v>306.47091553365243</c:v>
                </c:pt>
                <c:pt idx="54">
                  <c:v>318.62165837327234</c:v>
                </c:pt>
                <c:pt idx="55">
                  <c:v>330.76214478850397</c:v>
                </c:pt>
                <c:pt idx="56">
                  <c:v>281.70179813149139</c:v>
                </c:pt>
                <c:pt idx="57">
                  <c:v>293.44034996889701</c:v>
                </c:pt>
                <c:pt idx="58">
                  <c:v>305.16842283850025</c:v>
                </c:pt>
                <c:pt idx="59">
                  <c:v>316.8864763741696</c:v>
                </c:pt>
                <c:pt idx="60">
                  <c:v>328.5949334270008</c:v>
                </c:pt>
                <c:pt idx="61">
                  <c:v>340.29418424269653</c:v>
                </c:pt>
                <c:pt idx="62">
                  <c:v>351.98459003420857</c:v>
                </c:pt>
                <c:pt idx="63">
                  <c:v>363.66648605477604</c:v>
                </c:pt>
                <c:pt idx="64">
                  <c:v>375.34018425536198</c:v>
                </c:pt>
                <c:pt idx="65">
                  <c:v>387.0059755941316</c:v>
                </c:pt>
                <c:pt idx="66">
                  <c:v>337.26190853958735</c:v>
                </c:pt>
                <c:pt idx="67">
                  <c:v>348.08874968614623</c:v>
                </c:pt>
                <c:pt idx="68">
                  <c:v>358.90820183854044</c:v>
                </c:pt>
                <c:pt idx="69">
                  <c:v>369.72051922288409</c:v>
                </c:pt>
                <c:pt idx="70">
                  <c:v>380.52593997693936</c:v>
                </c:pt>
                <c:pt idx="71">
                  <c:v>391.32468760597868</c:v>
                </c:pt>
                <c:pt idx="72">
                  <c:v>402.11697226951816</c:v>
                </c:pt>
                <c:pt idx="73">
                  <c:v>412.90299192267594</c:v>
                </c:pt>
                <c:pt idx="74">
                  <c:v>423.68293333202695</c:v>
                </c:pt>
                <c:pt idx="75">
                  <c:v>434.45697298266236</c:v>
                </c:pt>
                <c:pt idx="76">
                  <c:v>383.98225493635573</c:v>
                </c:pt>
                <c:pt idx="77">
                  <c:v>393.91541769108943</c:v>
                </c:pt>
                <c:pt idx="78">
                  <c:v>403.84315144097854</c:v>
                </c:pt>
                <c:pt idx="79">
                  <c:v>413.76560851360483</c:v>
                </c:pt>
                <c:pt idx="80">
                  <c:v>423.68293333202695</c:v>
                </c:pt>
                <c:pt idx="81">
                  <c:v>433.16439422753189</c:v>
                </c:pt>
                <c:pt idx="82">
                  <c:v>442.64139911407329</c:v>
                </c:pt>
                <c:pt idx="83">
                  <c:v>452.11405687747123</c:v>
                </c:pt>
                <c:pt idx="84">
                  <c:v>461.58247146723471</c:v>
                </c:pt>
                <c:pt idx="85">
                  <c:v>471.04674221919896</c:v>
                </c:pt>
                <c:pt idx="86">
                  <c:v>419.80284331345229</c:v>
                </c:pt>
                <c:pt idx="87">
                  <c:v>428.85519840828562</c:v>
                </c:pt>
                <c:pt idx="88">
                  <c:v>437.9034467468835</c:v>
                </c:pt>
                <c:pt idx="89">
                  <c:v>446.94768518373354</c:v>
                </c:pt>
                <c:pt idx="90">
                  <c:v>455.98800633231934</c:v>
                </c:pt>
                <c:pt idx="91">
                  <c:v>463.94892385676326</c:v>
                </c:pt>
                <c:pt idx="92">
                  <c:v>471.90692830623613</c:v>
                </c:pt>
                <c:pt idx="93">
                  <c:v>479.86207575399197</c:v>
                </c:pt>
                <c:pt idx="94">
                  <c:v>487.81442026172414</c:v>
                </c:pt>
                <c:pt idx="95">
                  <c:v>495.76401398405795</c:v>
                </c:pt>
                <c:pt idx="96">
                  <c:v>503.71090726599067</c:v>
                </c:pt>
                <c:pt idx="97">
                  <c:v>511.65514873386093</c:v>
                </c:pt>
                <c:pt idx="98">
                  <c:v>519.59678538037383</c:v>
                </c:pt>
                <c:pt idx="99">
                  <c:v>527.53586264415628</c:v>
                </c:pt>
                <c:pt idx="100">
                  <c:v>535.4724244842738</c:v>
                </c:pt>
                <c:pt idx="101">
                  <c:v>451.8988167077282</c:v>
                </c:pt>
                <c:pt idx="102">
                  <c:v>458.57024822962609</c:v>
                </c:pt>
                <c:pt idx="103">
                  <c:v>465.23960745740493</c:v>
                </c:pt>
                <c:pt idx="104">
                  <c:v>471.90692830623578</c:v>
                </c:pt>
                <c:pt idx="105">
                  <c:v>478.57224365421933</c:v>
                </c:pt>
                <c:pt idx="106">
                  <c:v>485.23558538841718</c:v>
                </c:pt>
                <c:pt idx="107">
                  <c:v>491.89698444822369</c:v>
                </c:pt>
                <c:pt idx="108">
                  <c:v>498.55647086626499</c:v>
                </c:pt>
                <c:pt idx="109">
                  <c:v>505.21407380699685</c:v>
                </c:pt>
                <c:pt idx="110">
                  <c:v>511.86982160316421</c:v>
                </c:pt>
                <c:pt idx="111">
                  <c:v>517.87989315697837</c:v>
                </c:pt>
                <c:pt idx="112">
                  <c:v>523.88849347883195</c:v>
                </c:pt>
                <c:pt idx="113">
                  <c:v>529.89564183119717</c:v>
                </c:pt>
                <c:pt idx="114">
                  <c:v>535.90135700397639</c:v>
                </c:pt>
                <c:pt idx="115">
                  <c:v>541.90565733137794</c:v>
                </c:pt>
                <c:pt idx="116">
                  <c:v>547.90856070800533</c:v>
                </c:pt>
                <c:pt idx="117">
                  <c:v>553.91008460420551</c:v>
                </c:pt>
                <c:pt idx="118">
                  <c:v>559.91024608071518</c:v>
                </c:pt>
                <c:pt idx="119">
                  <c:v>565.90906180264858</c:v>
                </c:pt>
                <c:pt idx="120">
                  <c:v>571.90654805285897</c:v>
                </c:pt>
                <c:pt idx="121">
                  <c:v>465.02449883304189</c:v>
                </c:pt>
                <c:pt idx="122">
                  <c:v>469.75640033198738</c:v>
                </c:pt>
                <c:pt idx="123">
                  <c:v>474.48728651141568</c:v>
                </c:pt>
                <c:pt idx="124">
                  <c:v>479.21716893121766</c:v>
                </c:pt>
                <c:pt idx="125">
                  <c:v>483.94605890429216</c:v>
                </c:pt>
                <c:pt idx="126">
                  <c:v>488.67396750423922</c:v>
                </c:pt>
                <c:pt idx="127">
                  <c:v>493.40090557274061</c:v>
                </c:pt>
                <c:pt idx="128">
                  <c:v>498.12688372664047</c:v>
                </c:pt>
                <c:pt idx="129">
                  <c:v>502.8519123647464</c:v>
                </c:pt>
                <c:pt idx="130">
                  <c:v>507.57600167435902</c:v>
                </c:pt>
                <c:pt idx="131">
                  <c:v>511.22579728646997</c:v>
                </c:pt>
                <c:pt idx="132">
                  <c:v>514.87504250690915</c:v>
                </c:pt>
                <c:pt idx="133">
                  <c:v>518.52374179026231</c:v>
                </c:pt>
                <c:pt idx="134">
                  <c:v>522.17189952325941</c:v>
                </c:pt>
                <c:pt idx="135">
                  <c:v>525.819520026286</c:v>
                </c:pt>
                <c:pt idx="136">
                  <c:v>529.4666075548497</c:v>
                </c:pt>
                <c:pt idx="137">
                  <c:v>533.11316630100498</c:v>
                </c:pt>
                <c:pt idx="138">
                  <c:v>536.75920039473692</c:v>
                </c:pt>
                <c:pt idx="139">
                  <c:v>540.40471390530422</c:v>
                </c:pt>
                <c:pt idx="140">
                  <c:v>544.04971084254589</c:v>
                </c:pt>
                <c:pt idx="141">
                  <c:v>547.05108794372745</c:v>
                </c:pt>
                <c:pt idx="142">
                  <c:v>550.05211956364519</c:v>
                </c:pt>
                <c:pt idx="143">
                  <c:v>553.05280785462605</c:v>
                </c:pt>
                <c:pt idx="144">
                  <c:v>556.0531549437186</c:v>
                </c:pt>
                <c:pt idx="145">
                  <c:v>559.05316293312717</c:v>
                </c:pt>
                <c:pt idx="146">
                  <c:v>562.0528339006371</c:v>
                </c:pt>
                <c:pt idx="147">
                  <c:v>565.05216990003021</c:v>
                </c:pt>
                <c:pt idx="148">
                  <c:v>568.05117296149024</c:v>
                </c:pt>
                <c:pt idx="149">
                  <c:v>571.04984509200153</c:v>
                </c:pt>
                <c:pt idx="150">
                  <c:v>574.04818827573558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9394592"/>
        <c:axId val="709397312"/>
      </c:scatterChart>
      <c:valAx>
        <c:axId val="7093945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09397312"/>
        <c:crosses val="autoZero"/>
        <c:crossBetween val="midCat"/>
      </c:valAx>
      <c:valAx>
        <c:axId val="709397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093945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3.113945541916562</c:v>
                </c:pt>
                <c:pt idx="2">
                  <c:v>3.5503730087223722</c:v>
                </c:pt>
                <c:pt idx="3">
                  <c:v>4.0481828196530492</c:v>
                </c:pt>
                <c:pt idx="4">
                  <c:v>4.6160369143549937</c:v>
                </c:pt>
                <c:pt idx="5">
                  <c:v>5.2638233537442369</c:v>
                </c:pt>
                <c:pt idx="6">
                  <c:v>6.0028303815790593</c:v>
                </c:pt>
                <c:pt idx="7">
                  <c:v>6.8459452618662198</c:v>
                </c:pt>
                <c:pt idx="8">
                  <c:v>7.8078814273157144</c:v>
                </c:pt>
                <c:pt idx="9">
                  <c:v>8.9054379796212881</c:v>
                </c:pt>
                <c:pt idx="10">
                  <c:v>10.157796160352767</c:v>
                </c:pt>
                <c:pt idx="11">
                  <c:v>11.586858072102316</c:v>
                </c:pt>
                <c:pt idx="12">
                  <c:v>13.217633685126408</c:v>
                </c:pt>
                <c:pt idx="13">
                  <c:v>15.078683028676075</c:v>
                </c:pt>
                <c:pt idx="14">
                  <c:v>17.202621454074428</c:v>
                </c:pt>
                <c:pt idx="15">
                  <c:v>19.626696986187671</c:v>
                </c:pt>
                <c:pt idx="16">
                  <c:v>22.393450071609919</c:v>
                </c:pt>
                <c:pt idx="17">
                  <c:v>25.551467508941673</c:v>
                </c:pt>
                <c:pt idx="18">
                  <c:v>29.156244035638881</c:v>
                </c:pt>
                <c:pt idx="19">
                  <c:v>33.271166977534087</c:v>
                </c:pt>
                <c:pt idx="20">
                  <c:v>37.968641576163897</c:v>
                </c:pt>
                <c:pt idx="21">
                  <c:v>43.331377135382525</c:v>
                </c:pt>
                <c:pt idx="22">
                  <c:v>49.453857018052851</c:v>
                </c:pt>
                <c:pt idx="23">
                  <c:v>56.444018828116505</c:v>
                </c:pt>
                <c:pt idx="24">
                  <c:v>64.425174892809764</c:v>
                </c:pt>
                <c:pt idx="25">
                  <c:v>73.538207482585321</c:v>
                </c:pt>
                <c:pt idx="26">
                  <c:v>84.960675105658922</c:v>
                </c:pt>
                <c:pt idx="27">
                  <c:v>96.34440998362345</c:v>
                </c:pt>
                <c:pt idx="28">
                  <c:v>107.69464401429015</c:v>
                </c:pt>
                <c:pt idx="29">
                  <c:v>119.01541177700146</c:v>
                </c:pt>
                <c:pt idx="30">
                  <c:v>130.30991517841116</c:v>
                </c:pt>
                <c:pt idx="31">
                  <c:v>142.04989216192442</c:v>
                </c:pt>
                <c:pt idx="32">
                  <c:v>153.76661212101567</c:v>
                </c:pt>
                <c:pt idx="33">
                  <c:v>165.46209858933358</c:v>
                </c:pt>
                <c:pt idx="34">
                  <c:v>177.13806521004514</c:v>
                </c:pt>
                <c:pt idx="35">
                  <c:v>188.79598094832463</c:v>
                </c:pt>
                <c:pt idx="36">
                  <c:v>171.06890310603498</c:v>
                </c:pt>
                <c:pt idx="37">
                  <c:v>183.6686363162344</c:v>
                </c:pt>
                <c:pt idx="38">
                  <c:v>196.24816859291039</c:v>
                </c:pt>
                <c:pt idx="39">
                  <c:v>208.80897802102797</c:v>
                </c:pt>
                <c:pt idx="40">
                  <c:v>221.35235015777684</c:v>
                </c:pt>
                <c:pt idx="41">
                  <c:v>234.34307827690762</c:v>
                </c:pt>
                <c:pt idx="42">
                  <c:v>247.31737533025003</c:v>
                </c:pt>
                <c:pt idx="43">
                  <c:v>260.27622505120576</c:v>
                </c:pt>
                <c:pt idx="44">
                  <c:v>273.220505160855</c:v>
                </c:pt>
                <c:pt idx="45">
                  <c:v>286.15100338127621</c:v>
                </c:pt>
                <c:pt idx="46">
                  <c:v>234.34307827690756</c:v>
                </c:pt>
                <c:pt idx="47">
                  <c:v>247.31737533025003</c:v>
                </c:pt>
                <c:pt idx="48">
                  <c:v>260.2762250512057</c:v>
                </c:pt>
                <c:pt idx="49">
                  <c:v>273.220505160855</c:v>
                </c:pt>
                <c:pt idx="50">
                  <c:v>286.1510033812761</c:v>
                </c:pt>
                <c:pt idx="51">
                  <c:v>299.06843040054582</c:v>
                </c:pt>
                <c:pt idx="52">
                  <c:v>311.97343047900409</c:v>
                </c:pt>
                <c:pt idx="53">
                  <c:v>324.86659020772595</c:v>
                </c:pt>
                <c:pt idx="54">
                  <c:v>337.74844580317352</c:v>
                </c:pt>
                <c:pt idx="55">
                  <c:v>350.61948923031781</c:v>
                </c:pt>
                <c:pt idx="56">
                  <c:v>298.60731135776933</c:v>
                </c:pt>
                <c:pt idx="57">
                  <c:v>311.05204406793172</c:v>
                </c:pt>
                <c:pt idx="58">
                  <c:v>323.48573000787144</c:v>
                </c:pt>
                <c:pt idx="59">
                  <c:v>335.90885371669856</c:v>
                </c:pt>
                <c:pt idx="60">
                  <c:v>348.32186095767742</c:v>
                </c:pt>
                <c:pt idx="61">
                  <c:v>360.725163121957</c:v>
                </c:pt>
                <c:pt idx="62">
                  <c:v>373.11914099479742</c:v>
                </c:pt>
                <c:pt idx="63">
                  <c:v>385.5041479951206</c:v>
                </c:pt>
                <c:pt idx="64">
                  <c:v>397.88051297693852</c:v>
                </c:pt>
                <c:pt idx="65">
                  <c:v>410.24854266397227</c:v>
                </c:pt>
                <c:pt idx="66">
                  <c:v>357.51040237087665</c:v>
                </c:pt>
                <c:pt idx="67">
                  <c:v>368.98882872292899</c:v>
                </c:pt>
                <c:pt idx="68">
                  <c:v>380.45946570848531</c:v>
                </c:pt>
                <c:pt idx="69">
                  <c:v>391.92258132889066</c:v>
                </c:pt>
                <c:pt idx="70">
                  <c:v>403.3784266253918</c:v>
                </c:pt>
                <c:pt idx="71">
                  <c:v>414.82723721388487</c:v>
                </c:pt>
                <c:pt idx="72">
                  <c:v>426.26923464137008</c:v>
                </c:pt>
                <c:pt idx="73">
                  <c:v>437.70462758915511</c:v>
                </c:pt>
                <c:pt idx="74">
                  <c:v>449.13361294375403</c:v>
                </c:pt>
                <c:pt idx="75">
                  <c:v>460.55637675309475</c:v>
                </c:pt>
                <c:pt idx="76">
                  <c:v>407.04280051298912</c:v>
                </c:pt>
                <c:pt idx="77">
                  <c:v>417.57392988530063</c:v>
                </c:pt>
                <c:pt idx="78">
                  <c:v>428.09933608237338</c:v>
                </c:pt>
                <c:pt idx="79">
                  <c:v>438.61917968565263</c:v>
                </c:pt>
                <c:pt idx="80">
                  <c:v>449.1336129437538</c:v>
                </c:pt>
                <c:pt idx="81">
                  <c:v>459.18596767967614</c:v>
                </c:pt>
                <c:pt idx="82">
                  <c:v>469.23362495798051</c:v>
                </c:pt>
                <c:pt idx="83">
                  <c:v>479.27669956446061</c:v>
                </c:pt>
                <c:pt idx="84">
                  <c:v>489.31530108112526</c:v>
                </c:pt>
                <c:pt idx="85">
                  <c:v>499.34953422631753</c:v>
                </c:pt>
                <c:pt idx="86">
                  <c:v>445.01990443229971</c:v>
                </c:pt>
                <c:pt idx="87">
                  <c:v>454.61730495685168</c:v>
                </c:pt>
                <c:pt idx="88">
                  <c:v>464.21037620075805</c:v>
                </c:pt>
                <c:pt idx="89">
                  <c:v>473.79922026656277</c:v>
                </c:pt>
                <c:pt idx="90">
                  <c:v>483.38393478600671</c:v>
                </c:pt>
                <c:pt idx="91">
                  <c:v>491.82426491399724</c:v>
                </c:pt>
                <c:pt idx="92">
                  <c:v>500.26152412217425</c:v>
                </c:pt>
                <c:pt idx="93">
                  <c:v>508.69577152211906</c:v>
                </c:pt>
                <c:pt idx="94">
                  <c:v>517.12706410485566</c:v>
                </c:pt>
                <c:pt idx="95">
                  <c:v>525.55545685100515</c:v>
                </c:pt>
                <c:pt idx="96">
                  <c:v>533.98100283350652</c:v>
                </c:pt>
                <c:pt idx="97">
                  <c:v>542.40375331351413</c:v>
                </c:pt>
                <c:pt idx="98">
                  <c:v>550.82375783003135</c:v>
                </c:pt>
                <c:pt idx="99">
                  <c:v>559.24106428377456</c:v>
                </c:pt>
                <c:pt idx="100">
                  <c:v>567.6557190157298</c:v>
                </c:pt>
                <c:pt idx="101">
                  <c:v>479.04849794970505</c:v>
                </c:pt>
                <c:pt idx="102">
                  <c:v>486.12167933752715</c:v>
                </c:pt>
                <c:pt idx="103">
                  <c:v>493.19267614406226</c:v>
                </c:pt>
                <c:pt idx="104">
                  <c:v>500.26152412217419</c:v>
                </c:pt>
                <c:pt idx="105">
                  <c:v>507.32825793146094</c:v>
                </c:pt>
                <c:pt idx="106">
                  <c:v>514.39291118678386</c:v>
                </c:pt>
                <c:pt idx="107">
                  <c:v>521.45551650398738</c:v>
                </c:pt>
                <c:pt idx="108">
                  <c:v>528.51610554301351</c:v>
                </c:pt>
                <c:pt idx="109">
                  <c:v>535.57470904859349</c:v>
                </c:pt>
                <c:pt idx="110">
                  <c:v>542.63135688868022</c:v>
                </c:pt>
                <c:pt idx="111">
                  <c:v>549.00344654997468</c:v>
                </c:pt>
                <c:pt idx="112">
                  <c:v>555.37398526066818</c:v>
                </c:pt>
                <c:pt idx="113">
                  <c:v>561.74299332696876</c:v>
                </c:pt>
                <c:pt idx="114">
                  <c:v>568.11049055690899</c:v>
                </c:pt>
                <c:pt idx="115">
                  <c:v>574.47649627813587</c:v>
                </c:pt>
                <c:pt idx="116">
                  <c:v>580.8410293548709</c:v>
                </c:pt>
                <c:pt idx="117">
                  <c:v>587.20410820409086</c:v>
                </c:pt>
                <c:pt idx="118">
                  <c:v>593.56575081096798</c:v>
                </c:pt>
                <c:pt idx="119">
                  <c:v>599.92597474361492</c:v>
                </c:pt>
                <c:pt idx="120">
                  <c:v>606.28479716717072</c:v>
                </c:pt>
                <c:pt idx="121">
                  <c:v>492.96461320246755</c:v>
                </c:pt>
                <c:pt idx="122">
                  <c:v>497.98148322540993</c:v>
                </c:pt>
                <c:pt idx="123">
                  <c:v>502.99728291379057</c:v>
                </c:pt>
                <c:pt idx="124">
                  <c:v>508.0120244538727</c:v>
                </c:pt>
                <c:pt idx="125">
                  <c:v>513.02571977154412</c:v>
                </c:pt>
                <c:pt idx="126">
                  <c:v>518.03838054042751</c:v>
                </c:pt>
                <c:pt idx="127">
                  <c:v>523.05001818966002</c:v>
                </c:pt>
                <c:pt idx="128">
                  <c:v>528.0606439113601</c:v>
                </c:pt>
                <c:pt idx="129">
                  <c:v>533.0702686677937</c:v>
                </c:pt>
                <c:pt idx="130">
                  <c:v>538.07890319825958</c:v>
                </c:pt>
                <c:pt idx="131">
                  <c:v>541.9485401450678</c:v>
                </c:pt>
                <c:pt idx="132">
                  <c:v>545.81759687725491</c:v>
                </c:pt>
                <c:pt idx="133">
                  <c:v>549.68607809077855</c:v>
                </c:pt>
                <c:pt idx="134">
                  <c:v>553.55398841006343</c:v>
                </c:pt>
                <c:pt idx="135">
                  <c:v>557.42133238959502</c:v>
                </c:pt>
                <c:pt idx="136">
                  <c:v>561.28811451546517</c:v>
                </c:pt>
                <c:pt idx="137">
                  <c:v>565.15433920687485</c:v>
                </c:pt>
                <c:pt idx="138">
                  <c:v>569.02001081759215</c:v>
                </c:pt>
                <c:pt idx="139">
                  <c:v>572.88513363736843</c:v>
                </c:pt>
                <c:pt idx="140">
                  <c:v>576.74971189331586</c:v>
                </c:pt>
                <c:pt idx="141">
                  <c:v>579.93189980305044</c:v>
                </c:pt>
                <c:pt idx="142">
                  <c:v>583.11372351163391</c:v>
                </c:pt>
                <c:pt idx="143">
                  <c:v>586.29518528801691</c:v>
                </c:pt>
                <c:pt idx="144">
                  <c:v>589.47628737450179</c:v>
                </c:pt>
                <c:pt idx="145">
                  <c:v>592.65703198720098</c:v>
                </c:pt>
                <c:pt idx="146">
                  <c:v>595.83742131648444</c:v>
                </c:pt>
                <c:pt idx="147">
                  <c:v>599.01745752741795</c:v>
                </c:pt>
                <c:pt idx="148">
                  <c:v>602.19714276019101</c:v>
                </c:pt>
                <c:pt idx="149">
                  <c:v>605.37647913053593</c:v>
                </c:pt>
                <c:pt idx="150">
                  <c:v>608.55546873013679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9409280"/>
        <c:axId val="709405472"/>
      </c:scatterChart>
      <c:valAx>
        <c:axId val="7094092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09405472"/>
        <c:crosses val="autoZero"/>
        <c:crossBetween val="midCat"/>
      </c:valAx>
      <c:valAx>
        <c:axId val="709405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09409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2.596808764094384</c:v>
                </c:pt>
                <c:pt idx="2">
                  <c:v>3.0718901055764305</c:v>
                </c:pt>
                <c:pt idx="3">
                  <c:v>3.6342071899499691</c:v>
                </c:pt>
                <c:pt idx="4">
                  <c:v>4.2998340645591293</c:v>
                </c:pt>
                <c:pt idx="5">
                  <c:v>5.0878161821071073</c:v>
                </c:pt>
                <c:pt idx="6">
                  <c:v>6.0207213402610904</c:v>
                </c:pt>
                <c:pt idx="7">
                  <c:v>7.1252930568722874</c:v>
                </c:pt>
                <c:pt idx="8">
                  <c:v>8.4332254751185669</c:v>
                </c:pt>
                <c:pt idx="9">
                  <c:v>9.9820824604004272</c:v>
                </c:pt>
                <c:pt idx="10">
                  <c:v>11.816387786299977</c:v>
                </c:pt>
                <c:pt idx="11">
                  <c:v>13.988918335649926</c:v>
                </c:pt>
                <c:pt idx="12">
                  <c:v>16.562238213603774</c:v>
                </c:pt>
                <c:pt idx="13">
                  <c:v>19.610518759375719</c:v>
                </c:pt>
                <c:pt idx="14">
                  <c:v>23.221697862100537</c:v>
                </c:pt>
                <c:pt idx="15">
                  <c:v>27.500041983624204</c:v>
                </c:pt>
                <c:pt idx="16">
                  <c:v>32.569186163494386</c:v>
                </c:pt>
                <c:pt idx="17">
                  <c:v>38.575741381280992</c:v>
                </c:pt>
                <c:pt idx="18">
                  <c:v>45.693575397223277</c:v>
                </c:pt>
                <c:pt idx="19">
                  <c:v>54.128893081463566</c:v>
                </c:pt>
                <c:pt idx="20">
                  <c:v>64.12626586582239</c:v>
                </c:pt>
                <c:pt idx="21">
                  <c:v>73.888147113342214</c:v>
                </c:pt>
                <c:pt idx="22">
                  <c:v>83.617060344493396</c:v>
                </c:pt>
                <c:pt idx="23">
                  <c:v>93.31739206197868</c:v>
                </c:pt>
                <c:pt idx="24">
                  <c:v>102.99253840389149</c:v>
                </c:pt>
                <c:pt idx="25">
                  <c:v>112.64520308935512</c:v>
                </c:pt>
                <c:pt idx="26">
                  <c:v>92.590778294907011</c:v>
                </c:pt>
                <c:pt idx="27">
                  <c:v>102.75094383933293</c:v>
                </c:pt>
                <c:pt idx="28">
                  <c:v>112.88625157520572</c:v>
                </c:pt>
                <c:pt idx="29">
                  <c:v>122.99925144369581</c:v>
                </c:pt>
                <c:pt idx="30">
                  <c:v>133.0920387317793</c:v>
                </c:pt>
                <c:pt idx="31">
                  <c:v>142.92670211515249</c:v>
                </c:pt>
                <c:pt idx="32">
                  <c:v>152.7451560448383</c:v>
                </c:pt>
                <c:pt idx="33">
                  <c:v>162.54859057495185</c:v>
                </c:pt>
                <c:pt idx="34">
                  <c:v>172.33804025540385</c:v>
                </c:pt>
                <c:pt idx="35">
                  <c:v>182.11441232770608</c:v>
                </c:pt>
                <c:pt idx="36">
                  <c:v>152.26656451485948</c:v>
                </c:pt>
                <c:pt idx="37">
                  <c:v>161.83175204618234</c:v>
                </c:pt>
                <c:pt idx="38">
                  <c:v>171.38356143026326</c:v>
                </c:pt>
                <c:pt idx="39">
                  <c:v>180.92284423714659</c:v>
                </c:pt>
                <c:pt idx="40">
                  <c:v>190.45035477579154</c:v>
                </c:pt>
                <c:pt idx="41">
                  <c:v>199.49119912784909</c:v>
                </c:pt>
                <c:pt idx="42">
                  <c:v>208.5225449927168</c:v>
                </c:pt>
                <c:pt idx="43">
                  <c:v>217.54486221467801</c:v>
                </c:pt>
                <c:pt idx="44">
                  <c:v>226.55857843673789</c:v>
                </c:pt>
                <c:pt idx="45">
                  <c:v>235.56408445630336</c:v>
                </c:pt>
                <c:pt idx="46">
                  <c:v>203.53268315438481</c:v>
                </c:pt>
                <c:pt idx="47">
                  <c:v>211.84758347579756</c:v>
                </c:pt>
                <c:pt idx="48">
                  <c:v>220.15496245009328</c:v>
                </c:pt>
                <c:pt idx="49">
                  <c:v>228.4551442513613</c:v>
                </c:pt>
                <c:pt idx="50">
                  <c:v>236.74842754536451</c:v>
                </c:pt>
                <c:pt idx="51">
                  <c:v>244.79841612978839</c:v>
                </c:pt>
                <c:pt idx="52">
                  <c:v>252.84239005208005</c:v>
                </c:pt>
                <c:pt idx="53">
                  <c:v>260.88056786594973</c:v>
                </c:pt>
                <c:pt idx="54">
                  <c:v>268.91315354232341</c:v>
                </c:pt>
                <c:pt idx="55">
                  <c:v>276.940337858531</c:v>
                </c:pt>
                <c:pt idx="56">
                  <c:v>244.08836826589712</c:v>
                </c:pt>
                <c:pt idx="57">
                  <c:v>251.42329244278582</c:v>
                </c:pt>
                <c:pt idx="58">
                  <c:v>258.75336725558651</c:v>
                </c:pt>
                <c:pt idx="59">
                  <c:v>266.07874962680324</c:v>
                </c:pt>
                <c:pt idx="60">
                  <c:v>273.39958712254719</c:v>
                </c:pt>
                <c:pt idx="61">
                  <c:v>280.71601875158404</c:v>
                </c:pt>
                <c:pt idx="62">
                  <c:v>288.02817567663857</c:v>
                </c:pt>
                <c:pt idx="63">
                  <c:v>295.33618184962302</c:v>
                </c:pt>
                <c:pt idx="64">
                  <c:v>302.64015458064688</c:v>
                </c:pt>
                <c:pt idx="65">
                  <c:v>309.94020504917722</c:v>
                </c:pt>
                <c:pt idx="66">
                  <c:v>277.41236084093708</c:v>
                </c:pt>
                <c:pt idx="67">
                  <c:v>283.78292027957451</c:v>
                </c:pt>
                <c:pt idx="68">
                  <c:v>290.15027717004506</c:v>
                </c:pt>
                <c:pt idx="69">
                  <c:v>296.5145117987642</c:v>
                </c:pt>
                <c:pt idx="70">
                  <c:v>302.87570072003473</c:v>
                </c:pt>
                <c:pt idx="71">
                  <c:v>308.99847969979919</c:v>
                </c:pt>
                <c:pt idx="72">
                  <c:v>315.11856457499857</c:v>
                </c:pt>
                <c:pt idx="73">
                  <c:v>321.23601511616647</c:v>
                </c:pt>
                <c:pt idx="74">
                  <c:v>327.35088862883174</c:v>
                </c:pt>
                <c:pt idx="75">
                  <c:v>333.46324010035977</c:v>
                </c:pt>
                <c:pt idx="76">
                  <c:v>304.05337032959471</c:v>
                </c:pt>
                <c:pt idx="77">
                  <c:v>309.94020504917722</c:v>
                </c:pt>
                <c:pt idx="78">
                  <c:v>315.82455758857049</c:v>
                </c:pt>
                <c:pt idx="79">
                  <c:v>321.70648077925193</c:v>
                </c:pt>
                <c:pt idx="80">
                  <c:v>327.586025360745</c:v>
                </c:pt>
                <c:pt idx="81">
                  <c:v>332.99314754319784</c:v>
                </c:pt>
                <c:pt idx="82">
                  <c:v>338.39833434759998</c:v>
                </c:pt>
                <c:pt idx="83">
                  <c:v>343.80162108850891</c:v>
                </c:pt>
                <c:pt idx="84">
                  <c:v>349.20304187850485</c:v>
                </c:pt>
                <c:pt idx="85">
                  <c:v>354.6026296874806</c:v>
                </c:pt>
                <c:pt idx="86">
                  <c:v>326.88060397025373</c:v>
                </c:pt>
                <c:pt idx="87">
                  <c:v>332.05291850486987</c:v>
                </c:pt>
                <c:pt idx="88">
                  <c:v>337.2234565691918</c:v>
                </c:pt>
                <c:pt idx="89">
                  <c:v>342.39224928048503</c:v>
                </c:pt>
                <c:pt idx="90">
                  <c:v>347.55932673864754</c:v>
                </c:pt>
                <c:pt idx="91">
                  <c:v>352.48996373628512</c:v>
                </c:pt>
                <c:pt idx="92">
                  <c:v>357.41908896803375</c:v>
                </c:pt>
                <c:pt idx="93">
                  <c:v>362.34672625077229</c:v>
                </c:pt>
                <c:pt idx="94">
                  <c:v>367.2728986999395</c:v>
                </c:pt>
                <c:pt idx="95">
                  <c:v>372.19762875953728</c:v>
                </c:pt>
                <c:pt idx="96">
                  <c:v>346.38514004238942</c:v>
                </c:pt>
                <c:pt idx="97">
                  <c:v>351.08136562981036</c:v>
                </c:pt>
                <c:pt idx="98">
                  <c:v>355.77621371319702</c:v>
                </c:pt>
                <c:pt idx="99">
                  <c:v>360.46970505918108</c:v>
                </c:pt>
                <c:pt idx="100">
                  <c:v>365.16185984879058</c:v>
                </c:pt>
                <c:pt idx="101">
                  <c:v>369.38367263042511</c:v>
                </c:pt>
                <c:pt idx="102">
                  <c:v>373.60443262863305</c:v>
                </c:pt>
                <c:pt idx="103">
                  <c:v>377.82415343120647</c:v>
                </c:pt>
                <c:pt idx="104">
                  <c:v>382.04284829727209</c:v>
                </c:pt>
                <c:pt idx="105">
                  <c:v>386.2605301688663</c:v>
                </c:pt>
                <c:pt idx="106">
                  <c:v>390.71144268383432</c:v>
                </c:pt>
                <c:pt idx="107">
                  <c:v>395.16125510300458</c:v>
                </c:pt>
                <c:pt idx="108">
                  <c:v>399.60998157697139</c:v>
                </c:pt>
                <c:pt idx="109">
                  <c:v>404.05763591519161</c:v>
                </c:pt>
                <c:pt idx="110">
                  <c:v>408.50423159795719</c:v>
                </c:pt>
                <c:pt idx="111">
                  <c:v>2.7294872878105889E-12</c:v>
                </c:pt>
                <c:pt idx="112">
                  <c:v>2.7294872878105889E-12</c:v>
                </c:pt>
                <c:pt idx="113">
                  <c:v>2.7294872878105889E-12</c:v>
                </c:pt>
                <c:pt idx="114">
                  <c:v>2.7294872878105889E-12</c:v>
                </c:pt>
                <c:pt idx="115">
                  <c:v>2.7294872878105889E-12</c:v>
                </c:pt>
                <c:pt idx="116">
                  <c:v>2.7294872878105889E-12</c:v>
                </c:pt>
                <c:pt idx="117">
                  <c:v>2.7294872878105889E-12</c:v>
                </c:pt>
                <c:pt idx="118">
                  <c:v>2.7294872878105889E-12</c:v>
                </c:pt>
                <c:pt idx="119">
                  <c:v>2.7294872878105889E-12</c:v>
                </c:pt>
                <c:pt idx="120">
                  <c:v>2.7294872878105889E-12</c:v>
                </c:pt>
                <c:pt idx="121">
                  <c:v>2.7294872878105889E-12</c:v>
                </c:pt>
                <c:pt idx="122">
                  <c:v>2.7294872878105889E-12</c:v>
                </c:pt>
                <c:pt idx="123">
                  <c:v>2.7294872878105889E-12</c:v>
                </c:pt>
                <c:pt idx="124">
                  <c:v>2.7294872878105889E-12</c:v>
                </c:pt>
                <c:pt idx="125">
                  <c:v>2.7294872878105889E-12</c:v>
                </c:pt>
                <c:pt idx="126">
                  <c:v>2.7294872878105889E-12</c:v>
                </c:pt>
                <c:pt idx="127">
                  <c:v>2.7294872878105889E-12</c:v>
                </c:pt>
                <c:pt idx="128">
                  <c:v>2.7294872878105889E-12</c:v>
                </c:pt>
                <c:pt idx="129">
                  <c:v>2.7294872878105889E-12</c:v>
                </c:pt>
                <c:pt idx="130">
                  <c:v>2.7294872878105889E-12</c:v>
                </c:pt>
                <c:pt idx="131">
                  <c:v>2.7294872878105889E-12</c:v>
                </c:pt>
                <c:pt idx="132">
                  <c:v>2.7294872878105889E-12</c:v>
                </c:pt>
                <c:pt idx="133">
                  <c:v>2.7294872878105889E-12</c:v>
                </c:pt>
                <c:pt idx="134">
                  <c:v>2.7294872878105889E-12</c:v>
                </c:pt>
                <c:pt idx="135">
                  <c:v>2.7294872878105889E-12</c:v>
                </c:pt>
                <c:pt idx="136">
                  <c:v>2.7294872878105889E-12</c:v>
                </c:pt>
                <c:pt idx="137">
                  <c:v>2.7294872878105889E-12</c:v>
                </c:pt>
                <c:pt idx="138">
                  <c:v>2.7294872878105889E-12</c:v>
                </c:pt>
                <c:pt idx="139">
                  <c:v>2.7294872878105889E-12</c:v>
                </c:pt>
                <c:pt idx="140">
                  <c:v>2.7294872878105889E-12</c:v>
                </c:pt>
                <c:pt idx="141">
                  <c:v>2.7294872878105889E-12</c:v>
                </c:pt>
                <c:pt idx="142">
                  <c:v>2.7294872878105889E-12</c:v>
                </c:pt>
                <c:pt idx="143">
                  <c:v>2.7294872878105889E-12</c:v>
                </c:pt>
                <c:pt idx="144">
                  <c:v>2.7294872878105889E-12</c:v>
                </c:pt>
                <c:pt idx="145">
                  <c:v>2.7294872878105889E-12</c:v>
                </c:pt>
                <c:pt idx="146">
                  <c:v>2.7294872878105889E-12</c:v>
                </c:pt>
                <c:pt idx="147">
                  <c:v>2.7294872878105889E-12</c:v>
                </c:pt>
                <c:pt idx="148">
                  <c:v>2.7294872878105889E-12</c:v>
                </c:pt>
                <c:pt idx="149">
                  <c:v>2.7294872878105889E-12</c:v>
                </c:pt>
                <c:pt idx="150">
                  <c:v>2.7294872878105889E-12</c:v>
                </c:pt>
                <c:pt idx="151">
                  <c:v>2.7294872878105889E-12</c:v>
                </c:pt>
                <c:pt idx="152">
                  <c:v>2.7294872878105889E-12</c:v>
                </c:pt>
                <c:pt idx="153">
                  <c:v>2.7294872878105889E-12</c:v>
                </c:pt>
                <c:pt idx="154">
                  <c:v>2.7294872878105889E-12</c:v>
                </c:pt>
                <c:pt idx="155">
                  <c:v>2.7294872878105889E-12</c:v>
                </c:pt>
                <c:pt idx="156">
                  <c:v>2.7294872878105889E-12</c:v>
                </c:pt>
                <c:pt idx="157">
                  <c:v>2.7294872878105889E-12</c:v>
                </c:pt>
                <c:pt idx="158">
                  <c:v>2.7294872878105889E-12</c:v>
                </c:pt>
                <c:pt idx="159">
                  <c:v>2.7294872878105889E-12</c:v>
                </c:pt>
                <c:pt idx="160">
                  <c:v>2.7294872878105889E-12</c:v>
                </c:pt>
                <c:pt idx="161">
                  <c:v>2.7294872878105889E-12</c:v>
                </c:pt>
                <c:pt idx="162">
                  <c:v>2.7294872878105889E-12</c:v>
                </c:pt>
                <c:pt idx="163">
                  <c:v>2.7294872878105889E-12</c:v>
                </c:pt>
                <c:pt idx="164">
                  <c:v>2.7294872878105889E-12</c:v>
                </c:pt>
                <c:pt idx="165">
                  <c:v>2.7294872878105889E-12</c:v>
                </c:pt>
                <c:pt idx="166">
                  <c:v>2.7294872878105889E-12</c:v>
                </c:pt>
                <c:pt idx="167">
                  <c:v>2.7294872878105889E-12</c:v>
                </c:pt>
                <c:pt idx="168">
                  <c:v>2.7294872878105889E-12</c:v>
                </c:pt>
                <c:pt idx="169">
                  <c:v>2.7294872878105889E-12</c:v>
                </c:pt>
                <c:pt idx="170">
                  <c:v>2.7294872878105889E-12</c:v>
                </c:pt>
                <c:pt idx="171">
                  <c:v>2.7294872878105889E-12</c:v>
                </c:pt>
                <c:pt idx="172">
                  <c:v>2.7294872878105889E-12</c:v>
                </c:pt>
                <c:pt idx="173">
                  <c:v>2.7294872878105889E-12</c:v>
                </c:pt>
                <c:pt idx="174">
                  <c:v>2.7294872878105889E-12</c:v>
                </c:pt>
                <c:pt idx="175">
                  <c:v>2.7294872878105889E-12</c:v>
                </c:pt>
                <c:pt idx="176">
                  <c:v>2.7294872878105889E-12</c:v>
                </c:pt>
                <c:pt idx="177">
                  <c:v>2.7294872878105889E-12</c:v>
                </c:pt>
                <c:pt idx="178">
                  <c:v>2.7294872878105889E-12</c:v>
                </c:pt>
                <c:pt idx="179">
                  <c:v>2.7294872878105889E-12</c:v>
                </c:pt>
                <c:pt idx="180">
                  <c:v>2.7294872878105889E-12</c:v>
                </c:pt>
                <c:pt idx="181">
                  <c:v>2.7294872878105889E-12</c:v>
                </c:pt>
                <c:pt idx="182">
                  <c:v>2.7294872878105889E-12</c:v>
                </c:pt>
                <c:pt idx="183">
                  <c:v>2.7294872878105889E-12</c:v>
                </c:pt>
                <c:pt idx="184">
                  <c:v>2.7294872878105889E-12</c:v>
                </c:pt>
                <c:pt idx="185">
                  <c:v>2.7294872878105889E-12</c:v>
                </c:pt>
                <c:pt idx="186">
                  <c:v>2.7294872878105889E-12</c:v>
                </c:pt>
                <c:pt idx="187">
                  <c:v>2.7294872878105889E-12</c:v>
                </c:pt>
                <c:pt idx="188">
                  <c:v>2.7294872878105889E-12</c:v>
                </c:pt>
                <c:pt idx="189">
                  <c:v>2.7294872878105889E-12</c:v>
                </c:pt>
                <c:pt idx="190">
                  <c:v>2.7294872878105889E-12</c:v>
                </c:pt>
                <c:pt idx="191">
                  <c:v>2.7294872878105889E-12</c:v>
                </c:pt>
                <c:pt idx="192">
                  <c:v>2.7294872878105889E-12</c:v>
                </c:pt>
                <c:pt idx="193">
                  <c:v>2.7294872878105889E-12</c:v>
                </c:pt>
                <c:pt idx="194">
                  <c:v>2.7294872878105889E-12</c:v>
                </c:pt>
                <c:pt idx="195">
                  <c:v>2.7294872878105889E-12</c:v>
                </c:pt>
                <c:pt idx="196">
                  <c:v>2.7294872878105889E-12</c:v>
                </c:pt>
                <c:pt idx="197">
                  <c:v>2.7294872878105889E-12</c:v>
                </c:pt>
                <c:pt idx="198">
                  <c:v>2.7294872878105889E-12</c:v>
                </c:pt>
                <c:pt idx="199">
                  <c:v>2.7294872878105889E-12</c:v>
                </c:pt>
                <c:pt idx="200">
                  <c:v>2.7294872878105889E-12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9396224"/>
        <c:axId val="709404384"/>
      </c:scatterChart>
      <c:valAx>
        <c:axId val="7093962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09404384"/>
        <c:crosses val="autoZero"/>
        <c:crossBetween val="midCat"/>
      </c:valAx>
      <c:valAx>
        <c:axId val="709404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09396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2.0488154632069886</c:v>
                </c:pt>
                <c:pt idx="2">
                  <c:v>2.4233379605482943</c:v>
                </c:pt>
                <c:pt idx="3">
                  <c:v>2.866578504764091</c:v>
                </c:pt>
                <c:pt idx="4">
                  <c:v>3.3911899510511758</c:v>
                </c:pt>
                <c:pt idx="5">
                  <c:v>4.0121625565625862</c:v>
                </c:pt>
                <c:pt idx="6">
                  <c:v>4.7472570973955088</c:v>
                </c:pt>
                <c:pt idx="7">
                  <c:v>5.6175184684232375</c:v>
                </c:pt>
                <c:pt idx="8">
                  <c:v>6.6478847603431106</c:v>
                </c:pt>
                <c:pt idx="9">
                  <c:v>7.8679096084758688</c:v>
                </c:pt>
                <c:pt idx="10">
                  <c:v>9.3126189320690731</c:v>
                </c:pt>
                <c:pt idx="11">
                  <c:v>11.023527129397273</c:v>
                </c:pt>
                <c:pt idx="12">
                  <c:v>13.049842479543365</c:v>
                </c:pt>
                <c:pt idx="13">
                  <c:v>15.449897065050889</c:v>
                </c:pt>
                <c:pt idx="14">
                  <c:v>18.292843135377566</c:v>
                </c:pt>
                <c:pt idx="15">
                  <c:v>21.660665674944756</c:v>
                </c:pt>
                <c:pt idx="16">
                  <c:v>25.650570254048265</c:v>
                </c:pt>
                <c:pt idx="17">
                  <c:v>30.37781630218231</c:v>
                </c:pt>
                <c:pt idx="18">
                  <c:v>35.979079079598641</c:v>
                </c:pt>
                <c:pt idx="19">
                  <c:v>42.616439224095039</c:v>
                </c:pt>
                <c:pt idx="20">
                  <c:v>50.482117279404498</c:v>
                </c:pt>
                <c:pt idx="21">
                  <c:v>58.16181873764787</c:v>
                </c:pt>
                <c:pt idx="22">
                  <c:v>65.814996070517722</c:v>
                </c:pt>
                <c:pt idx="23">
                  <c:v>73.445178399885819</c:v>
                </c:pt>
                <c:pt idx="24">
                  <c:v>81.055098058555316</c:v>
                </c:pt>
                <c:pt idx="25">
                  <c:v>88.646930299783762</c:v>
                </c:pt>
                <c:pt idx="26">
                  <c:v>72.873647752058218</c:v>
                </c:pt>
                <c:pt idx="27">
                  <c:v>80.865078632389711</c:v>
                </c:pt>
                <c:pt idx="28">
                  <c:v>88.83651038316475</c:v>
                </c:pt>
                <c:pt idx="29">
                  <c:v>96.789994536951909</c:v>
                </c:pt>
                <c:pt idx="30">
                  <c:v>104.72721683831718</c:v>
                </c:pt>
                <c:pt idx="31">
                  <c:v>112.46112117939744</c:v>
                </c:pt>
                <c:pt idx="32">
                  <c:v>120.1819843481781</c:v>
                </c:pt>
                <c:pt idx="33">
                  <c:v>127.89076379214985</c:v>
                </c:pt>
                <c:pt idx="34">
                  <c:v>135.58829184927444</c:v>
                </c:pt>
                <c:pt idx="35">
                  <c:v>143.27529843266893</c:v>
                </c:pt>
                <c:pt idx="36">
                  <c:v>119.80564445348506</c:v>
                </c:pt>
                <c:pt idx="37">
                  <c:v>127.32709772566024</c:v>
                </c:pt>
                <c:pt idx="38">
                  <c:v>134.83778772804268</c:v>
                </c:pt>
                <c:pt idx="39">
                  <c:v>142.33839958376393</c:v>
                </c:pt>
                <c:pt idx="40">
                  <c:v>149.82954016541169</c:v>
                </c:pt>
                <c:pt idx="41">
                  <c:v>156.93784445895773</c:v>
                </c:pt>
                <c:pt idx="42">
                  <c:v>164.03850682882037</c:v>
                </c:pt>
                <c:pt idx="43">
                  <c:v>171.13190528405354</c:v>
                </c:pt>
                <c:pt idx="44">
                  <c:v>178.21838388104675</c:v>
                </c:pt>
                <c:pt idx="45">
                  <c:v>185.29825703239024</c:v>
                </c:pt>
                <c:pt idx="46">
                  <c:v>160.11537784137965</c:v>
                </c:pt>
                <c:pt idx="47">
                  <c:v>166.65269031760442</c:v>
                </c:pt>
                <c:pt idx="48">
                  <c:v>173.18395156066791</c:v>
                </c:pt>
                <c:pt idx="49">
                  <c:v>179.70942238196071</c:v>
                </c:pt>
                <c:pt idx="50">
                  <c:v>186.22934307037499</c:v>
                </c:pt>
                <c:pt idx="51">
                  <c:v>192.55787649601575</c:v>
                </c:pt>
                <c:pt idx="52">
                  <c:v>198.88157087854589</c:v>
                </c:pt>
                <c:pt idx="53">
                  <c:v>205.20060205341622</c:v>
                </c:pt>
                <c:pt idx="54">
                  <c:v>211.51513412362723</c:v>
                </c:pt>
                <c:pt idx="55">
                  <c:v>217.82532057738879</c:v>
                </c:pt>
                <c:pt idx="56">
                  <c:v>191.99967379876816</c:v>
                </c:pt>
                <c:pt idx="57">
                  <c:v>197.76596851143424</c:v>
                </c:pt>
                <c:pt idx="58">
                  <c:v>203.52836171120327</c:v>
                </c:pt>
                <c:pt idx="59">
                  <c:v>209.28697964868505</c:v>
                </c:pt>
                <c:pt idx="60">
                  <c:v>215.04194104688654</c:v>
                </c:pt>
                <c:pt idx="61">
                  <c:v>220.79335774407801</c:v>
                </c:pt>
                <c:pt idx="62">
                  <c:v>226.54133526606731</c:v>
                </c:pt>
                <c:pt idx="63">
                  <c:v>232.28597333726671</c:v>
                </c:pt>
                <c:pt idx="64">
                  <c:v>238.02736633848522</c:v>
                </c:pt>
                <c:pt idx="65">
                  <c:v>243.76560371817754</c:v>
                </c:pt>
                <c:pt idx="66">
                  <c:v>218.19637580534945</c:v>
                </c:pt>
                <c:pt idx="67">
                  <c:v>223.20421277300954</c:v>
                </c:pt>
                <c:pt idx="68">
                  <c:v>228.20947315892622</c:v>
                </c:pt>
                <c:pt idx="69">
                  <c:v>233.21222155682344</c:v>
                </c:pt>
                <c:pt idx="70">
                  <c:v>238.21251955778698</c:v>
                </c:pt>
                <c:pt idx="71">
                  <c:v>243.02536029283638</c:v>
                </c:pt>
                <c:pt idx="72">
                  <c:v>247.83603350993602</c:v>
                </c:pt>
                <c:pt idx="73">
                  <c:v>252.64458729693862</c:v>
                </c:pt>
                <c:pt idx="74">
                  <c:v>257.45106775849973</c:v>
                </c:pt>
                <c:pt idx="75">
                  <c:v>262.25551913421668</c:v>
                </c:pt>
                <c:pt idx="76">
                  <c:v>239.13823650698612</c:v>
                </c:pt>
                <c:pt idx="77">
                  <c:v>243.76560371817754</c:v>
                </c:pt>
                <c:pt idx="78">
                  <c:v>248.39097391329733</c:v>
                </c:pt>
                <c:pt idx="79">
                  <c:v>253.01438959744223</c:v>
                </c:pt>
                <c:pt idx="80">
                  <c:v>257.63589159264626</c:v>
                </c:pt>
                <c:pt idx="81">
                  <c:v>261.88601701277696</c:v>
                </c:pt>
                <c:pt idx="82">
                  <c:v>266.13458534165011</c:v>
                </c:pt>
                <c:pt idx="83">
                  <c:v>270.38162499128015</c:v>
                </c:pt>
                <c:pt idx="84">
                  <c:v>274.62716340664116</c:v>
                </c:pt>
                <c:pt idx="85">
                  <c:v>278.87122711336787</c:v>
                </c:pt>
                <c:pt idx="86">
                  <c:v>257.0814110835683</c:v>
                </c:pt>
                <c:pt idx="87">
                  <c:v>261.14697743122935</c:v>
                </c:pt>
                <c:pt idx="88">
                  <c:v>265.21111453546013</c:v>
                </c:pt>
                <c:pt idx="89">
                  <c:v>269.2738474313806</c:v>
                </c:pt>
                <c:pt idx="90">
                  <c:v>273.33520033559716</c:v>
                </c:pt>
                <c:pt idx="91">
                  <c:v>277.2106805023675</c:v>
                </c:pt>
                <c:pt idx="92">
                  <c:v>281.08494439129078</c:v>
                </c:pt>
                <c:pt idx="93">
                  <c:v>284.95801116402555</c:v>
                </c:pt>
                <c:pt idx="94">
                  <c:v>288.82989941789356</c:v>
                </c:pt>
                <c:pt idx="95">
                  <c:v>292.7006272100171</c:v>
                </c:pt>
                <c:pt idx="96">
                  <c:v>272.41228553342597</c:v>
                </c:pt>
                <c:pt idx="97">
                  <c:v>276.10352541719226</c:v>
                </c:pt>
                <c:pt idx="98">
                  <c:v>279.79365704229639</c:v>
                </c:pt>
                <c:pt idx="99">
                  <c:v>283.48269711634811</c:v>
                </c:pt>
                <c:pt idx="100">
                  <c:v>287.17066187581457</c:v>
                </c:pt>
                <c:pt idx="101">
                  <c:v>290.48892382040066</c:v>
                </c:pt>
                <c:pt idx="102">
                  <c:v>293.80633875741159</c:v>
                </c:pt>
                <c:pt idx="103">
                  <c:v>297.12291761878532</c:v>
                </c:pt>
                <c:pt idx="104">
                  <c:v>300.43867107203454</c:v>
                </c:pt>
                <c:pt idx="105">
                  <c:v>303.75360952955981</c:v>
                </c:pt>
                <c:pt idx="106">
                  <c:v>307.25183829459121</c:v>
                </c:pt>
                <c:pt idx="107">
                  <c:v>310.74918198729853</c:v>
                </c:pt>
                <c:pt idx="108">
                  <c:v>314.24565199241732</c:v>
                </c:pt>
                <c:pt idx="109">
                  <c:v>317.74125942022346</c:v>
                </c:pt>
                <c:pt idx="110">
                  <c:v>321.23601511616647</c:v>
                </c:pt>
                <c:pt idx="111">
                  <c:v>2.1921244502123119E-12</c:v>
                </c:pt>
                <c:pt idx="112">
                  <c:v>2.1921244502123119E-12</c:v>
                </c:pt>
                <c:pt idx="113">
                  <c:v>2.1921244502123119E-12</c:v>
                </c:pt>
                <c:pt idx="114">
                  <c:v>2.1921244502123119E-12</c:v>
                </c:pt>
                <c:pt idx="115">
                  <c:v>2.1921244502123119E-12</c:v>
                </c:pt>
                <c:pt idx="116">
                  <c:v>2.1921244502123119E-12</c:v>
                </c:pt>
                <c:pt idx="117">
                  <c:v>2.1921244502123119E-12</c:v>
                </c:pt>
                <c:pt idx="118">
                  <c:v>2.1921244502123119E-12</c:v>
                </c:pt>
                <c:pt idx="119">
                  <c:v>2.1921244502123119E-12</c:v>
                </c:pt>
                <c:pt idx="120">
                  <c:v>2.1921244502123119E-12</c:v>
                </c:pt>
                <c:pt idx="121">
                  <c:v>2.1921244502123119E-12</c:v>
                </c:pt>
                <c:pt idx="122">
                  <c:v>2.1921244502123119E-12</c:v>
                </c:pt>
                <c:pt idx="123">
                  <c:v>2.1921244502123119E-12</c:v>
                </c:pt>
                <c:pt idx="124">
                  <c:v>2.1921244502123119E-12</c:v>
                </c:pt>
                <c:pt idx="125">
                  <c:v>2.1921244502123119E-12</c:v>
                </c:pt>
                <c:pt idx="126">
                  <c:v>2.1921244502123119E-12</c:v>
                </c:pt>
                <c:pt idx="127">
                  <c:v>2.1921244502123119E-12</c:v>
                </c:pt>
                <c:pt idx="128">
                  <c:v>2.1921244502123119E-12</c:v>
                </c:pt>
                <c:pt idx="129">
                  <c:v>2.1921244502123119E-12</c:v>
                </c:pt>
                <c:pt idx="130">
                  <c:v>2.1921244502123119E-12</c:v>
                </c:pt>
                <c:pt idx="131">
                  <c:v>2.1921244502123119E-12</c:v>
                </c:pt>
                <c:pt idx="132">
                  <c:v>2.1921244502123119E-12</c:v>
                </c:pt>
                <c:pt idx="133">
                  <c:v>2.1921244502123119E-12</c:v>
                </c:pt>
                <c:pt idx="134">
                  <c:v>2.1921244502123119E-12</c:v>
                </c:pt>
                <c:pt idx="135">
                  <c:v>2.1921244502123119E-12</c:v>
                </c:pt>
                <c:pt idx="136">
                  <c:v>2.1921244502123119E-12</c:v>
                </c:pt>
                <c:pt idx="137">
                  <c:v>2.1921244502123119E-12</c:v>
                </c:pt>
                <c:pt idx="138">
                  <c:v>2.1921244502123119E-12</c:v>
                </c:pt>
                <c:pt idx="139">
                  <c:v>2.1921244502123119E-12</c:v>
                </c:pt>
                <c:pt idx="140">
                  <c:v>2.1921244502123119E-12</c:v>
                </c:pt>
                <c:pt idx="141">
                  <c:v>2.1921244502123119E-12</c:v>
                </c:pt>
                <c:pt idx="142">
                  <c:v>2.1921244502123119E-12</c:v>
                </c:pt>
                <c:pt idx="143">
                  <c:v>2.1921244502123119E-12</c:v>
                </c:pt>
                <c:pt idx="144">
                  <c:v>2.1921244502123119E-12</c:v>
                </c:pt>
                <c:pt idx="145">
                  <c:v>2.1921244502123119E-12</c:v>
                </c:pt>
                <c:pt idx="146">
                  <c:v>2.1921244502123119E-12</c:v>
                </c:pt>
                <c:pt idx="147">
                  <c:v>2.1921244502123119E-12</c:v>
                </c:pt>
                <c:pt idx="148">
                  <c:v>2.1921244502123119E-12</c:v>
                </c:pt>
                <c:pt idx="149">
                  <c:v>2.1921244502123119E-12</c:v>
                </c:pt>
                <c:pt idx="150">
                  <c:v>2.1921244502123119E-12</c:v>
                </c:pt>
                <c:pt idx="151">
                  <c:v>2.1921244502123119E-12</c:v>
                </c:pt>
                <c:pt idx="152">
                  <c:v>2.1921244502123119E-12</c:v>
                </c:pt>
                <c:pt idx="153">
                  <c:v>2.1921244502123119E-12</c:v>
                </c:pt>
                <c:pt idx="154">
                  <c:v>2.1921244502123119E-12</c:v>
                </c:pt>
                <c:pt idx="155">
                  <c:v>2.1921244502123119E-12</c:v>
                </c:pt>
                <c:pt idx="156">
                  <c:v>2.1921244502123119E-12</c:v>
                </c:pt>
                <c:pt idx="157">
                  <c:v>2.1921244502123119E-12</c:v>
                </c:pt>
                <c:pt idx="158">
                  <c:v>2.1921244502123119E-12</c:v>
                </c:pt>
                <c:pt idx="159">
                  <c:v>2.1921244502123119E-12</c:v>
                </c:pt>
                <c:pt idx="160">
                  <c:v>2.1921244502123119E-12</c:v>
                </c:pt>
                <c:pt idx="161">
                  <c:v>2.1921244502123119E-12</c:v>
                </c:pt>
                <c:pt idx="162">
                  <c:v>2.1921244502123119E-12</c:v>
                </c:pt>
                <c:pt idx="163">
                  <c:v>2.1921244502123119E-12</c:v>
                </c:pt>
                <c:pt idx="164">
                  <c:v>2.1921244502123119E-12</c:v>
                </c:pt>
                <c:pt idx="165">
                  <c:v>2.1921244502123119E-12</c:v>
                </c:pt>
                <c:pt idx="166">
                  <c:v>2.1921244502123119E-12</c:v>
                </c:pt>
                <c:pt idx="167">
                  <c:v>2.1921244502123119E-12</c:v>
                </c:pt>
                <c:pt idx="168">
                  <c:v>2.1921244502123119E-12</c:v>
                </c:pt>
                <c:pt idx="169">
                  <c:v>2.1921244502123119E-12</c:v>
                </c:pt>
                <c:pt idx="170">
                  <c:v>2.1921244502123119E-12</c:v>
                </c:pt>
                <c:pt idx="171">
                  <c:v>2.1921244502123119E-12</c:v>
                </c:pt>
                <c:pt idx="172">
                  <c:v>2.1921244502123119E-12</c:v>
                </c:pt>
                <c:pt idx="173">
                  <c:v>2.1921244502123119E-12</c:v>
                </c:pt>
                <c:pt idx="174">
                  <c:v>2.1921244502123119E-12</c:v>
                </c:pt>
                <c:pt idx="175">
                  <c:v>2.1921244502123119E-12</c:v>
                </c:pt>
                <c:pt idx="176">
                  <c:v>2.1921244502123119E-12</c:v>
                </c:pt>
                <c:pt idx="177">
                  <c:v>2.1921244502123119E-12</c:v>
                </c:pt>
                <c:pt idx="178">
                  <c:v>2.1921244502123119E-12</c:v>
                </c:pt>
                <c:pt idx="179">
                  <c:v>2.1921244502123119E-12</c:v>
                </c:pt>
                <c:pt idx="180">
                  <c:v>2.1921244502123119E-12</c:v>
                </c:pt>
                <c:pt idx="181">
                  <c:v>2.1921244502123119E-12</c:v>
                </c:pt>
                <c:pt idx="182">
                  <c:v>2.1921244502123119E-12</c:v>
                </c:pt>
                <c:pt idx="183">
                  <c:v>2.1921244502123119E-12</c:v>
                </c:pt>
                <c:pt idx="184">
                  <c:v>2.1921244502123119E-12</c:v>
                </c:pt>
                <c:pt idx="185">
                  <c:v>2.1921244502123119E-12</c:v>
                </c:pt>
                <c:pt idx="186">
                  <c:v>2.1921244502123119E-12</c:v>
                </c:pt>
                <c:pt idx="187">
                  <c:v>2.1921244502123119E-12</c:v>
                </c:pt>
                <c:pt idx="188">
                  <c:v>2.1921244502123119E-12</c:v>
                </c:pt>
                <c:pt idx="189">
                  <c:v>2.1921244502123119E-12</c:v>
                </c:pt>
                <c:pt idx="190">
                  <c:v>2.1921244502123119E-12</c:v>
                </c:pt>
                <c:pt idx="191">
                  <c:v>2.1921244502123119E-12</c:v>
                </c:pt>
                <c:pt idx="192">
                  <c:v>2.1921244502123119E-12</c:v>
                </c:pt>
                <c:pt idx="193">
                  <c:v>2.1921244502123119E-12</c:v>
                </c:pt>
                <c:pt idx="194">
                  <c:v>2.1921244502123119E-12</c:v>
                </c:pt>
                <c:pt idx="195">
                  <c:v>2.1921244502123119E-12</c:v>
                </c:pt>
                <c:pt idx="196">
                  <c:v>2.1921244502123119E-12</c:v>
                </c:pt>
                <c:pt idx="197">
                  <c:v>2.1921244502123119E-12</c:v>
                </c:pt>
                <c:pt idx="198">
                  <c:v>2.1921244502123119E-12</c:v>
                </c:pt>
                <c:pt idx="199">
                  <c:v>2.1921244502123119E-12</c:v>
                </c:pt>
                <c:pt idx="200">
                  <c:v>2.1921244502123119E-12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9406016"/>
        <c:axId val="709407104"/>
      </c:scatterChart>
      <c:valAx>
        <c:axId val="7094060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09407104"/>
        <c:crosses val="autoZero"/>
        <c:crossBetween val="midCat"/>
      </c:valAx>
      <c:valAx>
        <c:axId val="709407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094060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2.808913523269716</c:v>
                </c:pt>
                <c:pt idx="2">
                  <c:v>3.2024549307028356</c:v>
                </c:pt>
                <c:pt idx="3">
                  <c:v>3.6513289373607773</c:v>
                </c:pt>
                <c:pt idx="4">
                  <c:v>4.1633414020375676</c:v>
                </c:pt>
                <c:pt idx="5">
                  <c:v>4.7474028110253315</c:v>
                </c:pt>
                <c:pt idx="6">
                  <c:v>5.4136850511054888</c:v>
                </c:pt>
                <c:pt idx="7">
                  <c:v>6.1738004921248475</c:v>
                </c:pt>
                <c:pt idx="8">
                  <c:v>7.04100656176103</c:v>
                </c:pt>
                <c:pt idx="9">
                  <c:v>8.0304394501257814</c:v>
                </c:pt>
                <c:pt idx="10">
                  <c:v>9.1593811020942599</c:v>
                </c:pt>
                <c:pt idx="11">
                  <c:v>10.44756425004144</c:v>
                </c:pt>
                <c:pt idx="12">
                  <c:v>11.917520919716907</c:v>
                </c:pt>
                <c:pt idx="13">
                  <c:v>13.594980619539625</c:v>
                </c:pt>
                <c:pt idx="14">
                  <c:v>15.509325312648487</c:v>
                </c:pt>
                <c:pt idx="15">
                  <c:v>17.694109287621362</c:v>
                </c:pt>
                <c:pt idx="16">
                  <c:v>20.187653206198199</c:v>
                </c:pt>
                <c:pt idx="17">
                  <c:v>23.033722935573341</c:v>
                </c:pt>
                <c:pt idx="18">
                  <c:v>26.282305292835535</c:v>
                </c:pt>
                <c:pt idx="19">
                  <c:v>29.990494567361733</c:v>
                </c:pt>
                <c:pt idx="20">
                  <c:v>34.223505674790481</c:v>
                </c:pt>
                <c:pt idx="21">
                  <c:v>39.055832069512576</c:v>
                </c:pt>
                <c:pt idx="22">
                  <c:v>44.572569142487318</c:v>
                </c:pt>
                <c:pt idx="23">
                  <c:v>50.870926804611692</c:v>
                </c:pt>
                <c:pt idx="24">
                  <c:v>58.061958356588072</c:v>
                </c:pt>
                <c:pt idx="25">
                  <c:v>66.272536635761469</c:v>
                </c:pt>
                <c:pt idx="26">
                  <c:v>76.563490652949312</c:v>
                </c:pt>
                <c:pt idx="27">
                  <c:v>86.819205269098731</c:v>
                </c:pt>
                <c:pt idx="28">
                  <c:v>97.044440512052844</c:v>
                </c:pt>
                <c:pt idx="29">
                  <c:v>107.2428670785069</c:v>
                </c:pt>
                <c:pt idx="30">
                  <c:v>117.41739809202973</c:v>
                </c:pt>
                <c:pt idx="31">
                  <c:v>127.99300373621668</c:v>
                </c:pt>
                <c:pt idx="32">
                  <c:v>138.54744992970467</c:v>
                </c:pt>
                <c:pt idx="33">
                  <c:v>149.0825777016685</c:v>
                </c:pt>
                <c:pt idx="34">
                  <c:v>159.59994614012587</c:v>
                </c:pt>
                <c:pt idx="35">
                  <c:v>170.1008917228489</c:v>
                </c:pt>
                <c:pt idx="36">
                  <c:v>154.13304399541357</c:v>
                </c:pt>
                <c:pt idx="37">
                  <c:v>165.48242110449394</c:v>
                </c:pt>
                <c:pt idx="38">
                  <c:v>176.81341922195415</c:v>
                </c:pt>
                <c:pt idx="39">
                  <c:v>188.1273831228342</c:v>
                </c:pt>
                <c:pt idx="40">
                  <c:v>199.42548241866663</c:v>
                </c:pt>
                <c:pt idx="41">
                  <c:v>211.12636896992387</c:v>
                </c:pt>
                <c:pt idx="42">
                  <c:v>222.81230638924697</c:v>
                </c:pt>
                <c:pt idx="43">
                  <c:v>234.48418968616227</c:v>
                </c:pt>
                <c:pt idx="44">
                  <c:v>246.14281741922977</c:v>
                </c:pt>
                <c:pt idx="45">
                  <c:v>257.78890626510469</c:v>
                </c:pt>
                <c:pt idx="46">
                  <c:v>211.12636896992379</c:v>
                </c:pt>
                <c:pt idx="47">
                  <c:v>222.81230638924691</c:v>
                </c:pt>
                <c:pt idx="48">
                  <c:v>234.48418968616227</c:v>
                </c:pt>
                <c:pt idx="49">
                  <c:v>246.14281741922969</c:v>
                </c:pt>
                <c:pt idx="50">
                  <c:v>257.78890626510457</c:v>
                </c:pt>
                <c:pt idx="51">
                  <c:v>269.42310281421265</c:v>
                </c:pt>
                <c:pt idx="52">
                  <c:v>281.04599322042532</c:v>
                </c:pt>
                <c:pt idx="53">
                  <c:v>292.65811116959617</c:v>
                </c:pt>
                <c:pt idx="54">
                  <c:v>304.25994451630169</c:v>
                </c:pt>
                <c:pt idx="55">
                  <c:v>315.85194085471181</c:v>
                </c:pt>
                <c:pt idx="56">
                  <c:v>269.0077938022381</c:v>
                </c:pt>
                <c:pt idx="57">
                  <c:v>280.21615005760447</c:v>
                </c:pt>
                <c:pt idx="58">
                  <c:v>291.41445586173216</c:v>
                </c:pt>
                <c:pt idx="59">
                  <c:v>302.60315205267631</c:v>
                </c:pt>
                <c:pt idx="60">
                  <c:v>313.78264418987732</c:v>
                </c:pt>
                <c:pt idx="61">
                  <c:v>324.95330656071542</c:v>
                </c:pt>
                <c:pt idx="62">
                  <c:v>336.1154856070562</c:v>
                </c:pt>
                <c:pt idx="63">
                  <c:v>347.26950287262457</c:v>
                </c:pt>
                <c:pt idx="64">
                  <c:v>358.41565755176816</c:v>
                </c:pt>
                <c:pt idx="65">
                  <c:v>369.55422870449632</c:v>
                </c:pt>
                <c:pt idx="66">
                  <c:v>322.05803699935797</c:v>
                </c:pt>
                <c:pt idx="67">
                  <c:v>332.39568151871464</c:v>
                </c:pt>
                <c:pt idx="68">
                  <c:v>342.7262392021392</c:v>
                </c:pt>
                <c:pt idx="69">
                  <c:v>353.04995387967392</c:v>
                </c:pt>
                <c:pt idx="70">
                  <c:v>363.3670539509107</c:v>
                </c:pt>
                <c:pt idx="71">
                  <c:v>373.67775378131779</c:v>
                </c:pt>
                <c:pt idx="72">
                  <c:v>383.98225493635573</c:v>
                </c:pt>
                <c:pt idx="73">
                  <c:v>394.28074727616121</c:v>
                </c:pt>
                <c:pt idx="74">
                  <c:v>404.57340992986127</c:v>
                </c:pt>
                <c:pt idx="75">
                  <c:v>414.86041216554025</c:v>
                </c:pt>
                <c:pt idx="76">
                  <c:v>366.66716434689437</c:v>
                </c:pt>
                <c:pt idx="77">
                  <c:v>376.15139203422933</c:v>
                </c:pt>
                <c:pt idx="78">
                  <c:v>385.630412725084</c:v>
                </c:pt>
                <c:pt idx="79">
                  <c:v>395.10437251790654</c:v>
                </c:pt>
                <c:pt idx="80">
                  <c:v>404.57340992986127</c:v>
                </c:pt>
                <c:pt idx="81">
                  <c:v>413.62626538682224</c:v>
                </c:pt>
                <c:pt idx="82">
                  <c:v>422.67484705445094</c:v>
                </c:pt>
                <c:pt idx="83">
                  <c:v>431.71925936589827</c:v>
                </c:pt>
                <c:pt idx="84">
                  <c:v>440.75960201986459</c:v>
                </c:pt>
                <c:pt idx="85">
                  <c:v>449.79597029004367</c:v>
                </c:pt>
                <c:pt idx="86">
                  <c:v>400.86871209258283</c:v>
                </c:pt>
                <c:pt idx="87">
                  <c:v>409.51186735681631</c:v>
                </c:pt>
                <c:pt idx="88">
                  <c:v>418.15108380244925</c:v>
                </c:pt>
                <c:pt idx="89">
                  <c:v>426.78645432329768</c:v>
                </c:pt>
                <c:pt idx="90">
                  <c:v>435.41806774560092</c:v>
                </c:pt>
                <c:pt idx="91">
                  <c:v>443.01906305734218</c:v>
                </c:pt>
                <c:pt idx="92">
                  <c:v>450.61726441852397</c:v>
                </c:pt>
                <c:pt idx="93">
                  <c:v>458.2127256093965</c:v>
                </c:pt>
                <c:pt idx="94">
                  <c:v>465.80549848090749</c:v>
                </c:pt>
                <c:pt idx="95">
                  <c:v>473.39563305492248</c:v>
                </c:pt>
                <c:pt idx="96">
                  <c:v>480.98317761768021</c:v>
                </c:pt>
                <c:pt idx="97">
                  <c:v>488.56817880704153</c:v>
                </c:pt>
                <c:pt idx="98">
                  <c:v>496.15068169403861</c:v>
                </c:pt>
                <c:pt idx="99">
                  <c:v>503.73072985917588</c:v>
                </c:pt>
                <c:pt idx="100">
                  <c:v>511.30836546389997</c:v>
                </c:pt>
                <c:pt idx="101">
                  <c:v>431.51375010464403</c:v>
                </c:pt>
                <c:pt idx="102">
                  <c:v>437.88356491828057</c:v>
                </c:pt>
                <c:pt idx="103">
                  <c:v>444.25139218014789</c:v>
                </c:pt>
                <c:pt idx="104">
                  <c:v>450.6172644185238</c:v>
                </c:pt>
                <c:pt idx="105">
                  <c:v>456.98121316702378</c:v>
                </c:pt>
                <c:pt idx="106">
                  <c:v>463.34326900875197</c:v>
                </c:pt>
                <c:pt idx="107">
                  <c:v>469.70346161789735</c:v>
                </c:pt>
                <c:pt idx="108">
                  <c:v>476.06181979896149</c:v>
                </c:pt>
                <c:pt idx="109">
                  <c:v>482.41837152377803</c:v>
                </c:pt>
                <c:pt idx="110">
                  <c:v>488.7731439664804</c:v>
                </c:pt>
                <c:pt idx="111">
                  <c:v>494.5114310820897</c:v>
                </c:pt>
                <c:pt idx="112">
                  <c:v>500.24830712884545</c:v>
                </c:pt>
                <c:pt idx="113">
                  <c:v>505.98379058152005</c:v>
                </c:pt>
                <c:pt idx="114">
                  <c:v>511.71789946163943</c:v>
                </c:pt>
                <c:pt idx="115">
                  <c:v>517.45065135367133</c:v>
                </c:pt>
                <c:pt idx="116">
                  <c:v>523.18206342045494</c:v>
                </c:pt>
                <c:pt idx="117">
                  <c:v>528.9121524179219</c:v>
                </c:pt>
                <c:pt idx="118">
                  <c:v>534.64093470914429</c:v>
                </c:pt>
                <c:pt idx="119">
                  <c:v>540.36842627774911</c:v>
                </c:pt>
                <c:pt idx="120">
                  <c:v>546.09464274073559</c:v>
                </c:pt>
                <c:pt idx="121">
                  <c:v>444.04600908498674</c:v>
                </c:pt>
                <c:pt idx="122">
                  <c:v>448.56396890697624</c:v>
                </c:pt>
                <c:pt idx="123">
                  <c:v>453.08095492892249</c:v>
                </c:pt>
                <c:pt idx="124">
                  <c:v>457.59697823799758</c:v>
                </c:pt>
                <c:pt idx="125">
                  <c:v>462.11204968448209</c:v>
                </c:pt>
                <c:pt idx="126">
                  <c:v>466.62617988914303</c:v>
                </c:pt>
                <c:pt idx="127">
                  <c:v>471.13937925031263</c:v>
                </c:pt>
                <c:pt idx="128">
                  <c:v>475.65165795068111</c:v>
                </c:pt>
                <c:pt idx="129">
                  <c:v>480.16302596381712</c:v>
                </c:pt>
                <c:pt idx="130">
                  <c:v>484.67349306043161</c:v>
                </c:pt>
                <c:pt idx="131">
                  <c:v>488.15824301282919</c:v>
                </c:pt>
                <c:pt idx="132">
                  <c:v>491.64246508072841</c:v>
                </c:pt>
                <c:pt idx="133">
                  <c:v>495.1261635365542</c:v>
                </c:pt>
                <c:pt idx="134">
                  <c:v>498.60934258764951</c:v>
                </c:pt>
                <c:pt idx="135">
                  <c:v>502.09200637772619</c:v>
                </c:pt>
                <c:pt idx="136">
                  <c:v>505.57415898827139</c:v>
                </c:pt>
                <c:pt idx="137">
                  <c:v>509.0558044399142</c:v>
                </c:pt>
                <c:pt idx="138">
                  <c:v>512.53694669375159</c:v>
                </c:pt>
                <c:pt idx="139">
                  <c:v>516.01758965263866</c:v>
                </c:pt>
                <c:pt idx="140">
                  <c:v>519.49773716243965</c:v>
                </c:pt>
                <c:pt idx="141">
                  <c:v>522.36337165879161</c:v>
                </c:pt>
                <c:pt idx="142">
                  <c:v>525.22867480164962</c:v>
                </c:pt>
                <c:pt idx="143">
                  <c:v>528.09364865532564</c:v>
                </c:pt>
                <c:pt idx="144">
                  <c:v>530.95829525988631</c:v>
                </c:pt>
                <c:pt idx="145">
                  <c:v>533.82261663157055</c:v>
                </c:pt>
                <c:pt idx="146">
                  <c:v>536.68661476319721</c:v>
                </c:pt>
                <c:pt idx="147">
                  <c:v>539.55029162456219</c:v>
                </c:pt>
                <c:pt idx="148">
                  <c:v>542.41364916282964</c:v>
                </c:pt>
                <c:pt idx="149">
                  <c:v>545.27668930291168</c:v>
                </c:pt>
                <c:pt idx="150">
                  <c:v>548.13941394784104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9407648"/>
        <c:axId val="589338144"/>
      </c:scatterChart>
      <c:valAx>
        <c:axId val="7094076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89338144"/>
        <c:crosses val="autoZero"/>
        <c:crossBetween val="midCat"/>
      </c:valAx>
      <c:valAx>
        <c:axId val="589338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094076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2.5674081613595483</c:v>
                </c:pt>
                <c:pt idx="2">
                  <c:v>2.9509973995419365</c:v>
                </c:pt>
                <c:pt idx="3">
                  <c:v>3.3921035249964064</c:v>
                </c:pt>
                <c:pt idx="4">
                  <c:v>3.8993800326575379</c:v>
                </c:pt>
                <c:pt idx="5">
                  <c:v>4.4827864698435551</c:v>
                </c:pt>
                <c:pt idx="6">
                  <c:v>5.1537861360321822</c:v>
                </c:pt>
                <c:pt idx="7">
                  <c:v>5.9255737902693291</c:v>
                </c:pt>
                <c:pt idx="8">
                  <c:v>6.8133379322758998</c:v>
                </c:pt>
                <c:pt idx="9">
                  <c:v>7.834562919695732</c:v>
                </c:pt>
                <c:pt idx="10">
                  <c:v>9.0093769867322209</c:v>
                </c:pt>
                <c:pt idx="11">
                  <c:v>10.360953154948495</c:v>
                </c:pt>
                <c:pt idx="12">
                  <c:v>11.915971094051232</c:v>
                </c:pt>
                <c:pt idx="13">
                  <c:v>13.705149220720239</c:v>
                </c:pt>
                <c:pt idx="14">
                  <c:v>15.763857741989639</c:v>
                </c:pt>
                <c:pt idx="15">
                  <c:v>18.132824985174668</c:v>
                </c:pt>
                <c:pt idx="16">
                  <c:v>20.858951242140964</c:v>
                </c:pt>
                <c:pt idx="17">
                  <c:v>23.996246530208428</c:v>
                </c:pt>
                <c:pt idx="18">
                  <c:v>27.606911179441123</c:v>
                </c:pt>
                <c:pt idx="19">
                  <c:v>31.762581047569586</c:v>
                </c:pt>
                <c:pt idx="20">
                  <c:v>36.545762498237771</c:v>
                </c:pt>
                <c:pt idx="21">
                  <c:v>51.452977619505397</c:v>
                </c:pt>
                <c:pt idx="22">
                  <c:v>66.244820001279194</c:v>
                </c:pt>
                <c:pt idx="23">
                  <c:v>80.950986488725476</c:v>
                </c:pt>
                <c:pt idx="24">
                  <c:v>95.589333040289148</c:v>
                </c:pt>
                <c:pt idx="25">
                  <c:v>110.1717474820732</c:v>
                </c:pt>
                <c:pt idx="26">
                  <c:v>91.742969984406372</c:v>
                </c:pt>
                <c:pt idx="27">
                  <c:v>105.9557293591423</c:v>
                </c:pt>
                <c:pt idx="28">
                  <c:v>120.12142182376846</c:v>
                </c:pt>
                <c:pt idx="29">
                  <c:v>134.24638938649045</c:v>
                </c:pt>
                <c:pt idx="30">
                  <c:v>148.33552588657849</c:v>
                </c:pt>
                <c:pt idx="31">
                  <c:v>160.87445980010816</c:v>
                </c:pt>
                <c:pt idx="32">
                  <c:v>173.3902523967221</c:v>
                </c:pt>
                <c:pt idx="33">
                  <c:v>185.88481063386453</c:v>
                </c:pt>
                <c:pt idx="34">
                  <c:v>198.35976383962796</c:v>
                </c:pt>
                <c:pt idx="35">
                  <c:v>210.8165194357947</c:v>
                </c:pt>
                <c:pt idx="36">
                  <c:v>168.46242240333265</c:v>
                </c:pt>
                <c:pt idx="37">
                  <c:v>179.07212574507776</c:v>
                </c:pt>
                <c:pt idx="38">
                  <c:v>189.66710135325764</c:v>
                </c:pt>
                <c:pt idx="39">
                  <c:v>200.24828861934861</c:v>
                </c:pt>
                <c:pt idx="40">
                  <c:v>210.81651943579459</c:v>
                </c:pt>
                <c:pt idx="41">
                  <c:v>220.24209728386401</c:v>
                </c:pt>
                <c:pt idx="42">
                  <c:v>229.65841439261331</c:v>
                </c:pt>
                <c:pt idx="43">
                  <c:v>239.06590436046727</c:v>
                </c:pt>
                <c:pt idx="44">
                  <c:v>248.46496383915076</c:v>
                </c:pt>
                <c:pt idx="45">
                  <c:v>257.85595699105755</c:v>
                </c:pt>
                <c:pt idx="46">
                  <c:v>213.07952740360656</c:v>
                </c:pt>
                <c:pt idx="47">
                  <c:v>220.99573745004457</c:v>
                </c:pt>
                <c:pt idx="48">
                  <c:v>228.90543935922878</c:v>
                </c:pt>
                <c:pt idx="49">
                  <c:v>236.80889001154415</c:v>
                </c:pt>
                <c:pt idx="50">
                  <c:v>244.70632771903044</c:v>
                </c:pt>
                <c:pt idx="51">
                  <c:v>251.0952400785371</c:v>
                </c:pt>
                <c:pt idx="52">
                  <c:v>257.48046784349401</c:v>
                </c:pt>
                <c:pt idx="53">
                  <c:v>263.86211541012494</c:v>
                </c:pt>
                <c:pt idx="54">
                  <c:v>270.24028170556272</c:v>
                </c:pt>
                <c:pt idx="55">
                  <c:v>276.61506059958816</c:v>
                </c:pt>
                <c:pt idx="56">
                  <c:v>245.08225003541096</c:v>
                </c:pt>
                <c:pt idx="57">
                  <c:v>251.0952400785371</c:v>
                </c:pt>
                <c:pt idx="58">
                  <c:v>257.10496630927088</c:v>
                </c:pt>
                <c:pt idx="59">
                  <c:v>263.11151589765069</c:v>
                </c:pt>
                <c:pt idx="60">
                  <c:v>269.11497170292409</c:v>
                </c:pt>
                <c:pt idx="61">
                  <c:v>273.99055606211817</c:v>
                </c:pt>
                <c:pt idx="62">
                  <c:v>278.86419064084293</c:v>
                </c:pt>
                <c:pt idx="63">
                  <c:v>283.73591438004928</c:v>
                </c:pt>
                <c:pt idx="64">
                  <c:v>288.60576477216404</c:v>
                </c:pt>
                <c:pt idx="65">
                  <c:v>293.47377793906486</c:v>
                </c:pt>
                <c:pt idx="66">
                  <c:v>273.24059406456797</c:v>
                </c:pt>
                <c:pt idx="67">
                  <c:v>277.36481607055646</c:v>
                </c:pt>
                <c:pt idx="68">
                  <c:v>281.48766152009551</c:v>
                </c:pt>
                <c:pt idx="69">
                  <c:v>285.60915345709304</c:v>
                </c:pt>
                <c:pt idx="70">
                  <c:v>289.72931420493512</c:v>
                </c:pt>
                <c:pt idx="71">
                  <c:v>293.0993798144579</c:v>
                </c:pt>
                <c:pt idx="72">
                  <c:v>296.46858031425853</c:v>
                </c:pt>
                <c:pt idx="73">
                  <c:v>299.83692694209077</c:v>
                </c:pt>
                <c:pt idx="74">
                  <c:v>303.20443066214938</c:v>
                </c:pt>
                <c:pt idx="75">
                  <c:v>306.57110217476492</c:v>
                </c:pt>
                <c:pt idx="76">
                  <c:v>309.93695192564923</c:v>
                </c:pt>
                <c:pt idx="77">
                  <c:v>313.30199011471785</c:v>
                </c:pt>
                <c:pt idx="78">
                  <c:v>316.66622670451295</c:v>
                </c:pt>
                <c:pt idx="79">
                  <c:v>320.02967142824997</c:v>
                </c:pt>
                <c:pt idx="80">
                  <c:v>323.39233379750675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9334336"/>
        <c:axId val="589338688"/>
      </c:scatterChart>
      <c:valAx>
        <c:axId val="5893343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89338688"/>
        <c:crosses val="autoZero"/>
        <c:crossBetween val="midCat"/>
      </c:valAx>
      <c:valAx>
        <c:axId val="589338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89334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9332160"/>
        <c:axId val="518906304"/>
      </c:scatterChart>
      <c:valAx>
        <c:axId val="589332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18906304"/>
        <c:crosses val="autoZero"/>
        <c:crossBetween val="midCat"/>
      </c:valAx>
      <c:valAx>
        <c:axId val="518906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89332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8903040"/>
        <c:axId val="518903584"/>
      </c:scatterChart>
      <c:valAx>
        <c:axId val="5189030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18903584"/>
        <c:crosses val="autoZero"/>
        <c:crossBetween val="midCat"/>
      </c:valAx>
      <c:valAx>
        <c:axId val="51890358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189030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0" t="s">
        <v>291</v>
      </c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</row>
    <row r="13" spans="2:13" ht="15" customHeight="1" x14ac:dyDescent="0.25">
      <c r="B13" s="290"/>
      <c r="C13" s="290"/>
      <c r="D13" s="290"/>
      <c r="E13" s="290"/>
      <c r="F13" s="290"/>
      <c r="G13" s="290"/>
      <c r="H13" s="290"/>
      <c r="I13" s="290"/>
      <c r="J13" s="290"/>
      <c r="K13" s="290"/>
      <c r="L13" s="290"/>
      <c r="M13" s="290"/>
    </row>
    <row r="14" spans="2:13" ht="15" customHeight="1" x14ac:dyDescent="0.25">
      <c r="B14" s="290"/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</row>
    <row r="15" spans="2:13" ht="18.75" customHeight="1" x14ac:dyDescent="0.25">
      <c r="B15" s="290"/>
      <c r="C15" s="290"/>
      <c r="D15" s="290"/>
      <c r="E15" s="290"/>
      <c r="F15" s="290"/>
      <c r="G15" s="290"/>
      <c r="H15" s="290"/>
      <c r="I15" s="290"/>
      <c r="J15" s="290"/>
      <c r="K15" s="290"/>
      <c r="L15" s="290"/>
      <c r="M15" s="290"/>
    </row>
    <row r="16" spans="2:13" ht="18.75" customHeight="1" x14ac:dyDescent="0.25">
      <c r="B16" s="290"/>
      <c r="C16" s="290"/>
      <c r="D16" s="290"/>
      <c r="E16" s="290"/>
      <c r="F16" s="290"/>
      <c r="G16" s="290"/>
      <c r="H16" s="290"/>
      <c r="I16" s="290"/>
      <c r="J16" s="290"/>
      <c r="K16" s="290"/>
      <c r="L16" s="290"/>
      <c r="M16" s="290"/>
    </row>
    <row r="18" spans="2:13" ht="12" customHeight="1" x14ac:dyDescent="0.25">
      <c r="B18" s="290" t="s">
        <v>292</v>
      </c>
      <c r="C18" s="290"/>
      <c r="D18" s="290"/>
      <c r="E18" s="290"/>
      <c r="F18" s="290"/>
      <c r="G18" s="290"/>
      <c r="H18" s="290"/>
      <c r="I18" s="290"/>
      <c r="J18" s="290"/>
      <c r="K18" s="290"/>
      <c r="L18" s="290"/>
      <c r="M18" s="290"/>
    </row>
    <row r="19" spans="2:13" ht="12" customHeight="1" x14ac:dyDescent="0.25">
      <c r="B19" s="290"/>
      <c r="C19" s="290"/>
      <c r="D19" s="290"/>
      <c r="E19" s="290"/>
      <c r="F19" s="290"/>
      <c r="G19" s="290"/>
      <c r="H19" s="290"/>
      <c r="I19" s="290"/>
      <c r="J19" s="290"/>
      <c r="K19" s="290"/>
      <c r="L19" s="290"/>
      <c r="M19" s="290"/>
    </row>
    <row r="20" spans="2:13" ht="12" customHeight="1" x14ac:dyDescent="0.25">
      <c r="B20" s="290"/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</row>
    <row r="21" spans="2:13" ht="12" customHeight="1" x14ac:dyDescent="0.25">
      <c r="B21" s="290"/>
      <c r="C21" s="290"/>
      <c r="D21" s="290"/>
      <c r="E21" s="290"/>
      <c r="F21" s="290"/>
      <c r="G21" s="290"/>
      <c r="H21" s="290"/>
      <c r="I21" s="290"/>
      <c r="J21" s="290"/>
      <c r="K21" s="290"/>
      <c r="L21" s="290"/>
      <c r="M21" s="290"/>
    </row>
    <row r="22" spans="2:13" ht="12" customHeight="1" x14ac:dyDescent="0.25">
      <c r="B22" s="290"/>
      <c r="C22" s="290"/>
      <c r="D22" s="290"/>
      <c r="E22" s="290"/>
      <c r="F22" s="290"/>
      <c r="G22" s="290"/>
      <c r="H22" s="290"/>
      <c r="I22" s="290"/>
      <c r="J22" s="290"/>
      <c r="K22" s="290"/>
      <c r="L22" s="290"/>
      <c r="M22" s="290"/>
    </row>
    <row r="23" spans="2:13" ht="12" customHeight="1" x14ac:dyDescent="0.25">
      <c r="B23" s="290"/>
      <c r="C23" s="290"/>
      <c r="D23" s="290"/>
      <c r="E23" s="290"/>
      <c r="F23" s="290"/>
      <c r="G23" s="290"/>
      <c r="H23" s="290"/>
      <c r="I23" s="290"/>
      <c r="J23" s="290"/>
      <c r="K23" s="290"/>
      <c r="L23" s="290"/>
      <c r="M23" s="290"/>
    </row>
    <row r="24" spans="2:13" ht="12" customHeight="1" x14ac:dyDescent="0.25">
      <c r="B24" s="290"/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90"/>
    </row>
    <row r="25" spans="2:13" ht="12" customHeight="1" x14ac:dyDescent="0.25">
      <c r="B25" s="290"/>
      <c r="C25" s="290"/>
      <c r="D25" s="290"/>
      <c r="E25" s="290"/>
      <c r="F25" s="290"/>
      <c r="G25" s="290"/>
      <c r="H25" s="290"/>
      <c r="I25" s="290"/>
      <c r="J25" s="290"/>
      <c r="K25" s="290"/>
      <c r="L25" s="290"/>
      <c r="M25" s="290"/>
    </row>
    <row r="26" spans="2:13" ht="12" customHeight="1" x14ac:dyDescent="0.25">
      <c r="B26" s="290"/>
      <c r="C26" s="290"/>
      <c r="D26" s="290"/>
      <c r="E26" s="290"/>
      <c r="F26" s="290"/>
      <c r="G26" s="290"/>
      <c r="H26" s="290"/>
      <c r="I26" s="290"/>
      <c r="J26" s="290"/>
      <c r="K26" s="290"/>
      <c r="L26" s="290"/>
      <c r="M26" s="290"/>
    </row>
    <row r="27" spans="2:13" ht="12" customHeight="1" x14ac:dyDescent="0.25">
      <c r="B27" s="290"/>
      <c r="C27" s="290"/>
      <c r="D27" s="290"/>
      <c r="E27" s="290"/>
      <c r="F27" s="290"/>
      <c r="G27" s="290"/>
      <c r="H27" s="290"/>
      <c r="I27" s="290"/>
      <c r="J27" s="290"/>
      <c r="K27" s="290"/>
      <c r="L27" s="290"/>
      <c r="M27" s="290"/>
    </row>
    <row r="28" spans="2:13" ht="12" customHeight="1" x14ac:dyDescent="0.25"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</row>
    <row r="29" spans="2:13" ht="12" customHeight="1" x14ac:dyDescent="0.25">
      <c r="B29" s="290"/>
      <c r="C29" s="290"/>
      <c r="D29" s="290"/>
      <c r="E29" s="290"/>
      <c r="F29" s="290"/>
      <c r="G29" s="290"/>
      <c r="H29" s="290"/>
      <c r="I29" s="290"/>
      <c r="J29" s="290"/>
      <c r="K29" s="290"/>
      <c r="L29" s="290"/>
      <c r="M29" s="290"/>
    </row>
    <row r="30" spans="2:13" ht="12" customHeight="1" x14ac:dyDescent="0.25">
      <c r="B30" s="290"/>
      <c r="C30" s="290"/>
      <c r="D30" s="290"/>
      <c r="E30" s="290"/>
      <c r="F30" s="290"/>
      <c r="G30" s="290"/>
      <c r="H30" s="290"/>
      <c r="I30" s="290"/>
      <c r="J30" s="290"/>
      <c r="K30" s="290"/>
      <c r="L30" s="290"/>
      <c r="M30" s="290"/>
    </row>
    <row r="31" spans="2:13" ht="12" customHeight="1" x14ac:dyDescent="0.25">
      <c r="B31" s="290"/>
      <c r="C31" s="290"/>
      <c r="D31" s="290"/>
      <c r="E31" s="290"/>
      <c r="F31" s="290"/>
      <c r="G31" s="290"/>
      <c r="H31" s="290"/>
      <c r="I31" s="290"/>
      <c r="J31" s="290"/>
      <c r="K31" s="290"/>
      <c r="L31" s="290"/>
      <c r="M31" s="29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4" zoomScale="90" zoomScaleNormal="90" workbookViewId="0">
      <selection activeCell="C13" sqref="C13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5" t="s">
        <v>190</v>
      </c>
      <c r="D1" s="295"/>
      <c r="E1" s="29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6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6" t="s">
        <v>192</v>
      </c>
      <c r="C3" s="297"/>
      <c r="D3" s="297"/>
      <c r="E3" s="297"/>
      <c r="F3" s="298"/>
      <c r="G3" s="93"/>
      <c r="I3" s="226" t="s">
        <v>304</v>
      </c>
      <c r="J3" s="9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5"/>
      <c r="B4" s="95"/>
      <c r="C4" s="95"/>
      <c r="D4" s="95"/>
      <c r="E4" s="95"/>
      <c r="F4" s="95"/>
      <c r="G4" s="236"/>
      <c r="I4" s="226" t="s">
        <v>305</v>
      </c>
      <c r="J4" s="9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2" t="s">
        <v>231</v>
      </c>
      <c r="B5" s="302"/>
      <c r="C5" s="26">
        <v>2</v>
      </c>
      <c r="D5" s="303" t="s">
        <v>229</v>
      </c>
      <c r="E5" s="304"/>
      <c r="F5" s="95"/>
      <c r="G5" s="236"/>
      <c r="H5" s="237"/>
      <c r="I5" s="237"/>
      <c r="J5" s="24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6"/>
      <c r="B6" s="96"/>
      <c r="C6" s="97"/>
      <c r="D6" s="91"/>
      <c r="E6" s="91"/>
      <c r="F6" s="29"/>
      <c r="G6" s="238"/>
      <c r="H6" s="239"/>
      <c r="I6" s="239"/>
      <c r="J6" s="246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</row>
    <row r="7" spans="1:38" ht="26.25" x14ac:dyDescent="0.25">
      <c r="A7" s="300" t="s">
        <v>226</v>
      </c>
      <c r="B7" s="300"/>
      <c r="C7" s="95"/>
      <c r="D7" s="95"/>
      <c r="E7" s="5"/>
      <c r="F7" s="95"/>
      <c r="G7" s="236"/>
      <c r="H7" s="237"/>
      <c r="I7" s="237"/>
      <c r="J7" s="24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1"/>
      <c r="J8" s="24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90</v>
      </c>
      <c r="C9" s="35">
        <v>0.3</v>
      </c>
      <c r="D9" s="36">
        <f t="shared" ref="D9:D18" si="0">C9*$C$5</f>
        <v>0.6</v>
      </c>
      <c r="E9" s="37">
        <v>80</v>
      </c>
      <c r="F9" s="38" t="str">
        <f t="array" ref="F9">IF(E9="","",IF(INDEX(A:A,MAX(IF(ISNUMBER($A$36:$A$55),ROW($A$36:$A$55),"")))&lt;&gt;E9,"Corrigez : révolution incorrecte","OK"))</f>
        <v>OK</v>
      </c>
      <c r="G9" s="256" t="s">
        <v>306</v>
      </c>
      <c r="I9" s="252"/>
      <c r="J9" s="24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12</v>
      </c>
      <c r="C10" s="35">
        <v>0.3</v>
      </c>
      <c r="D10" s="36">
        <f t="shared" si="0"/>
        <v>0.6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I10" s="252"/>
      <c r="J10" s="24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52</v>
      </c>
      <c r="C11" s="35">
        <v>0.15</v>
      </c>
      <c r="D11" s="36">
        <f t="shared" si="0"/>
        <v>0.3</v>
      </c>
      <c r="E11" s="37">
        <v>150</v>
      </c>
      <c r="F11" s="38" t="str">
        <f t="array" ref="F11">IF(E11="","",IF(INDEX(A:A,MAX(IF(ISNUMBER($A$88:$A$107),ROW($A$88:$A$107),"")))&lt;&gt;E11,"Corrigez : révolution incorrecte","OK"))</f>
        <v>OK</v>
      </c>
      <c r="H11" s="229"/>
      <c r="I11" s="252"/>
      <c r="J11" s="24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102</v>
      </c>
      <c r="C12" s="35">
        <v>0.1</v>
      </c>
      <c r="D12" s="36">
        <f t="shared" si="0"/>
        <v>0.2</v>
      </c>
      <c r="E12" s="37">
        <v>110</v>
      </c>
      <c r="F12" s="38" t="str">
        <f t="array" ref="F12">IF(E12="","",IF(INDEX(A:A,MAX(IF(ISNUMBER($A$114:$A$133),ROW($A$114:$A$133),"")))&lt;&gt;E12,"Corrigez : révolution incorrecte","OK"))</f>
        <v>OK</v>
      </c>
      <c r="H12" s="229"/>
      <c r="I12" s="252"/>
      <c r="J12" s="24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50</v>
      </c>
      <c r="C13" s="35">
        <v>0.05</v>
      </c>
      <c r="D13" s="36">
        <f t="shared" si="0"/>
        <v>0.1</v>
      </c>
      <c r="E13" s="37">
        <v>110</v>
      </c>
      <c r="F13" s="38" t="str">
        <f t="array" ref="F13">IF(E13="","",IF(INDEX(A:A,MAX(IF(ISNUMBER($A$140:$A$159),ROW($A$140:$A$159),"")))&lt;&gt;E13,"Corrigez : révolution incorrecte","OK"))</f>
        <v>OK</v>
      </c>
      <c r="H13" s="229"/>
      <c r="I13" s="252"/>
      <c r="J13" s="24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1</v>
      </c>
      <c r="C14" s="35">
        <v>0.05</v>
      </c>
      <c r="D14" s="36">
        <f t="shared" si="0"/>
        <v>0.1</v>
      </c>
      <c r="E14" s="37">
        <v>150</v>
      </c>
      <c r="F14" s="38" t="str">
        <f t="array" ref="F14">IF(E14="","",IF(INDEX(A:A,MAX(IF(ISNUMBER($A$166:$A$185),ROW($A$166:$A$185),"")))&lt;&gt;E14,"Corrigez : révolution incorrecte","OK"))</f>
        <v>OK</v>
      </c>
      <c r="H14" s="229"/>
      <c r="I14" s="252"/>
      <c r="J14" s="24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 t="s">
        <v>21</v>
      </c>
      <c r="C15" s="35">
        <v>0.05</v>
      </c>
      <c r="D15" s="36">
        <f t="shared" si="0"/>
        <v>0.1</v>
      </c>
      <c r="E15" s="37">
        <v>80</v>
      </c>
      <c r="F15" s="38" t="str">
        <f t="array" ref="F15">IF(E15="","",IF(INDEX(A:A,MAX(IF(ISNUMBER($A$192:$A$211),ROW($A$192:$A$211),"")))&lt;&gt;E15,"Corrigez : révolution incorrecte","OK"))</f>
        <v>OK</v>
      </c>
      <c r="H15" s="229"/>
      <c r="I15" s="252"/>
      <c r="J15" s="24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29"/>
      <c r="I16" s="252"/>
      <c r="J16" s="24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29"/>
      <c r="I17" s="252"/>
      <c r="J17" s="24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9"/>
      <c r="I18" s="252"/>
      <c r="J18" s="24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98"/>
      <c r="B19" s="39" t="s">
        <v>175</v>
      </c>
      <c r="C19" s="40">
        <f>SUM(C9:C18)</f>
        <v>1</v>
      </c>
      <c r="D19" s="41">
        <f>SUM(D9:D18)</f>
        <v>2</v>
      </c>
      <c r="E19" s="5"/>
      <c r="F19" s="99"/>
      <c r="G19" s="240"/>
      <c r="H19" s="241"/>
      <c r="I19" s="240"/>
      <c r="J19" s="24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98"/>
      <c r="B20" s="42" t="s">
        <v>230</v>
      </c>
      <c r="C20" s="43" t="str">
        <f>IF(C19&gt;100%,"Erreur : corrigez","OK")</f>
        <v>OK</v>
      </c>
      <c r="D20" s="247"/>
      <c r="F20" s="239"/>
      <c r="G20" s="239"/>
      <c r="H20" s="241"/>
      <c r="I20" s="240"/>
      <c r="J20" s="24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2"/>
      <c r="I21" s="253"/>
      <c r="J21" s="24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299" t="s">
        <v>232</v>
      </c>
      <c r="B22" s="299"/>
      <c r="C22" s="97"/>
      <c r="H22" s="228"/>
      <c r="I22" s="246"/>
      <c r="J22" s="246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</row>
    <row r="23" spans="1:45" x14ac:dyDescent="0.25">
      <c r="A23" s="5"/>
      <c r="B23" s="5"/>
      <c r="C23" s="5"/>
      <c r="H23" s="219"/>
      <c r="I23" s="245"/>
      <c r="J23" s="24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0"/>
      <c r="F24" s="100"/>
      <c r="G24" s="243"/>
      <c r="H24" s="229"/>
      <c r="I24" s="243"/>
      <c r="J24" s="244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1"/>
      <c r="E25" s="5"/>
      <c r="F25" s="101"/>
      <c r="G25" s="244"/>
      <c r="H25" s="229"/>
      <c r="I25" s="244"/>
      <c r="J25" s="24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0"/>
      <c r="F26" s="100"/>
      <c r="G26" s="243"/>
      <c r="I26" s="243"/>
      <c r="J26" s="243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0"/>
      <c r="F27" s="100"/>
      <c r="G27" s="243"/>
      <c r="I27" s="243"/>
      <c r="J27" s="243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5"/>
      <c r="I28" s="245"/>
      <c r="J28" s="24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5"/>
      <c r="I29" s="245"/>
      <c r="J29" s="24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1" t="s">
        <v>227</v>
      </c>
      <c r="B30" s="301"/>
      <c r="D30" s="248"/>
      <c r="H30" s="246"/>
      <c r="I30" s="246"/>
      <c r="J30" s="246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</row>
    <row r="31" spans="1:45" x14ac:dyDescent="0.25">
      <c r="A31" s="5"/>
      <c r="B31" s="5"/>
      <c r="H31" s="245"/>
      <c r="I31" s="245"/>
      <c r="J31" s="245"/>
      <c r="K31" s="248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d'Alep</v>
      </c>
      <c r="D32" s="257" t="s">
        <v>307</v>
      </c>
      <c r="K32" s="248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48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0" t="s">
        <v>185</v>
      </c>
      <c r="C34" s="291" t="s">
        <v>186</v>
      </c>
      <c r="D34" s="291"/>
      <c r="E34" s="292" t="s">
        <v>187</v>
      </c>
      <c r="F34" s="293"/>
      <c r="G34" s="293"/>
      <c r="H34" s="294"/>
      <c r="I34" s="102"/>
      <c r="J34" s="249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0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30</v>
      </c>
      <c r="B36" s="63">
        <v>105</v>
      </c>
      <c r="C36" s="63">
        <v>1</v>
      </c>
      <c r="D36" s="63">
        <v>48</v>
      </c>
      <c r="E36" s="54"/>
      <c r="F36" s="54"/>
      <c r="G36" s="54">
        <v>0.5</v>
      </c>
      <c r="H36" s="54">
        <v>0.5</v>
      </c>
      <c r="I36" s="52">
        <f>IFERROR(B36/A36,"")</f>
        <v>3.5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45</v>
      </c>
      <c r="B37" s="63">
        <v>173</v>
      </c>
      <c r="C37" s="63">
        <v>2</v>
      </c>
      <c r="D37" s="63">
        <v>73</v>
      </c>
      <c r="E37" s="54"/>
      <c r="F37" s="54"/>
      <c r="G37" s="54"/>
      <c r="H37" s="54"/>
      <c r="I37" s="56">
        <f t="shared" ref="I37:I55" si="1">IF(A37&lt;&gt;0,(B37-(B36-D36))/(A37-A36),"")</f>
        <v>7.7333333333333334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60</v>
      </c>
      <c r="B38" s="63">
        <v>210</v>
      </c>
      <c r="C38" s="63">
        <v>3</v>
      </c>
      <c r="D38" s="63">
        <v>77</v>
      </c>
      <c r="E38" s="54"/>
      <c r="F38" s="54"/>
      <c r="G38" s="54"/>
      <c r="H38" s="54"/>
      <c r="I38" s="56">
        <f t="shared" si="1"/>
        <v>7.333333333333333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80</v>
      </c>
      <c r="B39" s="63">
        <v>264</v>
      </c>
      <c r="C39" s="63">
        <v>4</v>
      </c>
      <c r="D39" s="63">
        <f>B39</f>
        <v>264</v>
      </c>
      <c r="E39" s="54"/>
      <c r="F39" s="54"/>
      <c r="G39" s="54"/>
      <c r="H39" s="54"/>
      <c r="I39" s="52">
        <f t="shared" si="1"/>
        <v>6.55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1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1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1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1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1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1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1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1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1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1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1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1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1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pubescent</v>
      </c>
      <c r="D58" s="257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3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0" t="s">
        <v>185</v>
      </c>
      <c r="C60" s="291" t="s">
        <v>186</v>
      </c>
      <c r="D60" s="291"/>
      <c r="E60" s="292" t="s">
        <v>187</v>
      </c>
      <c r="F60" s="293"/>
      <c r="G60" s="293"/>
      <c r="H60" s="294"/>
      <c r="I60" s="102"/>
      <c r="J60" s="249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0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25</v>
      </c>
      <c r="B62" s="63">
        <v>30</v>
      </c>
      <c r="C62" s="63"/>
      <c r="D62" s="63"/>
      <c r="E62" s="54"/>
      <c r="F62" s="54"/>
      <c r="G62" s="54"/>
      <c r="H62" s="54"/>
      <c r="I62" s="56">
        <f>IFERROR(B62/A62,"")</f>
        <v>1.2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54</v>
      </c>
      <c r="C63" s="63"/>
      <c r="D63" s="63"/>
      <c r="E63" s="54"/>
      <c r="F63" s="54"/>
      <c r="G63" s="54"/>
      <c r="H63" s="54"/>
      <c r="I63" s="52">
        <f>IF(A63&lt;&gt;0,(B63-(B62-D62))/(A63-A62),"")</f>
        <v>4.8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35</v>
      </c>
      <c r="B64" s="63">
        <f>66+13</f>
        <v>79</v>
      </c>
      <c r="C64" s="63">
        <v>1</v>
      </c>
      <c r="D64" s="63">
        <v>13</v>
      </c>
      <c r="E64" s="54"/>
      <c r="F64" s="54"/>
      <c r="G64" s="54"/>
      <c r="H64" s="54"/>
      <c r="I64" s="52">
        <f>IF(A64&lt;&gt;0,(B64-(B63-D63))/(A64-A63),"")</f>
        <v>5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40</v>
      </c>
      <c r="B65" s="63">
        <f>79+14</f>
        <v>93</v>
      </c>
      <c r="C65" s="63"/>
      <c r="D65" s="63"/>
      <c r="E65" s="54"/>
      <c r="F65" s="54"/>
      <c r="G65" s="54"/>
      <c r="H65" s="54"/>
      <c r="I65" s="52">
        <f>IF(A65&lt;&gt;0,(B65-(B64-D64))/(A65-A64),"")</f>
        <v>5.4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45</v>
      </c>
      <c r="B66" s="63">
        <f>93+14+14</f>
        <v>121</v>
      </c>
      <c r="C66" s="63">
        <v>2</v>
      </c>
      <c r="D66" s="63">
        <f>14+14</f>
        <v>28</v>
      </c>
      <c r="E66" s="54"/>
      <c r="F66" s="54"/>
      <c r="G66" s="54"/>
      <c r="H66" s="54"/>
      <c r="I66" s="52">
        <f t="shared" ref="I66:I81" si="2">IF(A66&lt;&gt;0,(B66-(B65-D65))/(A66-A65),"")</f>
        <v>5.6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50</v>
      </c>
      <c r="B67" s="63">
        <f>107+14</f>
        <v>121</v>
      </c>
      <c r="C67" s="63"/>
      <c r="D67" s="63"/>
      <c r="E67" s="54"/>
      <c r="F67" s="54"/>
      <c r="G67" s="54"/>
      <c r="H67" s="54"/>
      <c r="I67" s="52">
        <f t="shared" si="2"/>
        <v>5.6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55</v>
      </c>
      <c r="B68" s="63">
        <f>121+14+14</f>
        <v>149</v>
      </c>
      <c r="C68" s="63">
        <v>3</v>
      </c>
      <c r="D68" s="63">
        <f>14+14</f>
        <v>28</v>
      </c>
      <c r="E68" s="54"/>
      <c r="F68" s="54"/>
      <c r="G68" s="54"/>
      <c r="H68" s="54"/>
      <c r="I68" s="52">
        <f t="shared" si="2"/>
        <v>5.6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60</v>
      </c>
      <c r="B69" s="53">
        <f>134+14</f>
        <v>148</v>
      </c>
      <c r="C69" s="53"/>
      <c r="D69" s="53"/>
      <c r="E69" s="54"/>
      <c r="F69" s="54"/>
      <c r="G69" s="54"/>
      <c r="H69" s="54"/>
      <c r="I69" s="52">
        <f t="shared" si="2"/>
        <v>5.4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65</v>
      </c>
      <c r="B70" s="53">
        <f>147+14+14</f>
        <v>175</v>
      </c>
      <c r="C70" s="53">
        <v>4</v>
      </c>
      <c r="D70" s="53">
        <f>14+14</f>
        <v>28</v>
      </c>
      <c r="E70" s="54"/>
      <c r="F70" s="54"/>
      <c r="G70" s="54"/>
      <c r="H70" s="54"/>
      <c r="I70" s="52">
        <f t="shared" si="2"/>
        <v>5.4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70</v>
      </c>
      <c r="B71" s="53">
        <f>158+14</f>
        <v>172</v>
      </c>
      <c r="C71" s="53"/>
      <c r="D71" s="53"/>
      <c r="E71" s="54"/>
      <c r="F71" s="54"/>
      <c r="G71" s="54"/>
      <c r="H71" s="54"/>
      <c r="I71" s="52">
        <f t="shared" si="2"/>
        <v>5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75</v>
      </c>
      <c r="B72" s="53">
        <f>169+14+14</f>
        <v>197</v>
      </c>
      <c r="C72" s="53">
        <v>5</v>
      </c>
      <c r="D72" s="53">
        <f>14+14</f>
        <v>28</v>
      </c>
      <c r="E72" s="54"/>
      <c r="F72" s="54"/>
      <c r="G72" s="54"/>
      <c r="H72" s="54"/>
      <c r="I72" s="52">
        <f t="shared" si="2"/>
        <v>5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80</v>
      </c>
      <c r="B73" s="53">
        <f>178+14</f>
        <v>192</v>
      </c>
      <c r="C73" s="53"/>
      <c r="D73" s="53"/>
      <c r="E73" s="54"/>
      <c r="F73" s="54"/>
      <c r="G73" s="54"/>
      <c r="H73" s="54"/>
      <c r="I73" s="52">
        <f t="shared" si="2"/>
        <v>4.5999999999999996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85</v>
      </c>
      <c r="B74" s="53">
        <f>186+14+14</f>
        <v>214</v>
      </c>
      <c r="C74" s="53">
        <v>6</v>
      </c>
      <c r="D74" s="53">
        <f>14+14</f>
        <v>28</v>
      </c>
      <c r="E74" s="54"/>
      <c r="F74" s="54"/>
      <c r="G74" s="54"/>
      <c r="H74" s="54"/>
      <c r="I74" s="52">
        <f t="shared" si="2"/>
        <v>4.4000000000000004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90</v>
      </c>
      <c r="B75" s="53">
        <f>193+14</f>
        <v>207</v>
      </c>
      <c r="C75" s="53"/>
      <c r="D75" s="53"/>
      <c r="E75" s="54"/>
      <c r="F75" s="54"/>
      <c r="G75" s="54"/>
      <c r="H75" s="54"/>
      <c r="I75" s="52">
        <f t="shared" si="2"/>
        <v>4.2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100</v>
      </c>
      <c r="B76" s="53">
        <f>202+14+14+14</f>
        <v>244</v>
      </c>
      <c r="C76" s="53">
        <v>7</v>
      </c>
      <c r="D76" s="53">
        <f>14+14+14</f>
        <v>42</v>
      </c>
      <c r="E76" s="54"/>
      <c r="F76" s="54"/>
      <c r="G76" s="54"/>
      <c r="H76" s="54"/>
      <c r="I76" s="52">
        <f t="shared" si="2"/>
        <v>3.7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110</v>
      </c>
      <c r="B77" s="53">
        <f>206+14+13</f>
        <v>233</v>
      </c>
      <c r="C77" s="53"/>
      <c r="D77" s="53"/>
      <c r="E77" s="54"/>
      <c r="F77" s="54"/>
      <c r="G77" s="54"/>
      <c r="H77" s="54"/>
      <c r="I77" s="52">
        <f t="shared" si="2"/>
        <v>3.1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120</v>
      </c>
      <c r="B78" s="53">
        <f>209+14+13+13+12</f>
        <v>261</v>
      </c>
      <c r="C78" s="53">
        <v>8</v>
      </c>
      <c r="D78" s="53">
        <f>14+13+13+12</f>
        <v>52</v>
      </c>
      <c r="E78" s="54"/>
      <c r="F78" s="54"/>
      <c r="G78" s="54"/>
      <c r="H78" s="54"/>
      <c r="I78" s="52">
        <f t="shared" si="2"/>
        <v>2.8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130</v>
      </c>
      <c r="B79" s="53">
        <f>210+11+10</f>
        <v>231</v>
      </c>
      <c r="C79" s="53"/>
      <c r="D79" s="53"/>
      <c r="E79" s="54"/>
      <c r="F79" s="54"/>
      <c r="G79" s="54"/>
      <c r="H79" s="54"/>
      <c r="I79" s="52">
        <f t="shared" si="2"/>
        <v>2.2000000000000002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140</v>
      </c>
      <c r="B80" s="53">
        <f>210+11+10+9+8</f>
        <v>248</v>
      </c>
      <c r="C80" s="53"/>
      <c r="D80" s="53"/>
      <c r="E80" s="54"/>
      <c r="F80" s="54"/>
      <c r="G80" s="54"/>
      <c r="H80" s="54"/>
      <c r="I80" s="52">
        <f t="shared" si="2"/>
        <v>1.7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150</v>
      </c>
      <c r="B81" s="53">
        <f>211+11+10+9+8+7+6</f>
        <v>262</v>
      </c>
      <c r="C81" s="53">
        <v>9</v>
      </c>
      <c r="D81" s="53">
        <f>B81</f>
        <v>262</v>
      </c>
      <c r="E81" s="54"/>
      <c r="F81" s="54"/>
      <c r="G81" s="54"/>
      <c r="H81" s="54"/>
      <c r="I81" s="52">
        <f t="shared" si="2"/>
        <v>1.4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Cormier</v>
      </c>
      <c r="D84" s="257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3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0" t="s">
        <v>185</v>
      </c>
      <c r="C86" s="291" t="s">
        <v>186</v>
      </c>
      <c r="D86" s="291"/>
      <c r="E86" s="292" t="s">
        <v>187</v>
      </c>
      <c r="F86" s="293"/>
      <c r="G86" s="293"/>
      <c r="H86" s="294"/>
      <c r="I86" s="102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25</v>
      </c>
      <c r="B88" s="63">
        <v>30</v>
      </c>
      <c r="C88" s="63"/>
      <c r="D88" s="63"/>
      <c r="E88" s="54"/>
      <c r="F88" s="54"/>
      <c r="G88" s="54"/>
      <c r="H88" s="54"/>
      <c r="I88" s="56">
        <f>IFERROR(B88/A88,"")</f>
        <v>1.2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30</v>
      </c>
      <c r="B89" s="63">
        <v>54</v>
      </c>
      <c r="C89" s="63"/>
      <c r="D89" s="63"/>
      <c r="E89" s="54"/>
      <c r="F89" s="54"/>
      <c r="G89" s="54"/>
      <c r="H89" s="54"/>
      <c r="I89" s="56">
        <f t="shared" ref="I89:I107" si="3">IF(A89&lt;&gt;0,(B89-(B88-D88))/(A89-A88),"")</f>
        <v>4.8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35</v>
      </c>
      <c r="B90" s="63">
        <f>66+13</f>
        <v>79</v>
      </c>
      <c r="C90" s="63">
        <v>1</v>
      </c>
      <c r="D90" s="63">
        <v>13</v>
      </c>
      <c r="E90" s="54"/>
      <c r="F90" s="54"/>
      <c r="G90" s="54"/>
      <c r="H90" s="54"/>
      <c r="I90" s="56">
        <f t="shared" si="3"/>
        <v>5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40</v>
      </c>
      <c r="B91" s="63">
        <f>79+14</f>
        <v>93</v>
      </c>
      <c r="C91" s="63"/>
      <c r="D91" s="63"/>
      <c r="E91" s="54"/>
      <c r="F91" s="54"/>
      <c r="G91" s="54"/>
      <c r="H91" s="54"/>
      <c r="I91" s="56">
        <f t="shared" si="3"/>
        <v>5.4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45</v>
      </c>
      <c r="B92" s="63">
        <f>93+14+14</f>
        <v>121</v>
      </c>
      <c r="C92" s="63">
        <v>2</v>
      </c>
      <c r="D92" s="63">
        <f>14+14</f>
        <v>28</v>
      </c>
      <c r="E92" s="54"/>
      <c r="F92" s="54"/>
      <c r="G92" s="54"/>
      <c r="H92" s="54"/>
      <c r="I92" s="56">
        <f t="shared" si="3"/>
        <v>5.6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50</v>
      </c>
      <c r="B93" s="63">
        <f>107+14</f>
        <v>121</v>
      </c>
      <c r="C93" s="63"/>
      <c r="D93" s="63"/>
      <c r="E93" s="54"/>
      <c r="F93" s="54"/>
      <c r="G93" s="54"/>
      <c r="H93" s="54"/>
      <c r="I93" s="56">
        <f t="shared" si="3"/>
        <v>5.6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55</v>
      </c>
      <c r="B94" s="63">
        <f>121+14+14</f>
        <v>149</v>
      </c>
      <c r="C94" s="63">
        <v>3</v>
      </c>
      <c r="D94" s="63">
        <f>14+14</f>
        <v>28</v>
      </c>
      <c r="E94" s="54"/>
      <c r="F94" s="54"/>
      <c r="G94" s="54"/>
      <c r="H94" s="54"/>
      <c r="I94" s="56">
        <f t="shared" si="3"/>
        <v>5.6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53">
        <v>60</v>
      </c>
      <c r="B95" s="53">
        <v>148</v>
      </c>
      <c r="C95" s="53"/>
      <c r="D95" s="53"/>
      <c r="E95" s="54"/>
      <c r="F95" s="54"/>
      <c r="G95" s="54"/>
      <c r="H95" s="54"/>
      <c r="I95" s="56">
        <f t="shared" si="3"/>
        <v>5.4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53">
        <v>65</v>
      </c>
      <c r="B96" s="53">
        <v>175</v>
      </c>
      <c r="C96" s="53">
        <v>4</v>
      </c>
      <c r="D96" s="53">
        <v>28</v>
      </c>
      <c r="E96" s="54"/>
      <c r="F96" s="54"/>
      <c r="G96" s="54"/>
      <c r="H96" s="54"/>
      <c r="I96" s="56">
        <f t="shared" si="3"/>
        <v>5.4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53">
        <v>70</v>
      </c>
      <c r="B97" s="53">
        <v>172</v>
      </c>
      <c r="C97" s="53"/>
      <c r="D97" s="53"/>
      <c r="E97" s="54"/>
      <c r="F97" s="54"/>
      <c r="G97" s="54"/>
      <c r="H97" s="54"/>
      <c r="I97" s="56">
        <f t="shared" si="3"/>
        <v>5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53">
        <v>75</v>
      </c>
      <c r="B98" s="53">
        <v>197</v>
      </c>
      <c r="C98" s="53">
        <v>5</v>
      </c>
      <c r="D98" s="53">
        <v>28</v>
      </c>
      <c r="E98" s="54"/>
      <c r="F98" s="54"/>
      <c r="G98" s="54"/>
      <c r="H98" s="54"/>
      <c r="I98" s="56">
        <f t="shared" si="3"/>
        <v>5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53">
        <v>80</v>
      </c>
      <c r="B99" s="53">
        <v>192</v>
      </c>
      <c r="C99" s="53"/>
      <c r="D99" s="53"/>
      <c r="E99" s="54"/>
      <c r="F99" s="54"/>
      <c r="G99" s="54"/>
      <c r="H99" s="54"/>
      <c r="I99" s="56">
        <f t="shared" si="3"/>
        <v>4.5999999999999996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53">
        <v>85</v>
      </c>
      <c r="B100" s="53">
        <v>214</v>
      </c>
      <c r="C100" s="53">
        <v>6</v>
      </c>
      <c r="D100" s="53">
        <v>28</v>
      </c>
      <c r="E100" s="54"/>
      <c r="F100" s="54"/>
      <c r="G100" s="54"/>
      <c r="H100" s="54"/>
      <c r="I100" s="56">
        <f t="shared" si="3"/>
        <v>4.4000000000000004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53">
        <v>90</v>
      </c>
      <c r="B101" s="53">
        <v>207</v>
      </c>
      <c r="C101" s="53"/>
      <c r="D101" s="53"/>
      <c r="E101" s="54"/>
      <c r="F101" s="54"/>
      <c r="G101" s="54"/>
      <c r="H101" s="54"/>
      <c r="I101" s="56">
        <f t="shared" si="3"/>
        <v>4.2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53">
        <v>100</v>
      </c>
      <c r="B102" s="53">
        <v>244</v>
      </c>
      <c r="C102" s="53">
        <v>7</v>
      </c>
      <c r="D102" s="53">
        <v>42</v>
      </c>
      <c r="E102" s="54"/>
      <c r="F102" s="54"/>
      <c r="G102" s="54"/>
      <c r="H102" s="54"/>
      <c r="I102" s="56">
        <f t="shared" si="3"/>
        <v>3.7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53">
        <v>110</v>
      </c>
      <c r="B103" s="53">
        <v>233</v>
      </c>
      <c r="C103" s="53"/>
      <c r="D103" s="53"/>
      <c r="E103" s="54"/>
      <c r="F103" s="54"/>
      <c r="G103" s="54"/>
      <c r="H103" s="54"/>
      <c r="I103" s="56">
        <f t="shared" si="3"/>
        <v>3.1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53">
        <v>120</v>
      </c>
      <c r="B104" s="53">
        <v>261</v>
      </c>
      <c r="C104" s="53">
        <v>8</v>
      </c>
      <c r="D104" s="53">
        <v>52</v>
      </c>
      <c r="E104" s="54"/>
      <c r="F104" s="54"/>
      <c r="G104" s="54"/>
      <c r="H104" s="54"/>
      <c r="I104" s="56">
        <f t="shared" si="3"/>
        <v>2.8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130</v>
      </c>
      <c r="B105" s="53">
        <v>231</v>
      </c>
      <c r="C105" s="53"/>
      <c r="D105" s="53"/>
      <c r="E105" s="54"/>
      <c r="F105" s="54"/>
      <c r="G105" s="54"/>
      <c r="H105" s="54"/>
      <c r="I105" s="56">
        <f t="shared" si="3"/>
        <v>2.2000000000000002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140</v>
      </c>
      <c r="B106" s="53">
        <v>248</v>
      </c>
      <c r="C106" s="53"/>
      <c r="D106" s="53"/>
      <c r="E106" s="54"/>
      <c r="F106" s="54"/>
      <c r="G106" s="54"/>
      <c r="H106" s="54"/>
      <c r="I106" s="56">
        <f t="shared" si="3"/>
        <v>1.7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150</v>
      </c>
      <c r="B107" s="53">
        <v>262</v>
      </c>
      <c r="C107" s="53">
        <v>9</v>
      </c>
      <c r="D107" s="53">
        <v>262</v>
      </c>
      <c r="E107" s="54"/>
      <c r="F107" s="54"/>
      <c r="G107" s="54"/>
      <c r="H107" s="54"/>
      <c r="I107" s="56">
        <f t="shared" si="3"/>
        <v>1.4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Micocoulier de Provence</v>
      </c>
      <c r="D110" s="257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3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0" t="s">
        <v>185</v>
      </c>
      <c r="C112" s="291" t="s">
        <v>186</v>
      </c>
      <c r="D112" s="291"/>
      <c r="E112" s="292" t="s">
        <v>187</v>
      </c>
      <c r="F112" s="293"/>
      <c r="G112" s="293"/>
      <c r="H112" s="294"/>
      <c r="I112" s="102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20</v>
      </c>
      <c r="B114" s="63">
        <f>51/1.56</f>
        <v>32.692307692307693</v>
      </c>
      <c r="C114" s="53"/>
      <c r="D114" s="63"/>
      <c r="E114" s="54"/>
      <c r="F114" s="54"/>
      <c r="G114" s="54"/>
      <c r="H114" s="54"/>
      <c r="I114" s="56">
        <f>IFERROR(B114/A114,"")</f>
        <v>1.6346153846153846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25</v>
      </c>
      <c r="B115" s="63">
        <f>(80+11)/1.56</f>
        <v>58.333333333333329</v>
      </c>
      <c r="C115" s="53">
        <v>1</v>
      </c>
      <c r="D115" s="63">
        <f>(11+14)/1.56</f>
        <v>16.025641025641026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5.1282051282051269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30</v>
      </c>
      <c r="B116" s="63">
        <f>108/1.56</f>
        <v>69.230769230769226</v>
      </c>
      <c r="C116" s="53"/>
      <c r="D116" s="63"/>
      <c r="E116" s="54"/>
      <c r="F116" s="54"/>
      <c r="G116" s="54"/>
      <c r="H116" s="54"/>
      <c r="I116" s="56">
        <f t="shared" si="4"/>
        <v>5.3846153846153841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35</v>
      </c>
      <c r="B117" s="63">
        <f>(133+16)/1.56</f>
        <v>95.512820512820511</v>
      </c>
      <c r="C117" s="53">
        <v>2</v>
      </c>
      <c r="D117" s="63">
        <f>(16+17)/1.56</f>
        <v>21.153846153846153</v>
      </c>
      <c r="E117" s="54"/>
      <c r="F117" s="54"/>
      <c r="G117" s="54"/>
      <c r="H117" s="54"/>
      <c r="I117" s="56">
        <f t="shared" si="4"/>
        <v>5.2564102564102573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40</v>
      </c>
      <c r="B118" s="63">
        <f>156/1.56</f>
        <v>100</v>
      </c>
      <c r="C118" s="53"/>
      <c r="D118" s="63"/>
      <c r="E118" s="54"/>
      <c r="F118" s="54"/>
      <c r="G118" s="54"/>
      <c r="H118" s="54"/>
      <c r="I118" s="56">
        <f t="shared" si="4"/>
        <v>5.1282051282051269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45</v>
      </c>
      <c r="B119" s="63">
        <f>(177+17)/1.56</f>
        <v>124.35897435897435</v>
      </c>
      <c r="C119" s="53">
        <v>3</v>
      </c>
      <c r="D119" s="63">
        <f>(17+17)/1.56</f>
        <v>21.794871794871796</v>
      </c>
      <c r="E119" s="54"/>
      <c r="F119" s="54"/>
      <c r="G119" s="54"/>
      <c r="H119" s="54"/>
      <c r="I119" s="56">
        <f t="shared" si="4"/>
        <v>4.8717948717948705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53">
        <v>50</v>
      </c>
      <c r="B120" s="63">
        <f>195/1.56</f>
        <v>125</v>
      </c>
      <c r="C120" s="53"/>
      <c r="D120" s="63"/>
      <c r="E120" s="54"/>
      <c r="F120" s="54"/>
      <c r="G120" s="54"/>
      <c r="H120" s="54"/>
      <c r="I120" s="56">
        <f t="shared" si="4"/>
        <v>4.487179487179489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53">
        <v>55</v>
      </c>
      <c r="B121" s="63">
        <f>(212+17)/1.56</f>
        <v>146.7948717948718</v>
      </c>
      <c r="C121" s="53">
        <v>4</v>
      </c>
      <c r="D121" s="63">
        <f>(17+17)/1.56</f>
        <v>21.794871794871796</v>
      </c>
      <c r="E121" s="54"/>
      <c r="F121" s="54"/>
      <c r="G121" s="54"/>
      <c r="H121" s="54"/>
      <c r="I121" s="56">
        <f t="shared" si="4"/>
        <v>4.3589743589743595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53">
        <v>60</v>
      </c>
      <c r="B122" s="63">
        <f>226/1.56</f>
        <v>144.87179487179486</v>
      </c>
      <c r="C122" s="53"/>
      <c r="D122" s="63"/>
      <c r="E122" s="54"/>
      <c r="F122" s="54"/>
      <c r="G122" s="54"/>
      <c r="H122" s="54"/>
      <c r="I122" s="56">
        <f t="shared" si="4"/>
        <v>3.9743589743589722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53">
        <v>65</v>
      </c>
      <c r="B123" s="63">
        <f>(240+17)/1.56</f>
        <v>164.74358974358975</v>
      </c>
      <c r="C123" s="53">
        <v>5</v>
      </c>
      <c r="D123" s="63">
        <f>(17+16)/1.56</f>
        <v>21.153846153846153</v>
      </c>
      <c r="E123" s="54"/>
      <c r="F123" s="54"/>
      <c r="G123" s="54"/>
      <c r="H123" s="54"/>
      <c r="I123" s="56">
        <f t="shared" si="4"/>
        <v>3.974358974358978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53">
        <v>70</v>
      </c>
      <c r="B124" s="63">
        <f>251/1.56</f>
        <v>160.89743589743588</v>
      </c>
      <c r="C124" s="53"/>
      <c r="D124" s="63"/>
      <c r="E124" s="54"/>
      <c r="F124" s="54"/>
      <c r="G124" s="54"/>
      <c r="H124" s="54"/>
      <c r="I124" s="56">
        <f t="shared" si="4"/>
        <v>3.4615384615384586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53">
        <v>75</v>
      </c>
      <c r="B125" s="63">
        <f>(262+15)/1.56</f>
        <v>177.56410256410257</v>
      </c>
      <c r="C125" s="53">
        <v>6</v>
      </c>
      <c r="D125" s="63">
        <f>(15+15)/1.56</f>
        <v>19.23076923076923</v>
      </c>
      <c r="E125" s="54"/>
      <c r="F125" s="54"/>
      <c r="G125" s="54"/>
      <c r="H125" s="54"/>
      <c r="I125" s="56">
        <f t="shared" si="4"/>
        <v>3.333333333333337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53">
        <v>80</v>
      </c>
      <c r="B126" s="63">
        <f>272/1.56</f>
        <v>174.35897435897436</v>
      </c>
      <c r="C126" s="53"/>
      <c r="D126" s="63"/>
      <c r="E126" s="57"/>
      <c r="F126" s="57"/>
      <c r="G126" s="57"/>
      <c r="H126" s="57"/>
      <c r="I126" s="56">
        <f t="shared" si="4"/>
        <v>3.2051282051282044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53">
        <v>85</v>
      </c>
      <c r="B127" s="63">
        <f>(281+14)/1.56</f>
        <v>189.10256410256409</v>
      </c>
      <c r="C127" s="53">
        <v>7</v>
      </c>
      <c r="D127" s="63">
        <f>(14+14)/1.56</f>
        <v>17.948717948717949</v>
      </c>
      <c r="E127" s="57"/>
      <c r="F127" s="57"/>
      <c r="G127" s="57"/>
      <c r="H127" s="57"/>
      <c r="I127" s="56">
        <f t="shared" si="4"/>
        <v>2.9487179487179445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8">
        <v>90</v>
      </c>
      <c r="B128" s="59">
        <v>185.25641025641025</v>
      </c>
      <c r="C128" s="53"/>
      <c r="D128" s="53"/>
      <c r="E128" s="57"/>
      <c r="F128" s="57"/>
      <c r="G128" s="57"/>
      <c r="H128" s="57"/>
      <c r="I128" s="56">
        <f t="shared" si="4"/>
        <v>2.8205128205128234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8">
        <v>95</v>
      </c>
      <c r="B129" s="59">
        <v>198.7179487179487</v>
      </c>
      <c r="C129" s="53">
        <v>8</v>
      </c>
      <c r="D129" s="53">
        <v>16.666666666666668</v>
      </c>
      <c r="E129" s="57"/>
      <c r="F129" s="57"/>
      <c r="G129" s="57"/>
      <c r="H129" s="57"/>
      <c r="I129" s="56">
        <f t="shared" si="4"/>
        <v>2.6923076923076907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8">
        <v>100</v>
      </c>
      <c r="B130" s="59">
        <v>194.87179487179486</v>
      </c>
      <c r="C130" s="53"/>
      <c r="D130" s="53"/>
      <c r="E130" s="57"/>
      <c r="F130" s="57"/>
      <c r="G130" s="57"/>
      <c r="H130" s="57"/>
      <c r="I130" s="56">
        <f t="shared" si="4"/>
        <v>2.5641025641025634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8">
        <v>105</v>
      </c>
      <c r="B131" s="59">
        <v>206.41025641025641</v>
      </c>
      <c r="C131" s="53"/>
      <c r="D131" s="53"/>
      <c r="E131" s="57"/>
      <c r="F131" s="57"/>
      <c r="G131" s="57"/>
      <c r="H131" s="57"/>
      <c r="I131" s="56">
        <f t="shared" si="4"/>
        <v>2.3076923076923093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8">
        <v>110</v>
      </c>
      <c r="B132" s="59">
        <v>218.58974358974359</v>
      </c>
      <c r="C132" s="53">
        <v>9</v>
      </c>
      <c r="D132" s="61">
        <v>218.58974358974359</v>
      </c>
      <c r="E132" s="57"/>
      <c r="F132" s="57"/>
      <c r="G132" s="57"/>
      <c r="H132" s="57"/>
      <c r="I132" s="56">
        <f t="shared" si="4"/>
        <v>2.4358974358974366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8"/>
      <c r="B133" s="59"/>
      <c r="C133" s="53"/>
      <c r="D133" s="61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Tilleul</v>
      </c>
      <c r="D136" s="257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3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0" t="s">
        <v>185</v>
      </c>
      <c r="C138" s="291" t="s">
        <v>186</v>
      </c>
      <c r="D138" s="291"/>
      <c r="E138" s="292" t="s">
        <v>187</v>
      </c>
      <c r="F138" s="293"/>
      <c r="G138" s="293"/>
      <c r="H138" s="294"/>
      <c r="I138" s="102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20</v>
      </c>
      <c r="B140" s="63">
        <f>51/1.56</f>
        <v>32.692307692307693</v>
      </c>
      <c r="C140" s="53"/>
      <c r="D140" s="63"/>
      <c r="E140" s="54"/>
      <c r="F140" s="54"/>
      <c r="G140" s="54"/>
      <c r="H140" s="54"/>
      <c r="I140" s="60">
        <f>IFERROR(B140/A140,"")</f>
        <v>1.6346153846153846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25</v>
      </c>
      <c r="B141" s="63">
        <f>(80+11)/1.56</f>
        <v>58.333333333333329</v>
      </c>
      <c r="C141" s="53">
        <v>1</v>
      </c>
      <c r="D141" s="63">
        <f>(11+14)/1.56</f>
        <v>16.025641025641026</v>
      </c>
      <c r="E141" s="54"/>
      <c r="F141" s="54"/>
      <c r="G141" s="54"/>
      <c r="H141" s="54">
        <v>1</v>
      </c>
      <c r="I141" s="60">
        <f t="shared" ref="I141:I159" si="5">IF(A141&lt;&gt;0,(B141-(B140-D140))/(A141-A140),"")</f>
        <v>5.1282051282051269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30</v>
      </c>
      <c r="B142" s="63">
        <f>108/1.56</f>
        <v>69.230769230769226</v>
      </c>
      <c r="C142" s="53"/>
      <c r="D142" s="63"/>
      <c r="E142" s="54"/>
      <c r="F142" s="54"/>
      <c r="G142" s="54"/>
      <c r="H142" s="54"/>
      <c r="I142" s="60">
        <f t="shared" si="5"/>
        <v>5.3846153846153841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35</v>
      </c>
      <c r="B143" s="63">
        <f>(133+16)/1.56</f>
        <v>95.512820512820511</v>
      </c>
      <c r="C143" s="53">
        <v>2</v>
      </c>
      <c r="D143" s="63">
        <f>(16+17)/1.56</f>
        <v>21.153846153846153</v>
      </c>
      <c r="E143" s="54"/>
      <c r="F143" s="54"/>
      <c r="G143" s="54"/>
      <c r="H143" s="54"/>
      <c r="I143" s="60">
        <f t="shared" si="5"/>
        <v>5.2564102564102573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40</v>
      </c>
      <c r="B144" s="63">
        <f>156/1.56</f>
        <v>100</v>
      </c>
      <c r="C144" s="53"/>
      <c r="D144" s="63"/>
      <c r="E144" s="54"/>
      <c r="F144" s="54"/>
      <c r="G144" s="54"/>
      <c r="H144" s="54"/>
      <c r="I144" s="60">
        <f t="shared" si="5"/>
        <v>5.1282051282051269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45</v>
      </c>
      <c r="B145" s="63">
        <f>(177+17)/1.56</f>
        <v>124.35897435897435</v>
      </c>
      <c r="C145" s="53">
        <v>3</v>
      </c>
      <c r="D145" s="63">
        <f>(17+17)/1.56</f>
        <v>21.794871794871796</v>
      </c>
      <c r="E145" s="54"/>
      <c r="F145" s="54"/>
      <c r="G145" s="54"/>
      <c r="H145" s="54"/>
      <c r="I145" s="60">
        <f t="shared" si="5"/>
        <v>4.8717948717948705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50</v>
      </c>
      <c r="B146" s="63">
        <f>195/1.56</f>
        <v>125</v>
      </c>
      <c r="C146" s="53"/>
      <c r="D146" s="63"/>
      <c r="E146" s="54"/>
      <c r="F146" s="54"/>
      <c r="G146" s="54"/>
      <c r="H146" s="54"/>
      <c r="I146" s="60">
        <f t="shared" si="5"/>
        <v>4.487179487179489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55</v>
      </c>
      <c r="B147" s="63">
        <f>(212+17)/1.56</f>
        <v>146.7948717948718</v>
      </c>
      <c r="C147" s="53">
        <v>4</v>
      </c>
      <c r="D147" s="63">
        <f>(17+17)/1.56</f>
        <v>21.794871794871796</v>
      </c>
      <c r="E147" s="54"/>
      <c r="F147" s="54"/>
      <c r="G147" s="54"/>
      <c r="H147" s="54"/>
      <c r="I147" s="60">
        <f>IF(A147&lt;&gt;0,(B147-(B146-D146))/(A147-A146),"")</f>
        <v>4.3589743589743595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60</v>
      </c>
      <c r="B148" s="63">
        <f>226/1.56</f>
        <v>144.87179487179486</v>
      </c>
      <c r="C148" s="53"/>
      <c r="D148" s="63"/>
      <c r="E148" s="54"/>
      <c r="F148" s="54"/>
      <c r="G148" s="54"/>
      <c r="H148" s="54"/>
      <c r="I148" s="60">
        <f t="shared" si="5"/>
        <v>3.9743589743589722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>
        <v>65</v>
      </c>
      <c r="B149" s="63">
        <f>(240+17)/1.56</f>
        <v>164.74358974358975</v>
      </c>
      <c r="C149" s="53">
        <v>5</v>
      </c>
      <c r="D149" s="63">
        <f>(17+16)/1.56</f>
        <v>21.153846153846153</v>
      </c>
      <c r="E149" s="54"/>
      <c r="F149" s="54"/>
      <c r="G149" s="54"/>
      <c r="H149" s="54"/>
      <c r="I149" s="60">
        <f t="shared" si="5"/>
        <v>3.974358974358978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>
        <v>70</v>
      </c>
      <c r="B150" s="63">
        <f>251/1.56</f>
        <v>160.89743589743588</v>
      </c>
      <c r="C150" s="53"/>
      <c r="D150" s="63"/>
      <c r="E150" s="54"/>
      <c r="F150" s="54"/>
      <c r="G150" s="54"/>
      <c r="H150" s="54"/>
      <c r="I150" s="60">
        <f t="shared" si="5"/>
        <v>3.4615384615384586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>
        <v>75</v>
      </c>
      <c r="B151" s="63">
        <f>(262+15)/1.56</f>
        <v>177.56410256410257</v>
      </c>
      <c r="C151" s="53">
        <v>6</v>
      </c>
      <c r="D151" s="63">
        <f>(15+15)/1.56</f>
        <v>19.23076923076923</v>
      </c>
      <c r="E151" s="54"/>
      <c r="F151" s="54"/>
      <c r="G151" s="54"/>
      <c r="H151" s="54"/>
      <c r="I151" s="60">
        <f t="shared" si="5"/>
        <v>3.333333333333337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>
        <v>80</v>
      </c>
      <c r="B152" s="63">
        <f>272/1.56</f>
        <v>174.35897435897436</v>
      </c>
      <c r="C152" s="53"/>
      <c r="D152" s="63"/>
      <c r="E152" s="57"/>
      <c r="F152" s="57"/>
      <c r="G152" s="57"/>
      <c r="H152" s="57"/>
      <c r="I152" s="60">
        <f t="shared" si="5"/>
        <v>3.2051282051282044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>
        <v>85</v>
      </c>
      <c r="B153" s="63">
        <f>(281+14)/1.56</f>
        <v>189.10256410256409</v>
      </c>
      <c r="C153" s="53">
        <v>7</v>
      </c>
      <c r="D153" s="63">
        <f>(14+14)/1.56</f>
        <v>17.948717948717949</v>
      </c>
      <c r="E153" s="57"/>
      <c r="F153" s="57"/>
      <c r="G153" s="57"/>
      <c r="H153" s="57"/>
      <c r="I153" s="60">
        <f t="shared" si="5"/>
        <v>2.9487179487179445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>
        <v>90</v>
      </c>
      <c r="B154" s="59">
        <f>289/1.56</f>
        <v>185.25641025641025</v>
      </c>
      <c r="C154" s="53"/>
      <c r="D154" s="53"/>
      <c r="E154" s="57"/>
      <c r="F154" s="57"/>
      <c r="G154" s="57"/>
      <c r="H154" s="57"/>
      <c r="I154" s="60">
        <f t="shared" si="5"/>
        <v>2.8205128205128234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>
        <v>95</v>
      </c>
      <c r="B155" s="59">
        <f>(297+13)/1.56</f>
        <v>198.7179487179487</v>
      </c>
      <c r="C155" s="53">
        <v>8</v>
      </c>
      <c r="D155" s="53">
        <f>(13+13)/1.56</f>
        <v>16.666666666666668</v>
      </c>
      <c r="E155" s="57"/>
      <c r="F155" s="57"/>
      <c r="G155" s="57"/>
      <c r="H155" s="57"/>
      <c r="I155" s="60">
        <f t="shared" si="5"/>
        <v>2.6923076923076907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>
        <v>100</v>
      </c>
      <c r="B156" s="59">
        <f>304/1.56</f>
        <v>194.87179487179486</v>
      </c>
      <c r="C156" s="53"/>
      <c r="D156" s="53"/>
      <c r="E156" s="57"/>
      <c r="F156" s="57"/>
      <c r="G156" s="57"/>
      <c r="H156" s="57"/>
      <c r="I156" s="60">
        <f t="shared" si="5"/>
        <v>2.5641025641025634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>
        <v>105</v>
      </c>
      <c r="B157" s="59">
        <f>(310+12)/1.56</f>
        <v>206.41025641025641</v>
      </c>
      <c r="C157" s="53"/>
      <c r="D157" s="53"/>
      <c r="E157" s="57"/>
      <c r="F157" s="57"/>
      <c r="G157" s="57"/>
      <c r="H157" s="57"/>
      <c r="I157" s="60">
        <f t="shared" si="5"/>
        <v>2.3076923076923093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>
        <v>110</v>
      </c>
      <c r="B158" s="59">
        <f>(317+12+12)/1.56</f>
        <v>218.58974358974359</v>
      </c>
      <c r="C158" s="53">
        <v>9</v>
      </c>
      <c r="D158" s="61">
        <f>B158</f>
        <v>218.58974358974359</v>
      </c>
      <c r="E158" s="57"/>
      <c r="F158" s="57"/>
      <c r="G158" s="57"/>
      <c r="H158" s="57"/>
      <c r="I158" s="60">
        <f t="shared" si="5"/>
        <v>2.4358974358974366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Alisier torminal</v>
      </c>
      <c r="D162" s="257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3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0" t="s">
        <v>185</v>
      </c>
      <c r="C164" s="291" t="s">
        <v>186</v>
      </c>
      <c r="D164" s="291"/>
      <c r="E164" s="292" t="s">
        <v>187</v>
      </c>
      <c r="F164" s="293"/>
      <c r="G164" s="293"/>
      <c r="H164" s="294"/>
      <c r="I164" s="102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25</v>
      </c>
      <c r="B166" s="63">
        <v>30</v>
      </c>
      <c r="C166" s="63"/>
      <c r="D166" s="63"/>
      <c r="E166" s="54"/>
      <c r="F166" s="54"/>
      <c r="G166" s="54"/>
      <c r="H166" s="54"/>
      <c r="I166" s="52">
        <f>IFERROR(B166/A166,"")</f>
        <v>1.2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30</v>
      </c>
      <c r="B167" s="63">
        <v>54</v>
      </c>
      <c r="C167" s="63"/>
      <c r="D167" s="63"/>
      <c r="E167" s="54"/>
      <c r="F167" s="54"/>
      <c r="G167" s="54"/>
      <c r="H167" s="54"/>
      <c r="I167" s="52">
        <f t="shared" ref="I167:I185" si="6">IF(A167&lt;&gt;0,(B167-(B166-D166))/(A167-A166),"")</f>
        <v>4.8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35</v>
      </c>
      <c r="B168" s="63">
        <f>66+13</f>
        <v>79</v>
      </c>
      <c r="C168" s="63">
        <v>1</v>
      </c>
      <c r="D168" s="63">
        <v>13</v>
      </c>
      <c r="E168" s="54"/>
      <c r="F168" s="54"/>
      <c r="G168" s="54"/>
      <c r="H168" s="54"/>
      <c r="I168" s="52">
        <f t="shared" si="6"/>
        <v>5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40</v>
      </c>
      <c r="B169" s="63">
        <f>79+14</f>
        <v>93</v>
      </c>
      <c r="C169" s="63"/>
      <c r="D169" s="63"/>
      <c r="E169" s="54"/>
      <c r="F169" s="54"/>
      <c r="G169" s="54"/>
      <c r="H169" s="54"/>
      <c r="I169" s="52">
        <f t="shared" si="6"/>
        <v>5.4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45</v>
      </c>
      <c r="B170" s="63">
        <f>93+14+14</f>
        <v>121</v>
      </c>
      <c r="C170" s="63">
        <v>2</v>
      </c>
      <c r="D170" s="63">
        <f>14+14</f>
        <v>28</v>
      </c>
      <c r="E170" s="54"/>
      <c r="F170" s="54"/>
      <c r="G170" s="54"/>
      <c r="H170" s="54"/>
      <c r="I170" s="52">
        <f t="shared" si="6"/>
        <v>5.6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50</v>
      </c>
      <c r="B171" s="63">
        <f>107+14</f>
        <v>121</v>
      </c>
      <c r="C171" s="63"/>
      <c r="D171" s="63"/>
      <c r="E171" s="54"/>
      <c r="F171" s="54"/>
      <c r="G171" s="54"/>
      <c r="H171" s="54"/>
      <c r="I171" s="52">
        <f t="shared" si="6"/>
        <v>5.6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55</v>
      </c>
      <c r="B172" s="63">
        <f>121+14+14</f>
        <v>149</v>
      </c>
      <c r="C172" s="63">
        <v>3</v>
      </c>
      <c r="D172" s="63">
        <f>14+14</f>
        <v>28</v>
      </c>
      <c r="E172" s="54"/>
      <c r="F172" s="54"/>
      <c r="G172" s="54"/>
      <c r="H172" s="54"/>
      <c r="I172" s="52">
        <f t="shared" si="6"/>
        <v>5.6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>
        <v>60</v>
      </c>
      <c r="B173" s="53">
        <v>148</v>
      </c>
      <c r="C173" s="53"/>
      <c r="D173" s="53"/>
      <c r="E173" s="54"/>
      <c r="F173" s="54"/>
      <c r="G173" s="54"/>
      <c r="H173" s="54"/>
      <c r="I173" s="52">
        <f t="shared" si="6"/>
        <v>5.4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>
        <v>65</v>
      </c>
      <c r="B174" s="53">
        <v>175</v>
      </c>
      <c r="C174" s="53">
        <v>4</v>
      </c>
      <c r="D174" s="53">
        <v>28</v>
      </c>
      <c r="E174" s="54"/>
      <c r="F174" s="54"/>
      <c r="G174" s="54"/>
      <c r="H174" s="54"/>
      <c r="I174" s="52">
        <f t="shared" si="6"/>
        <v>5.4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>
        <v>70</v>
      </c>
      <c r="B175" s="53">
        <v>172</v>
      </c>
      <c r="C175" s="53"/>
      <c r="D175" s="53"/>
      <c r="E175" s="54"/>
      <c r="F175" s="54"/>
      <c r="G175" s="54"/>
      <c r="H175" s="54"/>
      <c r="I175" s="52">
        <f t="shared" si="6"/>
        <v>5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>
        <v>75</v>
      </c>
      <c r="B176" s="53">
        <v>197</v>
      </c>
      <c r="C176" s="53">
        <v>5</v>
      </c>
      <c r="D176" s="53">
        <v>28</v>
      </c>
      <c r="E176" s="54"/>
      <c r="F176" s="54"/>
      <c r="G176" s="54"/>
      <c r="H176" s="54"/>
      <c r="I176" s="52">
        <f t="shared" si="6"/>
        <v>5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>
        <v>80</v>
      </c>
      <c r="B177" s="53">
        <v>192</v>
      </c>
      <c r="C177" s="53"/>
      <c r="D177" s="53"/>
      <c r="E177" s="54"/>
      <c r="F177" s="54"/>
      <c r="G177" s="54"/>
      <c r="H177" s="54"/>
      <c r="I177" s="52">
        <f t="shared" si="6"/>
        <v>4.5999999999999996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>
        <v>85</v>
      </c>
      <c r="B178" s="53">
        <v>214</v>
      </c>
      <c r="C178" s="53">
        <v>6</v>
      </c>
      <c r="D178" s="53">
        <v>28</v>
      </c>
      <c r="E178" s="54"/>
      <c r="F178" s="54"/>
      <c r="G178" s="54"/>
      <c r="H178" s="54"/>
      <c r="I178" s="52">
        <f t="shared" si="6"/>
        <v>4.4000000000000004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>
        <v>90</v>
      </c>
      <c r="B179" s="53">
        <v>207</v>
      </c>
      <c r="C179" s="53"/>
      <c r="D179" s="53"/>
      <c r="E179" s="54"/>
      <c r="F179" s="54"/>
      <c r="G179" s="54"/>
      <c r="H179" s="54"/>
      <c r="I179" s="52">
        <f t="shared" si="6"/>
        <v>4.2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>
        <v>100</v>
      </c>
      <c r="B180" s="53">
        <v>244</v>
      </c>
      <c r="C180" s="53">
        <v>7</v>
      </c>
      <c r="D180" s="53">
        <v>42</v>
      </c>
      <c r="E180" s="54"/>
      <c r="F180" s="54"/>
      <c r="G180" s="54"/>
      <c r="H180" s="54"/>
      <c r="I180" s="52">
        <f t="shared" si="6"/>
        <v>3.7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>
        <v>110</v>
      </c>
      <c r="B181" s="53">
        <v>233</v>
      </c>
      <c r="C181" s="53"/>
      <c r="D181" s="53"/>
      <c r="E181" s="54"/>
      <c r="F181" s="54"/>
      <c r="G181" s="54"/>
      <c r="H181" s="54"/>
      <c r="I181" s="52">
        <f t="shared" si="6"/>
        <v>3.1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>
        <v>120</v>
      </c>
      <c r="B182" s="53">
        <v>261</v>
      </c>
      <c r="C182" s="53">
        <v>8</v>
      </c>
      <c r="D182" s="53">
        <v>52</v>
      </c>
      <c r="E182" s="54"/>
      <c r="F182" s="54"/>
      <c r="G182" s="54"/>
      <c r="H182" s="54"/>
      <c r="I182" s="52">
        <f t="shared" si="6"/>
        <v>2.8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>
        <v>130</v>
      </c>
      <c r="B183" s="53">
        <v>231</v>
      </c>
      <c r="C183" s="53"/>
      <c r="D183" s="53"/>
      <c r="E183" s="54"/>
      <c r="F183" s="54"/>
      <c r="G183" s="54"/>
      <c r="H183" s="54"/>
      <c r="I183" s="52">
        <f t="shared" si="6"/>
        <v>2.2000000000000002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>
        <v>140</v>
      </c>
      <c r="B184" s="53">
        <v>248</v>
      </c>
      <c r="C184" s="53"/>
      <c r="D184" s="53"/>
      <c r="E184" s="54"/>
      <c r="F184" s="54"/>
      <c r="G184" s="54"/>
      <c r="H184" s="54"/>
      <c r="I184" s="52">
        <f t="shared" si="6"/>
        <v>1.7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>
        <v>150</v>
      </c>
      <c r="B185" s="53">
        <v>262</v>
      </c>
      <c r="C185" s="53">
        <v>9</v>
      </c>
      <c r="D185" s="53">
        <v>262</v>
      </c>
      <c r="E185" s="54"/>
      <c r="F185" s="54"/>
      <c r="G185" s="54"/>
      <c r="H185" s="54"/>
      <c r="I185" s="52">
        <f t="shared" si="6"/>
        <v>1.4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>Erable champêtre</v>
      </c>
      <c r="D188" s="257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3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0" t="s">
        <v>185</v>
      </c>
      <c r="C190" s="291" t="s">
        <v>186</v>
      </c>
      <c r="D190" s="291"/>
      <c r="E190" s="292" t="s">
        <v>187</v>
      </c>
      <c r="F190" s="293"/>
      <c r="G190" s="293"/>
      <c r="H190" s="294"/>
      <c r="I190" s="102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>
        <v>20</v>
      </c>
      <c r="B192" s="63">
        <v>18</v>
      </c>
      <c r="C192" s="63"/>
      <c r="D192" s="63"/>
      <c r="E192" s="54"/>
      <c r="F192" s="54"/>
      <c r="G192" s="54"/>
      <c r="H192" s="54"/>
      <c r="I192" s="52">
        <f>IFERROR(B192/A192,"")</f>
        <v>0.9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>
        <v>25</v>
      </c>
      <c r="B193" s="63">
        <f>53+3</f>
        <v>56</v>
      </c>
      <c r="C193" s="63">
        <v>1</v>
      </c>
      <c r="D193" s="63">
        <f>14+3</f>
        <v>17</v>
      </c>
      <c r="E193" s="54"/>
      <c r="F193" s="54"/>
      <c r="G193" s="54"/>
      <c r="H193" s="54">
        <v>1</v>
      </c>
      <c r="I193" s="52">
        <f t="shared" ref="I193:I211" si="7">IF(A193&lt;&gt;0,(B193-(B192-D192))/(A193-A192),"")</f>
        <v>7.6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>
        <v>30</v>
      </c>
      <c r="B194" s="63">
        <v>76</v>
      </c>
      <c r="C194" s="63"/>
      <c r="D194" s="63"/>
      <c r="E194" s="54"/>
      <c r="F194" s="54"/>
      <c r="G194" s="54"/>
      <c r="H194" s="54"/>
      <c r="I194" s="52">
        <f t="shared" si="7"/>
        <v>7.4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>
        <v>35</v>
      </c>
      <c r="B195" s="63">
        <f>95+14</f>
        <v>109</v>
      </c>
      <c r="C195" s="63">
        <v>2</v>
      </c>
      <c r="D195" s="63">
        <f>14+14</f>
        <v>28</v>
      </c>
      <c r="E195" s="54"/>
      <c r="F195" s="54"/>
      <c r="G195" s="54"/>
      <c r="H195" s="54"/>
      <c r="I195" s="52">
        <f t="shared" si="7"/>
        <v>6.6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>
        <v>40</v>
      </c>
      <c r="B196" s="63">
        <v>109</v>
      </c>
      <c r="C196" s="63"/>
      <c r="D196" s="63"/>
      <c r="E196" s="54"/>
      <c r="F196" s="54"/>
      <c r="G196" s="54"/>
      <c r="H196" s="54"/>
      <c r="I196" s="52">
        <f t="shared" si="7"/>
        <v>5.6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>
        <v>45</v>
      </c>
      <c r="B197" s="63">
        <f>120+14</f>
        <v>134</v>
      </c>
      <c r="C197" s="63">
        <v>3</v>
      </c>
      <c r="D197" s="63">
        <f>14+14</f>
        <v>28</v>
      </c>
      <c r="E197" s="54"/>
      <c r="F197" s="54"/>
      <c r="G197" s="54"/>
      <c r="H197" s="54"/>
      <c r="I197" s="52">
        <f t="shared" si="7"/>
        <v>5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>
        <v>50</v>
      </c>
      <c r="B198" s="63">
        <v>127</v>
      </c>
      <c r="C198" s="63"/>
      <c r="D198" s="63"/>
      <c r="E198" s="54"/>
      <c r="F198" s="54"/>
      <c r="G198" s="54"/>
      <c r="H198" s="54"/>
      <c r="I198" s="52">
        <f t="shared" si="7"/>
        <v>4.2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>
        <v>55</v>
      </c>
      <c r="B199" s="53">
        <f>133+11</f>
        <v>144</v>
      </c>
      <c r="C199" s="53">
        <v>4</v>
      </c>
      <c r="D199" s="53">
        <f>11+9</f>
        <v>20</v>
      </c>
      <c r="E199" s="54"/>
      <c r="F199" s="54"/>
      <c r="G199" s="54"/>
      <c r="H199" s="54"/>
      <c r="I199" s="52">
        <f t="shared" si="7"/>
        <v>3.4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>
        <v>60</v>
      </c>
      <c r="B200" s="53">
        <v>140</v>
      </c>
      <c r="C200" s="53"/>
      <c r="D200" s="53"/>
      <c r="E200" s="54"/>
      <c r="F200" s="54"/>
      <c r="G200" s="54"/>
      <c r="H200" s="54"/>
      <c r="I200" s="52">
        <f t="shared" si="7"/>
        <v>3.2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>
        <v>65</v>
      </c>
      <c r="B201" s="53">
        <f>146+7</f>
        <v>153</v>
      </c>
      <c r="C201" s="53">
        <v>5</v>
      </c>
      <c r="D201" s="53">
        <f>7+6</f>
        <v>13</v>
      </c>
      <c r="E201" s="54"/>
      <c r="F201" s="54"/>
      <c r="G201" s="54"/>
      <c r="H201" s="54"/>
      <c r="I201" s="52">
        <f t="shared" si="7"/>
        <v>2.6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>
        <v>70</v>
      </c>
      <c r="B202" s="53">
        <v>151</v>
      </c>
      <c r="C202" s="53"/>
      <c r="D202" s="53"/>
      <c r="E202" s="54"/>
      <c r="F202" s="54"/>
      <c r="G202" s="54"/>
      <c r="H202" s="54"/>
      <c r="I202" s="52">
        <f t="shared" si="7"/>
        <v>2.2000000000000002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>
        <v>75</v>
      </c>
      <c r="B203" s="53">
        <f>155+5</f>
        <v>160</v>
      </c>
      <c r="C203" s="53"/>
      <c r="D203" s="53"/>
      <c r="E203" s="54"/>
      <c r="F203" s="54"/>
      <c r="G203" s="54"/>
      <c r="H203" s="54"/>
      <c r="I203" s="52">
        <f t="shared" si="7"/>
        <v>1.8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>
        <v>80</v>
      </c>
      <c r="B204" s="53">
        <f>160+5+4</f>
        <v>169</v>
      </c>
      <c r="C204" s="53">
        <v>6</v>
      </c>
      <c r="D204" s="53">
        <f>B204</f>
        <v>169</v>
      </c>
      <c r="E204" s="54"/>
      <c r="F204" s="54"/>
      <c r="G204" s="54"/>
      <c r="H204" s="54"/>
      <c r="I204" s="52">
        <f t="shared" si="7"/>
        <v>1.8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7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3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0" t="s">
        <v>185</v>
      </c>
      <c r="C216" s="291" t="s">
        <v>186</v>
      </c>
      <c r="D216" s="291"/>
      <c r="E216" s="292" t="s">
        <v>187</v>
      </c>
      <c r="F216" s="293"/>
      <c r="G216" s="293"/>
      <c r="H216" s="294"/>
      <c r="I216" s="102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2"/>
      <c r="B231" s="63"/>
      <c r="C231" s="92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7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3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0" t="s">
        <v>185</v>
      </c>
      <c r="C242" s="291" t="s">
        <v>186</v>
      </c>
      <c r="D242" s="291"/>
      <c r="E242" s="292" t="s">
        <v>187</v>
      </c>
      <c r="F242" s="293"/>
      <c r="G242" s="293"/>
      <c r="H242" s="294"/>
      <c r="I242" s="102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2"/>
      <c r="B257" s="63"/>
      <c r="C257" s="92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7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3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0" t="s">
        <v>185</v>
      </c>
      <c r="C268" s="291" t="s">
        <v>186</v>
      </c>
      <c r="D268" s="291"/>
      <c r="E268" s="292" t="s">
        <v>187</v>
      </c>
      <c r="F268" s="293"/>
      <c r="G268" s="293"/>
      <c r="H268" s="294"/>
      <c r="I268" s="102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2"/>
      <c r="B283" s="63"/>
      <c r="C283" s="92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topLeftCell="A5" zoomScale="115" zoomScaleNormal="115" workbookViewId="0">
      <selection activeCell="B17" sqref="B17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4"/>
      <c r="K1" s="10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6" t="s">
        <v>191</v>
      </c>
      <c r="C2" s="307"/>
      <c r="D2" s="307"/>
      <c r="E2" s="307"/>
      <c r="F2" s="307"/>
      <c r="G2" s="308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5"/>
      <c r="C4" s="305"/>
      <c r="D4" s="305"/>
      <c r="E4" s="305"/>
      <c r="F4" s="305"/>
      <c r="G4" s="305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5" t="s">
        <v>296</v>
      </c>
      <c r="C5" s="105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5"/>
      <c r="C6" s="235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6"/>
      <c r="B7" s="29" t="s">
        <v>295</v>
      </c>
      <c r="C7" s="107" t="s">
        <v>214</v>
      </c>
      <c r="D7" s="233"/>
      <c r="E7" s="108"/>
      <c r="F7" s="29" t="s">
        <v>295</v>
      </c>
      <c r="G7" s="107" t="s">
        <v>215</v>
      </c>
      <c r="H7" s="234"/>
      <c r="I7" s="234"/>
      <c r="J7" s="234"/>
      <c r="K7" s="234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</row>
    <row r="8" spans="1:38" ht="17.25" customHeight="1" x14ac:dyDescent="0.25">
      <c r="A8" s="112">
        <v>1</v>
      </c>
      <c r="B8" s="64">
        <v>1</v>
      </c>
      <c r="C8" s="52" t="s">
        <v>177</v>
      </c>
      <c r="D8" s="25"/>
      <c r="E8" s="112">
        <v>4</v>
      </c>
      <c r="F8" s="64">
        <v>0</v>
      </c>
      <c r="G8" s="109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2">
        <v>2</v>
      </c>
      <c r="B9" s="64">
        <v>0</v>
      </c>
      <c r="C9" s="115" t="s">
        <v>216</v>
      </c>
      <c r="D9" s="25"/>
      <c r="E9" s="112">
        <v>5</v>
      </c>
      <c r="F9" s="64">
        <v>0</v>
      </c>
      <c r="G9" s="110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2">
        <v>3</v>
      </c>
      <c r="B10" s="64">
        <v>0</v>
      </c>
      <c r="C10" s="116" t="s">
        <v>217</v>
      </c>
      <c r="D10" s="25"/>
      <c r="E10" s="5"/>
      <c r="F10" s="113">
        <f>SUM(F7:F9)</f>
        <v>0</v>
      </c>
      <c r="G10" s="111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3">
        <v>0</v>
      </c>
      <c r="C11" s="111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4"/>
      <c r="B13" s="114"/>
      <c r="C13" s="105" t="s">
        <v>273</v>
      </c>
      <c r="D13" s="234"/>
      <c r="E13" s="106"/>
      <c r="F13" s="114"/>
      <c r="G13" s="105" t="s">
        <v>301</v>
      </c>
      <c r="H13" s="234"/>
      <c r="I13" s="234"/>
      <c r="J13" s="234"/>
      <c r="K13" s="234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</row>
    <row r="14" spans="1:38" s="4" customFormat="1" ht="21" customHeight="1" x14ac:dyDescent="0.25">
      <c r="A14" s="234"/>
      <c r="B14" s="114"/>
      <c r="C14" s="105" t="s">
        <v>309</v>
      </c>
      <c r="D14" s="234"/>
      <c r="E14" s="106"/>
      <c r="F14" s="114"/>
      <c r="G14" s="105" t="s">
        <v>294</v>
      </c>
      <c r="H14" s="234"/>
      <c r="I14" s="234"/>
      <c r="J14" s="234"/>
      <c r="K14" s="234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1</v>
      </c>
      <c r="C16" s="117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7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7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3">
        <f>SUM(B16:B18)</f>
        <v>1</v>
      </c>
      <c r="C19" s="111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7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0" bestFit="1" customWidth="1"/>
    <col min="2" max="4" width="11.42578125" style="70"/>
    <col min="5" max="5" width="9.5703125" style="70" customWidth="1"/>
    <col min="6" max="7" width="11.42578125" style="70"/>
    <col min="8" max="8" width="10.7109375" style="70" customWidth="1"/>
    <col min="9" max="9" width="9.42578125" style="70" customWidth="1"/>
    <col min="10" max="11" width="10.5703125" style="70" bestFit="1" customWidth="1"/>
    <col min="12" max="12" width="14" style="70" bestFit="1" customWidth="1"/>
    <col min="13" max="13" width="14" style="70" customWidth="1"/>
    <col min="14" max="23" width="11.42578125" style="70"/>
    <col min="24" max="24" width="11.7109375" style="70" bestFit="1" customWidth="1"/>
    <col min="25" max="25" width="14.5703125" style="70" bestFit="1" customWidth="1"/>
    <col min="26" max="26" width="12.42578125" style="70" bestFit="1" customWidth="1"/>
    <col min="27" max="27" width="9.7109375" style="70" bestFit="1" customWidth="1"/>
    <col min="28" max="28" width="11" style="70" bestFit="1" customWidth="1"/>
    <col min="29" max="29" width="9.42578125" style="70" bestFit="1" customWidth="1"/>
    <col min="30" max="31" width="9.42578125" style="70" customWidth="1"/>
    <col min="32" max="32" width="11.42578125" style="70"/>
    <col min="33" max="34" width="14" style="70" bestFit="1" customWidth="1"/>
    <col min="35" max="35" width="10.5703125" style="70" bestFit="1" customWidth="1"/>
    <col min="36" max="36" width="9.42578125" style="70" bestFit="1" customWidth="1"/>
    <col min="37" max="38" width="10.5703125" style="70" bestFit="1" customWidth="1"/>
    <col min="39" max="41" width="10.5703125" style="70" customWidth="1"/>
    <col min="42" max="42" width="9" style="70" bestFit="1" customWidth="1"/>
    <col min="43" max="43" width="10.5703125" style="70" bestFit="1" customWidth="1"/>
    <col min="44" max="44" width="9.28515625" style="70" bestFit="1" customWidth="1"/>
    <col min="45" max="45" width="11.7109375" style="70" bestFit="1" customWidth="1"/>
    <col min="46" max="46" width="8.42578125" style="70" bestFit="1" customWidth="1"/>
    <col min="47" max="47" width="9.42578125" style="70" bestFit="1" customWidth="1"/>
    <col min="48" max="48" width="9.7109375" style="70" bestFit="1" customWidth="1"/>
    <col min="49" max="49" width="11" style="70" bestFit="1" customWidth="1"/>
    <col min="50" max="50" width="9.42578125" style="70" bestFit="1" customWidth="1"/>
    <col min="51" max="52" width="9.42578125" style="70" customWidth="1"/>
    <col min="53" max="53" width="10.5703125" style="70" bestFit="1" customWidth="1"/>
    <col min="54" max="54" width="14.28515625" style="70" customWidth="1"/>
    <col min="55" max="55" width="14" style="70" customWidth="1"/>
    <col min="56" max="56" width="10.5703125" style="70" bestFit="1" customWidth="1"/>
    <col min="57" max="57" width="9.42578125" style="70" bestFit="1" customWidth="1"/>
    <col min="58" max="59" width="10.5703125" style="70" bestFit="1" customWidth="1"/>
    <col min="60" max="62" width="10.5703125" style="70" customWidth="1"/>
    <col min="63" max="63" width="9" style="70" bestFit="1" customWidth="1"/>
    <col min="64" max="64" width="10.5703125" style="70" bestFit="1" customWidth="1"/>
    <col min="65" max="65" width="9.28515625" style="70" bestFit="1" customWidth="1"/>
    <col min="66" max="66" width="11.7109375" style="70" bestFit="1" customWidth="1"/>
    <col min="67" max="67" width="8.42578125" style="70" bestFit="1" customWidth="1"/>
    <col min="68" max="68" width="9.42578125" style="70" bestFit="1" customWidth="1"/>
    <col min="69" max="69" width="9.7109375" style="70" bestFit="1" customWidth="1"/>
    <col min="70" max="70" width="11" style="70" bestFit="1" customWidth="1"/>
    <col min="71" max="71" width="9.42578125" style="70" bestFit="1" customWidth="1"/>
    <col min="72" max="73" width="9.42578125" style="70" customWidth="1"/>
    <col min="74" max="74" width="10.5703125" style="70" bestFit="1" customWidth="1"/>
    <col min="75" max="75" width="14" style="70" bestFit="1" customWidth="1"/>
    <col min="76" max="76" width="13.85546875" style="70" customWidth="1"/>
    <col min="77" max="77" width="10.5703125" style="70" bestFit="1" customWidth="1"/>
    <col min="78" max="78" width="9.42578125" style="70" bestFit="1" customWidth="1"/>
    <col min="79" max="80" width="10.5703125" style="70" bestFit="1" customWidth="1"/>
    <col min="81" max="83" width="10.5703125" style="70" customWidth="1"/>
    <col min="84" max="84" width="11.42578125" style="70"/>
    <col min="85" max="85" width="10.5703125" style="70" bestFit="1" customWidth="1"/>
    <col min="86" max="86" width="9.28515625" style="70" bestFit="1" customWidth="1"/>
    <col min="87" max="87" width="11.7109375" style="70" bestFit="1" customWidth="1"/>
    <col min="88" max="88" width="8.42578125" style="70" bestFit="1" customWidth="1"/>
    <col min="89" max="89" width="9.42578125" style="70" bestFit="1" customWidth="1"/>
    <col min="90" max="90" width="9.7109375" style="70" bestFit="1" customWidth="1"/>
    <col min="91" max="91" width="11" style="70" bestFit="1" customWidth="1"/>
    <col min="92" max="92" width="9.42578125" style="70" bestFit="1" customWidth="1"/>
    <col min="93" max="94" width="9.42578125" style="70" customWidth="1"/>
    <col min="95" max="95" width="11.42578125" style="70"/>
    <col min="96" max="97" width="14" style="70" customWidth="1"/>
    <col min="98" max="98" width="10.5703125" style="70" bestFit="1" customWidth="1"/>
    <col min="99" max="99" width="9.42578125" style="70" bestFit="1" customWidth="1"/>
    <col min="100" max="101" width="10.5703125" style="70" bestFit="1" customWidth="1"/>
    <col min="102" max="104" width="10.5703125" style="70" customWidth="1"/>
    <col min="105" max="105" width="9" style="70" bestFit="1" customWidth="1"/>
    <col min="106" max="106" width="10.5703125" style="70" bestFit="1" customWidth="1"/>
    <col min="107" max="107" width="9.28515625" style="70" bestFit="1" customWidth="1"/>
    <col min="108" max="108" width="11.7109375" style="70" bestFit="1" customWidth="1"/>
    <col min="109" max="109" width="8.42578125" style="70" bestFit="1" customWidth="1"/>
    <col min="110" max="110" width="9.42578125" style="70" bestFit="1" customWidth="1"/>
    <col min="111" max="111" width="9.7109375" style="70" bestFit="1" customWidth="1"/>
    <col min="112" max="112" width="11" style="70" bestFit="1" customWidth="1"/>
    <col min="113" max="113" width="9.42578125" style="70" bestFit="1" customWidth="1"/>
    <col min="114" max="115" width="9.42578125" style="70" customWidth="1"/>
    <col min="116" max="116" width="10.5703125" style="70" bestFit="1" customWidth="1"/>
    <col min="117" max="117" width="14.28515625" style="70" customWidth="1"/>
    <col min="118" max="118" width="14" style="70" bestFit="1" customWidth="1"/>
    <col min="119" max="119" width="10.5703125" style="70" bestFit="1" customWidth="1"/>
    <col min="120" max="120" width="9.42578125" style="70" bestFit="1" customWidth="1"/>
    <col min="121" max="122" width="10.5703125" style="70" bestFit="1" customWidth="1"/>
    <col min="123" max="125" width="10.5703125" style="70" customWidth="1"/>
    <col min="126" max="126" width="9" style="70" bestFit="1" customWidth="1"/>
    <col min="127" max="127" width="10.5703125" style="70" bestFit="1" customWidth="1"/>
    <col min="128" max="128" width="9.28515625" style="70" bestFit="1" customWidth="1"/>
    <col min="129" max="129" width="11.7109375" style="70" bestFit="1" customWidth="1"/>
    <col min="130" max="130" width="8.42578125" style="70" bestFit="1" customWidth="1"/>
    <col min="131" max="131" width="9.42578125" style="70" bestFit="1" customWidth="1"/>
    <col min="132" max="132" width="9.7109375" style="70" bestFit="1" customWidth="1"/>
    <col min="133" max="133" width="11" style="70" bestFit="1" customWidth="1"/>
    <col min="134" max="134" width="9.42578125" style="70" bestFit="1" customWidth="1"/>
    <col min="135" max="136" width="9.42578125" style="70" customWidth="1"/>
    <col min="137" max="137" width="10.5703125" style="70" bestFit="1" customWidth="1"/>
    <col min="138" max="139" width="14" style="70" customWidth="1"/>
    <col min="140" max="140" width="10.5703125" style="70" bestFit="1" customWidth="1"/>
    <col min="141" max="141" width="9.42578125" style="70" bestFit="1" customWidth="1"/>
    <col min="142" max="143" width="10.5703125" style="70" bestFit="1" customWidth="1"/>
    <col min="144" max="146" width="10.5703125" style="70" customWidth="1"/>
    <col min="147" max="147" width="9" style="70" bestFit="1" customWidth="1"/>
    <col min="148" max="148" width="10.5703125" style="70" bestFit="1" customWidth="1"/>
    <col min="149" max="149" width="9.28515625" style="70" bestFit="1" customWidth="1"/>
    <col min="150" max="150" width="11.7109375" style="70" bestFit="1" customWidth="1"/>
    <col min="151" max="151" width="8.42578125" style="70" bestFit="1" customWidth="1"/>
    <col min="152" max="152" width="9.42578125" style="70" bestFit="1" customWidth="1"/>
    <col min="153" max="153" width="9.7109375" style="70" bestFit="1" customWidth="1"/>
    <col min="154" max="154" width="11" style="70" bestFit="1" customWidth="1"/>
    <col min="155" max="155" width="9.42578125" style="70" bestFit="1" customWidth="1"/>
    <col min="156" max="157" width="9.42578125" style="70" customWidth="1"/>
    <col min="158" max="158" width="11.42578125" style="70"/>
    <col min="159" max="160" width="14" style="70" bestFit="1" customWidth="1"/>
    <col min="161" max="161" width="10.5703125" style="70" bestFit="1" customWidth="1"/>
    <col min="162" max="162" width="9.42578125" style="70" bestFit="1" customWidth="1"/>
    <col min="163" max="164" width="10.5703125" style="70" bestFit="1" customWidth="1"/>
    <col min="165" max="167" width="10.5703125" style="70" customWidth="1"/>
    <col min="168" max="168" width="9" style="70" bestFit="1" customWidth="1"/>
    <col min="169" max="169" width="10.5703125" style="70" bestFit="1" customWidth="1"/>
    <col min="170" max="170" width="9.28515625" style="70" bestFit="1" customWidth="1"/>
    <col min="171" max="171" width="11.7109375" style="70" bestFit="1" customWidth="1"/>
    <col min="172" max="172" width="8.140625" style="70" bestFit="1" customWidth="1"/>
    <col min="173" max="173" width="9.42578125" style="70" bestFit="1" customWidth="1"/>
    <col min="174" max="174" width="9.7109375" style="70" bestFit="1" customWidth="1"/>
    <col min="175" max="175" width="11" style="70" bestFit="1" customWidth="1"/>
    <col min="176" max="176" width="9.42578125" style="70" bestFit="1" customWidth="1"/>
    <col min="177" max="178" width="9.42578125" style="70" customWidth="1"/>
    <col min="179" max="179" width="10.5703125" style="70" bestFit="1" customWidth="1"/>
    <col min="180" max="181" width="14" style="70" bestFit="1" customWidth="1"/>
    <col min="182" max="182" width="10.5703125" style="70" bestFit="1" customWidth="1"/>
    <col min="183" max="183" width="9.42578125" style="70" bestFit="1" customWidth="1"/>
    <col min="184" max="185" width="10.5703125" style="70" bestFit="1" customWidth="1"/>
    <col min="186" max="188" width="10.5703125" style="70" customWidth="1"/>
    <col min="189" max="189" width="9" style="70" bestFit="1" customWidth="1"/>
    <col min="190" max="190" width="10.5703125" style="70" bestFit="1" customWidth="1"/>
    <col min="191" max="191" width="9.28515625" style="70" bestFit="1" customWidth="1"/>
    <col min="192" max="192" width="11.42578125" style="70"/>
    <col min="193" max="193" width="8.42578125" style="70" bestFit="1" customWidth="1"/>
    <col min="194" max="194" width="9.42578125" style="70" bestFit="1" customWidth="1"/>
    <col min="195" max="195" width="9.7109375" style="70" bestFit="1" customWidth="1"/>
    <col min="196" max="196" width="11" style="70" bestFit="1" customWidth="1"/>
    <col min="197" max="197" width="9.42578125" style="70" bestFit="1" customWidth="1"/>
    <col min="198" max="199" width="9.42578125" style="70" customWidth="1"/>
    <col min="200" max="200" width="10.5703125" style="70" bestFit="1" customWidth="1"/>
    <col min="201" max="201" width="14" style="70" customWidth="1"/>
    <col min="202" max="202" width="14.28515625" style="70" customWidth="1"/>
    <col min="203" max="203" width="10.5703125" style="70" bestFit="1" customWidth="1"/>
    <col min="204" max="204" width="9.42578125" style="70" bestFit="1" customWidth="1"/>
    <col min="205" max="206" width="10.5703125" style="70" bestFit="1" customWidth="1"/>
    <col min="207" max="209" width="10.5703125" style="70" customWidth="1"/>
    <col min="210" max="210" width="9" style="70" bestFit="1" customWidth="1"/>
    <col min="211" max="211" width="10.5703125" style="70" bestFit="1" customWidth="1"/>
    <col min="212" max="212" width="9.28515625" style="70" bestFit="1" customWidth="1"/>
    <col min="213" max="213" width="11.7109375" style="70" bestFit="1" customWidth="1"/>
    <col min="214" max="214" width="8.42578125" style="70" bestFit="1" customWidth="1"/>
    <col min="215" max="215" width="9.42578125" style="70" bestFit="1" customWidth="1"/>
    <col min="216" max="216" width="9.7109375" style="70" bestFit="1" customWidth="1"/>
    <col min="217" max="217" width="11" style="70" bestFit="1" customWidth="1"/>
    <col min="218" max="218" width="9.42578125" style="70" bestFit="1" customWidth="1"/>
    <col min="219" max="16384" width="11.42578125" style="70"/>
  </cols>
  <sheetData>
    <row r="1" spans="1:218" s="5" customFormat="1" ht="27" thickBot="1" x14ac:dyDescent="0.45">
      <c r="B1" s="312" t="s">
        <v>176</v>
      </c>
      <c r="C1" s="313"/>
      <c r="D1" s="313"/>
      <c r="E1" s="313"/>
      <c r="F1" s="313"/>
      <c r="G1" s="313"/>
      <c r="H1" s="314"/>
      <c r="I1" s="309" t="str">
        <f>IF('Données projet'!$B$9="","",'Données projet'!$B$9)</f>
        <v>Pin d'Alep</v>
      </c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0"/>
      <c r="U1" s="310"/>
      <c r="V1" s="310"/>
      <c r="W1" s="310"/>
      <c r="X1" s="310"/>
      <c r="Y1" s="310"/>
      <c r="Z1" s="310"/>
      <c r="AA1" s="310"/>
      <c r="AB1" s="310"/>
      <c r="AC1" s="311"/>
      <c r="AD1" s="310" t="str">
        <f>IF('Données projet'!$B$10="","",'Données projet'!$B$10)</f>
        <v>Chêne pubescent</v>
      </c>
      <c r="AE1" s="310"/>
      <c r="AF1" s="310"/>
      <c r="AG1" s="310"/>
      <c r="AH1" s="310"/>
      <c r="AI1" s="310"/>
      <c r="AJ1" s="310"/>
      <c r="AK1" s="310"/>
      <c r="AL1" s="310"/>
      <c r="AM1" s="310"/>
      <c r="AN1" s="310"/>
      <c r="AO1" s="310"/>
      <c r="AP1" s="310"/>
      <c r="AQ1" s="310"/>
      <c r="AR1" s="310"/>
      <c r="AS1" s="310"/>
      <c r="AT1" s="310"/>
      <c r="AU1" s="310"/>
      <c r="AV1" s="310"/>
      <c r="AW1" s="310"/>
      <c r="AX1" s="311"/>
      <c r="AY1" s="309" t="str">
        <f>IF('Données projet'!$B$11="","",'Données projet'!$B$11)</f>
        <v>Cormier</v>
      </c>
      <c r="AZ1" s="310"/>
      <c r="BA1" s="310"/>
      <c r="BB1" s="310"/>
      <c r="BC1" s="310"/>
      <c r="BD1" s="310"/>
      <c r="BE1" s="310"/>
      <c r="BF1" s="310"/>
      <c r="BG1" s="310"/>
      <c r="BH1" s="310"/>
      <c r="BI1" s="310"/>
      <c r="BJ1" s="310"/>
      <c r="BK1" s="310"/>
      <c r="BL1" s="310"/>
      <c r="BM1" s="310"/>
      <c r="BN1" s="310"/>
      <c r="BO1" s="310"/>
      <c r="BP1" s="310"/>
      <c r="BQ1" s="310"/>
      <c r="BR1" s="310"/>
      <c r="BS1" s="311"/>
      <c r="BT1" s="309" t="str">
        <f>IF('Données projet'!$B$12="","",'Données projet'!$B$12)</f>
        <v>Micocoulier de Provence</v>
      </c>
      <c r="BU1" s="310"/>
      <c r="BV1" s="310"/>
      <c r="BW1" s="310"/>
      <c r="BX1" s="310"/>
      <c r="BY1" s="310"/>
      <c r="BZ1" s="310"/>
      <c r="CA1" s="310"/>
      <c r="CB1" s="310"/>
      <c r="CC1" s="310"/>
      <c r="CD1" s="310"/>
      <c r="CE1" s="310"/>
      <c r="CF1" s="310"/>
      <c r="CG1" s="310"/>
      <c r="CH1" s="310"/>
      <c r="CI1" s="310"/>
      <c r="CJ1" s="310"/>
      <c r="CK1" s="310"/>
      <c r="CL1" s="310"/>
      <c r="CM1" s="310"/>
      <c r="CN1" s="311"/>
      <c r="CO1" s="309" t="str">
        <f>IF('Données projet'!$B$13="","",'Données projet'!$B$13)</f>
        <v>Tilleul</v>
      </c>
      <c r="CP1" s="310"/>
      <c r="CQ1" s="310"/>
      <c r="CR1" s="310"/>
      <c r="CS1" s="310"/>
      <c r="CT1" s="310"/>
      <c r="CU1" s="310"/>
      <c r="CV1" s="310"/>
      <c r="CW1" s="310"/>
      <c r="CX1" s="310"/>
      <c r="CY1" s="310"/>
      <c r="CZ1" s="310"/>
      <c r="DA1" s="310"/>
      <c r="DB1" s="310"/>
      <c r="DC1" s="310"/>
      <c r="DD1" s="310"/>
      <c r="DE1" s="310"/>
      <c r="DF1" s="310"/>
      <c r="DG1" s="310"/>
      <c r="DH1" s="310"/>
      <c r="DI1" s="311"/>
      <c r="DJ1" s="309" t="str">
        <f>IF('Données projet'!$B$14="","",'Données projet'!$B$14)</f>
        <v>Alisier torminal</v>
      </c>
      <c r="DK1" s="310"/>
      <c r="DL1" s="310"/>
      <c r="DM1" s="310"/>
      <c r="DN1" s="310"/>
      <c r="DO1" s="310"/>
      <c r="DP1" s="310"/>
      <c r="DQ1" s="310"/>
      <c r="DR1" s="310"/>
      <c r="DS1" s="310"/>
      <c r="DT1" s="310"/>
      <c r="DU1" s="310"/>
      <c r="DV1" s="310"/>
      <c r="DW1" s="310"/>
      <c r="DX1" s="310"/>
      <c r="DY1" s="310"/>
      <c r="DZ1" s="310"/>
      <c r="EA1" s="310"/>
      <c r="EB1" s="310"/>
      <c r="EC1" s="310"/>
      <c r="ED1" s="311"/>
      <c r="EE1" s="309" t="str">
        <f>IF('Données projet'!$B$15="","",'Données projet'!$B$15)</f>
        <v>Erable champêtre</v>
      </c>
      <c r="EF1" s="310"/>
      <c r="EG1" s="310"/>
      <c r="EH1" s="310"/>
      <c r="EI1" s="310"/>
      <c r="EJ1" s="310"/>
      <c r="EK1" s="310"/>
      <c r="EL1" s="310"/>
      <c r="EM1" s="310"/>
      <c r="EN1" s="310"/>
      <c r="EO1" s="310"/>
      <c r="EP1" s="310"/>
      <c r="EQ1" s="310"/>
      <c r="ER1" s="310"/>
      <c r="ES1" s="310"/>
      <c r="ET1" s="310"/>
      <c r="EU1" s="310"/>
      <c r="EV1" s="310"/>
      <c r="EW1" s="310"/>
      <c r="EX1" s="310"/>
      <c r="EY1" s="311"/>
      <c r="EZ1" s="309" t="str">
        <f>IF('Données projet'!$B$16="","",'Données projet'!$B$16)</f>
        <v/>
      </c>
      <c r="FA1" s="310"/>
      <c r="FB1" s="310"/>
      <c r="FC1" s="310"/>
      <c r="FD1" s="310"/>
      <c r="FE1" s="310"/>
      <c r="FF1" s="310"/>
      <c r="FG1" s="310"/>
      <c r="FH1" s="310"/>
      <c r="FI1" s="310"/>
      <c r="FJ1" s="310"/>
      <c r="FK1" s="310"/>
      <c r="FL1" s="310"/>
      <c r="FM1" s="310"/>
      <c r="FN1" s="310"/>
      <c r="FO1" s="310"/>
      <c r="FP1" s="310"/>
      <c r="FQ1" s="310"/>
      <c r="FR1" s="310"/>
      <c r="FS1" s="310"/>
      <c r="FT1" s="311"/>
      <c r="FU1" s="309" t="str">
        <f>IF('Données projet'!$B$17="","",'Données projet'!$B$17)</f>
        <v/>
      </c>
      <c r="FV1" s="310"/>
      <c r="FW1" s="310"/>
      <c r="FX1" s="310"/>
      <c r="FY1" s="310"/>
      <c r="FZ1" s="310"/>
      <c r="GA1" s="310"/>
      <c r="GB1" s="310"/>
      <c r="GC1" s="310"/>
      <c r="GD1" s="310"/>
      <c r="GE1" s="310"/>
      <c r="GF1" s="310"/>
      <c r="GG1" s="310"/>
      <c r="GH1" s="310"/>
      <c r="GI1" s="310"/>
      <c r="GJ1" s="310"/>
      <c r="GK1" s="310"/>
      <c r="GL1" s="310"/>
      <c r="GM1" s="310"/>
      <c r="GN1" s="310"/>
      <c r="GO1" s="311"/>
      <c r="GP1" s="309" t="str">
        <f>IF('Données projet'!$B$18="","",'Données projet'!$B$18)</f>
        <v/>
      </c>
      <c r="GQ1" s="310"/>
      <c r="GR1" s="310"/>
      <c r="GS1" s="310"/>
      <c r="GT1" s="310"/>
      <c r="GU1" s="310"/>
      <c r="GV1" s="310"/>
      <c r="GW1" s="310"/>
      <c r="GX1" s="310"/>
      <c r="GY1" s="310"/>
      <c r="GZ1" s="310"/>
      <c r="HA1" s="310"/>
      <c r="HB1" s="310"/>
      <c r="HC1" s="310"/>
      <c r="HD1" s="310"/>
      <c r="HE1" s="310"/>
      <c r="HF1" s="310"/>
      <c r="HG1" s="310"/>
      <c r="HH1" s="310"/>
      <c r="HI1" s="310"/>
      <c r="HJ1" s="311"/>
    </row>
    <row r="2" spans="1:218" s="5" customFormat="1" ht="75.75" thickBot="1" x14ac:dyDescent="0.3">
      <c r="A2" s="74" t="s">
        <v>178</v>
      </c>
      <c r="B2" s="75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8" t="s">
        <v>299</v>
      </c>
      <c r="I2" s="71" t="s">
        <v>298</v>
      </c>
      <c r="J2" s="72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2" t="s">
        <v>298</v>
      </c>
      <c r="AE2" s="72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1" t="s">
        <v>298</v>
      </c>
      <c r="AZ2" s="72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1" t="s">
        <v>298</v>
      </c>
      <c r="BU2" s="72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1" t="s">
        <v>298</v>
      </c>
      <c r="CP2" s="72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1" t="s">
        <v>298</v>
      </c>
      <c r="DK2" s="72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1" t="s">
        <v>298</v>
      </c>
      <c r="EF2" s="72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1" t="s">
        <v>298</v>
      </c>
      <c r="FA2" s="72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1" t="s">
        <v>298</v>
      </c>
      <c r="FV2" s="72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1" t="s">
        <v>298</v>
      </c>
      <c r="GQ2" s="72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6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9">
        <f>(B3+E3+F3)*44/12+(C3+D3)*0.475*44/12</f>
        <v>183.33333333333334</v>
      </c>
      <c r="I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196.48726929442091</v>
      </c>
      <c r="T3" s="62">
        <f>IF('Données projet'!E9&gt;30,$R$33-$H$33,LOOKUP('Données projet'!$E$9,$A$3:$A$203,R3:R203)-LOOKUP('Données projet'!$E$9,$A$3:$A$203,$H$3:$H$203))</f>
        <v>193.28400454669347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414.29294334114661</v>
      </c>
      <c r="AO3" s="62">
        <f>IF('Données projet'!E10&gt;30,$AM$33-$H$33,LOOKUP('Données projet'!$E$10,$A$3:$A$203,AM3:AM203)-LOOKUP('Données projet'!$E$10,$A$3:$A$203,$H$3:$H$203))</f>
        <v>178.72086185623849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165</v>
      </c>
      <c r="BI3" s="62">
        <f ca="1">AVERAGE(OFFSET($BH$3,0,0,'Données projet'!$E$11+1,1))-AVERAGE(OFFSET($H$3,0,0,'Données projet'!$E$11+1,1))</f>
        <v>434.74983403680108</v>
      </c>
      <c r="BJ3" s="62">
        <f>IF('Données projet'!E11&gt;30,$BH$33-$H$33,LOOKUP('Données projet'!$E$11,$A$3:$A$203,BH3:BH203)-LOOKUP('Données projet'!$E$11,$A$3:$A$203,$H$3:$H$203))</f>
        <v>186.0840067781198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165</v>
      </c>
      <c r="CD3" s="62">
        <f ca="1">AVERAGE(OFFSET($CC$3,0,0,'Données projet'!$E$12+1,1))-AVERAGE(OFFSET($H$3,0,0,'Données projet'!$E$12+1,1))</f>
        <v>288.24759203983547</v>
      </c>
      <c r="CE3" s="62">
        <f>IF('Données projet'!E12&gt;30,$CC$33-$H$33,LOOKUP('Données projet'!$E$12,$A$3:$A$203,CC3:CC203)-LOOKUP('Données projet'!$E$12,$A$3:$A$203,$H$3:$H$203))</f>
        <v>188.86613033148794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165</v>
      </c>
      <c r="CY3" s="62">
        <f ca="1">AVERAGE(OFFSET($CX$3,0,0,'Données projet'!$E$13+1,1))-AVERAGE(OFFSET($H$3,0,0,'Données projet'!$E$13+1,1))</f>
        <v>240.40157928925146</v>
      </c>
      <c r="CZ3" s="62">
        <f>IF('Données projet'!E13&gt;30,$CX$33-$H$33,LOOKUP('Données projet'!$E$13,$A$3:$A$203,CX3:CX203)-LOOKUP('Données projet'!$E$13,$A$3:$A$203,$H$3:$H$203))</f>
        <v>160.5013084380258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165</v>
      </c>
      <c r="DT3" s="62">
        <f ca="1">AVERAGE(OFFSET($DS$3,0,0,'Données projet'!$E$14+1,1))-AVERAGE(OFFSET($H$3,0,0,'Données projet'!$E$14+1,1))</f>
        <v>398.93296311353788</v>
      </c>
      <c r="DU3" s="62">
        <f>IF('Données projet'!E14&gt;30,$DS$33-$H$33,LOOKUP('Données projet'!$E$14,$A$3:$A$203,DS3:DS203)-LOOKUP('Données projet'!$E$14,$A$3:$A$203,$H$3:$H$203))</f>
        <v>173.19148969173838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165</v>
      </c>
      <c r="EO3" s="62">
        <f ca="1">AVERAGE(OFFSET($EN$3,0,0,'Données projet'!$E$15+1,1))-AVERAGE(OFFSET($H$3,0,0,'Données projet'!$E$15+1,1))</f>
        <v>226.37420733783091</v>
      </c>
      <c r="EP3" s="62">
        <f>IF('Données projet'!E15&gt;30,$EN$33-$H$33,LOOKUP('Données projet'!$E$15,$A$3:$A$203,EN3:EN203)-LOOKUP('Données projet'!$E$15,$A$3:$A$203,$H$3:$H$203))</f>
        <v>204.10961748628714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6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9">
        <f t="shared" ref="H4:H67" si="1">(B4+E4+F4)*44/12+(C4+D4)*0.475*44/12</f>
        <v>183.33333333333334</v>
      </c>
      <c r="I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3.5</v>
      </c>
      <c r="N4" s="14">
        <f>IF('Données projet'!$A$36&gt;35,N3+M4-V3,IF(A4&lt;'Données projet'!$A$36,$K$205^A4,IF(A4='Données projet'!$A$36,'Données projet'!$B$36,N3+M4-V3)))</f>
        <v>1.1678121157596812</v>
      </c>
      <c r="O4" s="14">
        <f>N4*VLOOKUP('Données projet'!$B$9,Paramètres!$A$1:$I$89,3,0)*VLOOKUP('Données projet'!$B$9,Paramètres!$A$1:$I$89,5,0)</f>
        <v>0.68317008771941357</v>
      </c>
      <c r="P4" s="14">
        <f>EXP(-1.0587+0.8836*LN(O4)+0.284)</f>
        <v>0.32911050907179024</v>
      </c>
      <c r="Q4" s="22">
        <f t="shared" ref="Q4:Q34" si="2">(O4+P4)*0.475*44/12</f>
        <v>1.76305537274468</v>
      </c>
      <c r="R4" s="62">
        <f t="shared" si="0"/>
        <v>169.57548932566851</v>
      </c>
      <c r="S4" s="62">
        <f ca="1">AVERAGE(OFFSET($R$3,0,0,'Données projet'!$E$9+1,1))-AVERAGE(OFFSET($H$3,0,0,'Données projet'!$E$9+1,1))</f>
        <v>196.48726929442091</v>
      </c>
      <c r="T4" s="62">
        <f>$T$3</f>
        <v>193.28400454669347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1.2</v>
      </c>
      <c r="AI4" s="14">
        <f>IF('Données projet'!$A$62&gt;35,AI3+AH4-AQ3,IF(A4&lt;'Données projet'!$A$62,$AF$205^A4,IF(A4='Données projet'!$A$62,'Données projet'!$B$62,AI3+AH4-AQ3)))</f>
        <v>1.1457367676485573</v>
      </c>
      <c r="AJ4" s="14">
        <f>AI4*VLOOKUP('Données projet'!$B$10,Paramètres!$A$1:$I$89,3,0)*VLOOKUP('Données projet'!$B$10,Paramètres!$A$1:$I$89,5,0)</f>
        <v>1.161777082395637</v>
      </c>
      <c r="AK4" s="14">
        <f>EXP(-1.0587+0.8836*LN(AJ4)+0.284)</f>
        <v>0.52613182870286601</v>
      </c>
      <c r="AL4" s="22">
        <f t="shared" ref="AL4:AL67" si="4">(AJ4+AK4)*0.475*44/12</f>
        <v>2.9397746868298928</v>
      </c>
      <c r="AM4" s="62">
        <f t="shared" ref="AM4:AM67" si="5">AL4+(AD4+AE4)*44/12</f>
        <v>170.75220863975375</v>
      </c>
      <c r="AN4" s="62">
        <f ca="1">AVERAGE(OFFSET($AM$3,0,0,'Données projet'!$E$10+1,1))-AVERAGE(OFFSET($H$3,0,0,'Données projet'!$E$10+1,1))</f>
        <v>414.29294334114661</v>
      </c>
      <c r="AO4" s="62">
        <f>$AO$3</f>
        <v>178.72086185623849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1.2</v>
      </c>
      <c r="BD4" s="13">
        <f>IF('Données projet'!$A$88&gt;35,BD3+BC4-BL3,IF(A4&lt;'Données projet'!$A$88,$BA$205^A4,IF(A4='Données projet'!$A$88,'Données projet'!$B$88,BD3+BC4-BL3)))</f>
        <v>1.1457367676485573</v>
      </c>
      <c r="BE4" s="14">
        <f>BD4*VLOOKUP('Données projet'!$B$11,Paramètres!$A$1:$I$89,3,0)*VLOOKUP('Données projet'!$B$11,Paramètres!$A$1:$I$89,5,0)</f>
        <v>1.233271056696907</v>
      </c>
      <c r="BF4" s="14">
        <f>EXP(-1.0587+0.8836*LN(BE4)+0.284)</f>
        <v>0.55464025923604754</v>
      </c>
      <c r="BG4" s="22">
        <f t="shared" ref="BG4:BG67" si="7">(BE4+BF4)*0.475*44/12</f>
        <v>3.113945541916562</v>
      </c>
      <c r="BH4" s="62">
        <f t="shared" ref="BH4:BH67" si="8">BG4+(AY4+AZ4)*44/12</f>
        <v>170.9263794948404</v>
      </c>
      <c r="BI4" s="62">
        <f ca="1">AVERAGE(OFFSET($BH$3,0,0,'Données projet'!$E$11+1,1))-AVERAGE(OFFSET($H$3,0,0,'Données projet'!$E$11+1,1))</f>
        <v>434.74983403680108</v>
      </c>
      <c r="BJ4" s="62">
        <f>$BJ$3</f>
        <v>186.0840067781198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1.6346153846153846</v>
      </c>
      <c r="BY4" s="13">
        <f>IF('Données projet'!$A$114&gt;35,BY3+BX4-CG3,IF(A4&lt;'Données projet'!$A$114,$BV$205^A4,IF(A4='Données projet'!$A$114,'Données projet'!$B$114,BY3+BX4-CG3)))</f>
        <v>1.1904804802795936</v>
      </c>
      <c r="BZ4" s="14">
        <f>BY4*VLOOKUP('Données projet'!$B$12,Paramètres!$A$1:$I$89,3,0)*VLOOKUP('Données projet'!$B$12,Paramètres!$A$1:$I$89,5,0)</f>
        <v>1.0214322520798915</v>
      </c>
      <c r="CA4" s="14">
        <f>EXP(-1.0587+0.8836*LN(BZ4)+0.284)</f>
        <v>0.46955842586903718</v>
      </c>
      <c r="CB4" s="22">
        <f t="shared" ref="CB4:CB67" si="10">(BZ4+CA4)*0.475*44/12</f>
        <v>2.596808764094384</v>
      </c>
      <c r="CC4" s="62">
        <f t="shared" ref="CC4:CC67" si="11">CB4+(BT4+BU4)*44/12</f>
        <v>170.40924271701823</v>
      </c>
      <c r="CD4" s="62">
        <f ca="1">AVERAGE(OFFSET($CC$3,0,0,'Données projet'!$E$12+1,1))-AVERAGE(OFFSET($H$3,0,0,'Données projet'!$E$12+1,1))</f>
        <v>288.24759203983547</v>
      </c>
      <c r="CE4" s="62">
        <f>$CE$3</f>
        <v>188.86613033148794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1.6346153846153846</v>
      </c>
      <c r="CT4" s="13">
        <f>IF('Données projet'!$A$140&gt;35,CT3+CS4-DB3,IF(A4&lt;'Données projet'!$A$140,$CQ$205^A4,IF(A4='Données projet'!$A$140,'Données projet'!$B$140,CT3+CS4-DB3)))</f>
        <v>1.1904804802795936</v>
      </c>
      <c r="CU4" s="18">
        <f>CT4*VLOOKUP('Données projet'!$B$13,Paramètres!$A$1:$I$89,3,0)*VLOOKUP('Données projet'!$B$13,Paramètres!$A$1:$I$89,5,0)</f>
        <v>0.79857430617155145</v>
      </c>
      <c r="CV4" s="14">
        <f>EXP(-1.0587+0.8836*LN(CU4)+0.284)</f>
        <v>0.37777906983246112</v>
      </c>
      <c r="CW4" s="22">
        <f t="shared" ref="CW4:CW67" si="13">(CU4+CV4)*0.475*44/12</f>
        <v>2.0488154632069886</v>
      </c>
      <c r="CX4" s="62">
        <f t="shared" ref="CX4:CX67" si="14">CW4+(CO4+CP4)*44/12</f>
        <v>169.86124941613082</v>
      </c>
      <c r="CY4" s="62">
        <f ca="1">AVERAGE(OFFSET($CX$3,0,0,'Données projet'!$E$13+1,1))-AVERAGE(OFFSET($H$3,0,0,'Données projet'!$E$13+1,1))</f>
        <v>240.40157928925146</v>
      </c>
      <c r="CZ4" s="62">
        <f>$CZ$3</f>
        <v>160.5013084380258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1.2</v>
      </c>
      <c r="DO4" s="13">
        <f>IF('Données projet'!$A$166&gt;35,DO3+DN4-DW3,IF(A4&lt;'Données projet'!$A$166,$DL$205^A4,IF(A4='Données projet'!$A$166,'Données projet'!$B$166,DO3+DN4-DW3)))</f>
        <v>1.1457367676485573</v>
      </c>
      <c r="DP4" s="18">
        <f>DO4*VLOOKUP('Données projet'!$B$14,Paramètres!$A$1:$I$89,3,0)*VLOOKUP('Données projet'!$B$14,Paramètres!$A$1:$I$89,5,0)</f>
        <v>1.1081566016696847</v>
      </c>
      <c r="DQ4" s="14">
        <f>EXP(-1.0587+0.8836*LN(DP4)+0.284)</f>
        <v>0.50461671312632472</v>
      </c>
      <c r="DR4" s="22">
        <f t="shared" ref="DR4:DR67" si="16">(DP4+DQ4)*0.475*44/12</f>
        <v>2.808913523269716</v>
      </c>
      <c r="DS4" s="62">
        <f t="shared" ref="DS4:DS67" si="17">DR4+(DJ4+DK4)*44/12</f>
        <v>170.62134747619356</v>
      </c>
      <c r="DT4" s="62">
        <f ca="1">AVERAGE(OFFSET($DS$3,0,0,'Données projet'!$E$14+1,1))-AVERAGE(OFFSET($H$3,0,0,'Données projet'!$E$14+1,1))</f>
        <v>398.93296311353788</v>
      </c>
      <c r="DU4" s="62">
        <f>$DU$3</f>
        <v>173.19148969173838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0.9</v>
      </c>
      <c r="EJ4" s="13">
        <f>IF('Données projet'!$A$192&gt;35,EJ3+EI4-ER3,IF(A4&lt;'Données projet'!$A$192,$EG$205^A4,IF(A4='Données projet'!$A$192,'Données projet'!$B$192,EJ3+EI4-ER3)))</f>
        <v>1.1554831727638066</v>
      </c>
      <c r="EK4" s="18">
        <f>EJ4*VLOOKUP('Données projet'!$B$15,Paramètres!$A$1:$I$89,3,0)*VLOOKUP('Données projet'!$B$15,Paramètres!$A$1:$I$89,5,0)</f>
        <v>1.0094300997264616</v>
      </c>
      <c r="EL4" s="14">
        <f>EXP(-1.0587+0.8836*LN(EK4)+0.284)</f>
        <v>0.46467984937949935</v>
      </c>
      <c r="EM4" s="22">
        <f t="shared" ref="EM4:EM67" si="19">(EK4+EL4)*0.475*44/12</f>
        <v>2.5674081613595483</v>
      </c>
      <c r="EN4" s="62">
        <f t="shared" ref="EN4:EN67" si="20">EM4+(EE4+EF4)*44/12</f>
        <v>170.37984211428338</v>
      </c>
      <c r="EO4" s="62">
        <f ca="1">AVERAGE(OFFSET($EN$3,0,0,'Données projet'!$E$15+1,1))-AVERAGE(OFFSET($H$3,0,0,'Données projet'!$E$15+1,1))</f>
        <v>226.37420733783091</v>
      </c>
      <c r="EP4" s="62">
        <f>$EP$3</f>
        <v>204.10961748628714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6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9">
        <f t="shared" si="1"/>
        <v>183.33333333333334</v>
      </c>
      <c r="I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3.5</v>
      </c>
      <c r="N5" s="14">
        <f>IF('Données projet'!$A$36&gt;35,N4+M5-V4,IF(A5&lt;'Données projet'!$A$36,$K$205^A5,IF(A5='Données projet'!$A$36,'Données projet'!$B$36,N4+M5-V4)))</f>
        <v>1.3637851377151031</v>
      </c>
      <c r="O5" s="14">
        <f>N5*VLOOKUP('Données projet'!$B$9,Paramètres!$A$1:$I$89,3,0)*VLOOKUP('Données projet'!$B$9,Paramètres!$A$1:$I$89,5,0)</f>
        <v>0.79781430556333532</v>
      </c>
      <c r="P5" s="14">
        <f t="shared" ref="P5:P68" si="33">EXP(-1.0587+0.8836*LN(O5)+0.284)</f>
        <v>0.37746137052359063</v>
      </c>
      <c r="Q5" s="22">
        <f t="shared" si="2"/>
        <v>2.0469384691847292</v>
      </c>
      <c r="R5" s="62">
        <f t="shared" si="0"/>
        <v>172.64421975668557</v>
      </c>
      <c r="S5" s="62">
        <f ca="1">AVERAGE(OFFSET($R$3,0,0,'Données projet'!$E$9+1,1))-AVERAGE(OFFSET($H$3,0,0,'Données projet'!$E$9+1,1))</f>
        <v>196.48726929442091</v>
      </c>
      <c r="T5" s="62">
        <f t="shared" ref="T5:T68" si="34">$T$3</f>
        <v>193.28400454669347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1.2</v>
      </c>
      <c r="AI5" s="14">
        <f>IF('Données projet'!$A$62&gt;35,AI4+AH5-AQ4,IF(A5&lt;'Données projet'!$A$62,$AF$205^A5,IF(A5='Données projet'!$A$62,'Données projet'!$B$62,AI4+AH5-AQ4)))</f>
        <v>1.312712740741764</v>
      </c>
      <c r="AJ5" s="14">
        <f>AI5*VLOOKUP('Données projet'!$B$10,Paramètres!$A$1:$I$89,3,0)*VLOOKUP('Données projet'!$B$10,Paramètres!$A$1:$I$89,5,0)</f>
        <v>1.3310907191121488</v>
      </c>
      <c r="AK5" s="14">
        <f t="shared" ref="AK5:AK68" si="35">EXP(-1.0587+0.8836*LN(AJ5)+0.284)</f>
        <v>0.59333770733536928</v>
      </c>
      <c r="AL5" s="22">
        <f t="shared" si="4"/>
        <v>3.3517128427294267</v>
      </c>
      <c r="AM5" s="62">
        <f t="shared" si="5"/>
        <v>173.94899413023026</v>
      </c>
      <c r="AN5" s="62">
        <f ca="1">AVERAGE(OFFSET($AM$3,0,0,'Données projet'!$E$10+1,1))-AVERAGE(OFFSET($H$3,0,0,'Données projet'!$E$10+1,1))</f>
        <v>414.29294334114661</v>
      </c>
      <c r="AO5" s="62">
        <f t="shared" ref="AO5:AO68" si="36">$AO$3</f>
        <v>178.72086185623849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1.2</v>
      </c>
      <c r="BD5" s="13">
        <f>IF('Données projet'!$A$88&gt;35,BD4+BC5-BL4,IF(A5&lt;'Données projet'!$A$88,$BA$205^A5,IF(A5='Données projet'!$A$88,'Données projet'!$B$88,BD4+BC5-BL4)))</f>
        <v>1.312712740741764</v>
      </c>
      <c r="BE5" s="14">
        <f>BD5*VLOOKUP('Données projet'!$B$11,Paramètres!$A$1:$I$89,3,0)*VLOOKUP('Données projet'!$B$11,Paramètres!$A$1:$I$89,5,0)</f>
        <v>1.4130039941344348</v>
      </c>
      <c r="BF5" s="14">
        <f t="shared" ref="BF5:BF68" si="37">EXP(-1.0587+0.8836*LN(BE5)+0.284)</f>
        <v>0.62548768551477418</v>
      </c>
      <c r="BG5" s="22">
        <f t="shared" si="7"/>
        <v>3.5503730087223722</v>
      </c>
      <c r="BH5" s="62">
        <f t="shared" si="8"/>
        <v>174.14765429622321</v>
      </c>
      <c r="BI5" s="62">
        <f ca="1">AVERAGE(OFFSET($BH$3,0,0,'Données projet'!$E$11+1,1))-AVERAGE(OFFSET($H$3,0,0,'Données projet'!$E$11+1,1))</f>
        <v>434.74983403680108</v>
      </c>
      <c r="BJ5" s="62">
        <f t="shared" ref="BJ5:BJ68" si="38">$BJ$3</f>
        <v>186.0840067781198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1.6346153846153846</v>
      </c>
      <c r="BY5" s="13">
        <f>IF('Données projet'!$A$114&gt;35,BY4+BX5-CG4,IF(A5&lt;'Données projet'!$A$114,$BV$205^A5,IF(A5='Données projet'!$A$114,'Données projet'!$B$114,BY4+BX5-CG4)))</f>
        <v>1.4172437739267318</v>
      </c>
      <c r="BZ5" s="14">
        <f>BY5*VLOOKUP('Données projet'!$B$12,Paramètres!$A$1:$I$89,3,0)*VLOOKUP('Données projet'!$B$12,Paramètres!$A$1:$I$89,5,0)</f>
        <v>1.2159951580291362</v>
      </c>
      <c r="CA5" s="14">
        <f t="shared" ref="CA5:CA68" si="39">EXP(-1.0587+0.8836*LN(BZ5)+0.284)</f>
        <v>0.54776949589034563</v>
      </c>
      <c r="CB5" s="22">
        <f t="shared" si="10"/>
        <v>3.0718901055764305</v>
      </c>
      <c r="CC5" s="62">
        <f t="shared" si="11"/>
        <v>173.66917139307728</v>
      </c>
      <c r="CD5" s="62">
        <f ca="1">AVERAGE(OFFSET($CC$3,0,0,'Données projet'!$E$12+1,1))-AVERAGE(OFFSET($H$3,0,0,'Données projet'!$E$12+1,1))</f>
        <v>288.24759203983547</v>
      </c>
      <c r="CE5" s="62">
        <f t="shared" ref="CE5:CE68" si="40">$CE$3</f>
        <v>188.86613033148794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1.6346153846153846</v>
      </c>
      <c r="CT5" s="13">
        <f>IF('Données projet'!$A$140&gt;35,CT4+CS5-DB4,IF(A5&lt;'Données projet'!$A$140,$CQ$205^A5,IF(A5='Données projet'!$A$140,'Données projet'!$B$140,CT4+CS5-DB4)))</f>
        <v>1.4172437739267318</v>
      </c>
      <c r="CU5" s="18">
        <f>CT5*VLOOKUP('Données projet'!$B$13,Paramètres!$A$1:$I$89,3,0)*VLOOKUP('Données projet'!$B$13,Paramètres!$A$1:$I$89,5,0)</f>
        <v>0.95068712355005169</v>
      </c>
      <c r="CV5" s="14">
        <f t="shared" ref="CV5:CV68" si="41">EXP(-1.0587+0.8836*LN(CU5)+0.284)</f>
        <v>0.44070309303270105</v>
      </c>
      <c r="CW5" s="22">
        <f t="shared" si="13"/>
        <v>2.4233379605482943</v>
      </c>
      <c r="CX5" s="62">
        <f t="shared" si="14"/>
        <v>173.02061924804912</v>
      </c>
      <c r="CY5" s="62">
        <f ca="1">AVERAGE(OFFSET($CX$3,0,0,'Données projet'!$E$13+1,1))-AVERAGE(OFFSET($H$3,0,0,'Données projet'!$E$13+1,1))</f>
        <v>240.40157928925146</v>
      </c>
      <c r="CZ5" s="62">
        <f t="shared" ref="CZ5:CZ68" si="42">$CZ$3</f>
        <v>160.5013084380258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1.2</v>
      </c>
      <c r="DO5" s="13">
        <f>IF('Données projet'!$A$166&gt;35,DO4+DN5-DW4,IF(A5&lt;'Données projet'!$A$166,$DL$205^A5,IF(A5='Données projet'!$A$166,'Données projet'!$B$166,DO4+DN5-DW4)))</f>
        <v>1.312712740741764</v>
      </c>
      <c r="DP5" s="18">
        <f>DO5*VLOOKUP('Données projet'!$B$14,Paramètres!$A$1:$I$89,3,0)*VLOOKUP('Données projet'!$B$14,Paramètres!$A$1:$I$89,5,0)</f>
        <v>1.2696557628454344</v>
      </c>
      <c r="DQ5" s="14">
        <f t="shared" ref="DQ5:DQ68" si="43">EXP(-1.0587+0.8836*LN(DP5)+0.284)</f>
        <v>0.56907434090738995</v>
      </c>
      <c r="DR5" s="22">
        <f t="shared" si="16"/>
        <v>3.2024549307028356</v>
      </c>
      <c r="DS5" s="62">
        <f t="shared" si="17"/>
        <v>173.79973621820366</v>
      </c>
      <c r="DT5" s="62">
        <f ca="1">AVERAGE(OFFSET($DS$3,0,0,'Données projet'!$E$14+1,1))-AVERAGE(OFFSET($H$3,0,0,'Données projet'!$E$14+1,1))</f>
        <v>398.93296311353788</v>
      </c>
      <c r="DU5" s="62">
        <f t="shared" ref="DU5:DU68" si="44">$DU$3</f>
        <v>173.19148969173838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0.9</v>
      </c>
      <c r="EJ5" s="13">
        <f>IF('Données projet'!$A$192&gt;35,EJ4+EI5-ER4,IF(A5&lt;'Données projet'!$A$192,$EG$205^A5,IF(A5='Données projet'!$A$192,'Données projet'!$B$192,EJ4+EI5-ER4)))</f>
        <v>1.335141362540313</v>
      </c>
      <c r="EK5" s="18">
        <f>EJ5*VLOOKUP('Données projet'!$B$15,Paramètres!$A$1:$I$89,3,0)*VLOOKUP('Données projet'!$B$15,Paramètres!$A$1:$I$89,5,0)</f>
        <v>1.1663794943152175</v>
      </c>
      <c r="EL5" s="14">
        <f t="shared" ref="EL5:EL68" si="45">EXP(-1.0587+0.8836*LN(EK5)+0.284)</f>
        <v>0.52797307958445927</v>
      </c>
      <c r="EM5" s="22">
        <f t="shared" si="19"/>
        <v>2.9509973995419365</v>
      </c>
      <c r="EN5" s="62">
        <f t="shared" si="20"/>
        <v>173.54827868704277</v>
      </c>
      <c r="EO5" s="62">
        <f ca="1">AVERAGE(OFFSET($EN$3,0,0,'Données projet'!$E$15+1,1))-AVERAGE(OFFSET($H$3,0,0,'Données projet'!$E$15+1,1))</f>
        <v>226.37420733783091</v>
      </c>
      <c r="EP5" s="62">
        <f t="shared" ref="EP5:EP68" si="46">$EP$3</f>
        <v>204.10961748628714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6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9">
        <f t="shared" si="1"/>
        <v>183.33333333333334</v>
      </c>
      <c r="I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3.5</v>
      </c>
      <c r="N6" s="14">
        <f>IF('Données projet'!$A$36&gt;35,N5+M6-V5,IF(A6&lt;'Données projet'!$A$36,$K$205^A6,IF(A6='Données projet'!$A$36,'Données projet'!$B$36,N5+M6-V5)))</f>
        <v>1.5926448071166828</v>
      </c>
      <c r="O6" s="14">
        <f>N6*VLOOKUP('Données projet'!$B$9,Paramètres!$A$1:$I$89,3,0)*VLOOKUP('Données projet'!$B$9,Paramètres!$A$1:$I$89,5,0)</f>
        <v>0.9316972121632594</v>
      </c>
      <c r="P6" s="14">
        <f t="shared" si="33"/>
        <v>0.43291563869954769</v>
      </c>
      <c r="Q6" s="22">
        <f t="shared" si="2"/>
        <v>2.376700715252722</v>
      </c>
      <c r="R6" s="62">
        <f t="shared" si="0"/>
        <v>175.73172128513761</v>
      </c>
      <c r="S6" s="62">
        <f ca="1">AVERAGE(OFFSET($R$3,0,0,'Données projet'!$E$9+1,1))-AVERAGE(OFFSET($H$3,0,0,'Données projet'!$E$9+1,1))</f>
        <v>196.48726929442091</v>
      </c>
      <c r="T6" s="62">
        <f t="shared" si="34"/>
        <v>193.28400454669347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1.2</v>
      </c>
      <c r="AI6" s="14">
        <f>IF('Données projet'!$A$62&gt;35,AI5+AH6-AQ5,IF(A6&lt;'Données projet'!$A$62,$AF$205^A6,IF(A6='Données projet'!$A$62,'Données projet'!$B$62,AI5+AH6-AQ5)))</f>
        <v>1.5040232524285473</v>
      </c>
      <c r="AJ6" s="14">
        <f>AI6*VLOOKUP('Données projet'!$B$10,Paramètres!$A$1:$I$89,3,0)*VLOOKUP('Données projet'!$B$10,Paramètres!$A$1:$I$89,5,0)</f>
        <v>1.525079577962547</v>
      </c>
      <c r="AK6" s="14">
        <f t="shared" si="35"/>
        <v>0.6691281837366525</v>
      </c>
      <c r="AL6" s="22">
        <f t="shared" si="4"/>
        <v>3.8215785182927724</v>
      </c>
      <c r="AM6" s="62">
        <f t="shared" si="5"/>
        <v>177.17659908817765</v>
      </c>
      <c r="AN6" s="62">
        <f ca="1">AVERAGE(OFFSET($AM$3,0,0,'Données projet'!$E$10+1,1))-AVERAGE(OFFSET($H$3,0,0,'Données projet'!$E$10+1,1))</f>
        <v>414.29294334114661</v>
      </c>
      <c r="AO6" s="62">
        <f t="shared" si="36"/>
        <v>178.72086185623849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1.2</v>
      </c>
      <c r="BD6" s="13">
        <f>IF('Données projet'!$A$88&gt;35,BD5+BC6-BL5,IF(A6&lt;'Données projet'!$A$88,$BA$205^A6,IF(A6='Données projet'!$A$88,'Données projet'!$B$88,BD5+BC6-BL5)))</f>
        <v>1.5040232524285473</v>
      </c>
      <c r="BE6" s="14">
        <f>BD6*VLOOKUP('Données projet'!$B$11,Paramètres!$A$1:$I$89,3,0)*VLOOKUP('Données projet'!$B$11,Paramètres!$A$1:$I$89,5,0)</f>
        <v>1.6189306289140883</v>
      </c>
      <c r="BF6" s="14">
        <f t="shared" si="37"/>
        <v>0.70538486562354785</v>
      </c>
      <c r="BG6" s="22">
        <f t="shared" si="7"/>
        <v>4.0481828196530492</v>
      </c>
      <c r="BH6" s="62">
        <f t="shared" si="8"/>
        <v>177.40320338953794</v>
      </c>
      <c r="BI6" s="62">
        <f ca="1">AVERAGE(OFFSET($BH$3,0,0,'Données projet'!$E$11+1,1))-AVERAGE(OFFSET($H$3,0,0,'Données projet'!$E$11+1,1))</f>
        <v>434.74983403680108</v>
      </c>
      <c r="BJ6" s="62">
        <f t="shared" si="38"/>
        <v>186.0840067781198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1.6346153846153846</v>
      </c>
      <c r="BY6" s="13">
        <f>IF('Données projet'!$A$114&gt;35,BY5+BX6-CG5,IF(A6&lt;'Données projet'!$A$114,$BV$205^A6,IF(A6='Données projet'!$A$114,'Données projet'!$B$114,BY5+BX6-CG5)))</f>
        <v>1.6872010486575595</v>
      </c>
      <c r="BZ6" s="14">
        <f>BY6*VLOOKUP('Données projet'!$B$12,Paramètres!$A$1:$I$89,3,0)*VLOOKUP('Données projet'!$B$12,Paramètres!$A$1:$I$89,5,0)</f>
        <v>1.4476184997481862</v>
      </c>
      <c r="CA6" s="14">
        <f t="shared" si="39"/>
        <v>0.63900763802213112</v>
      </c>
      <c r="CB6" s="22">
        <f t="shared" si="10"/>
        <v>3.6342071899499691</v>
      </c>
      <c r="CC6" s="62">
        <f t="shared" si="11"/>
        <v>176.98922775983485</v>
      </c>
      <c r="CD6" s="62">
        <f ca="1">AVERAGE(OFFSET($CC$3,0,0,'Données projet'!$E$12+1,1))-AVERAGE(OFFSET($H$3,0,0,'Données projet'!$E$12+1,1))</f>
        <v>288.24759203983547</v>
      </c>
      <c r="CE6" s="62">
        <f t="shared" si="40"/>
        <v>188.86613033148794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1.6346153846153846</v>
      </c>
      <c r="CT6" s="13">
        <f>IF('Données projet'!$A$140&gt;35,CT5+CS6-DB5,IF(A6&lt;'Données projet'!$A$140,$CQ$205^A6,IF(A6='Données projet'!$A$140,'Données projet'!$B$140,CT5+CS6-DB5)))</f>
        <v>1.6872010486575595</v>
      </c>
      <c r="CU6" s="18">
        <f>CT6*VLOOKUP('Données projet'!$B$13,Paramètres!$A$1:$I$89,3,0)*VLOOKUP('Données projet'!$B$13,Paramètres!$A$1:$I$89,5,0)</f>
        <v>1.1317744634394911</v>
      </c>
      <c r="CV6" s="14">
        <f t="shared" si="41"/>
        <v>0.51410793164037016</v>
      </c>
      <c r="CW6" s="22">
        <f t="shared" si="13"/>
        <v>2.866578504764091</v>
      </c>
      <c r="CX6" s="62">
        <f t="shared" si="14"/>
        <v>176.22159907464896</v>
      </c>
      <c r="CY6" s="62">
        <f ca="1">AVERAGE(OFFSET($CX$3,0,0,'Données projet'!$E$13+1,1))-AVERAGE(OFFSET($H$3,0,0,'Données projet'!$E$13+1,1))</f>
        <v>240.40157928925146</v>
      </c>
      <c r="CZ6" s="62">
        <f t="shared" si="42"/>
        <v>160.5013084380258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1.2</v>
      </c>
      <c r="DO6" s="13">
        <f>IF('Données projet'!$A$166&gt;35,DO5+DN6-DW5,IF(A6&lt;'Données projet'!$A$166,$DL$205^A6,IF(A6='Données projet'!$A$166,'Données projet'!$B$166,DO5+DN6-DW5)))</f>
        <v>1.5040232524285473</v>
      </c>
      <c r="DP6" s="18">
        <f>DO6*VLOOKUP('Données projet'!$B$14,Paramètres!$A$1:$I$89,3,0)*VLOOKUP('Données projet'!$B$14,Paramètres!$A$1:$I$89,5,0)</f>
        <v>1.4546912897488911</v>
      </c>
      <c r="DQ6" s="14">
        <f t="shared" si="43"/>
        <v>0.64176551639126822</v>
      </c>
      <c r="DR6" s="22">
        <f t="shared" si="16"/>
        <v>3.6513289373607773</v>
      </c>
      <c r="DS6" s="62">
        <f t="shared" si="17"/>
        <v>177.00634950724566</v>
      </c>
      <c r="DT6" s="62">
        <f ca="1">AVERAGE(OFFSET($DS$3,0,0,'Données projet'!$E$14+1,1))-AVERAGE(OFFSET($H$3,0,0,'Données projet'!$E$14+1,1))</f>
        <v>398.93296311353788</v>
      </c>
      <c r="DU6" s="62">
        <f t="shared" si="44"/>
        <v>173.19148969173838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0.9</v>
      </c>
      <c r="EJ6" s="13">
        <f>IF('Données projet'!$A$192&gt;35,EJ5+EI6-ER5,IF(A6&lt;'Données projet'!$A$192,$EG$205^A6,IF(A6='Données projet'!$A$192,'Données projet'!$B$192,EJ5+EI6-ER5)))</f>
        <v>1.5427333776762726</v>
      </c>
      <c r="EK6" s="18">
        <f>EJ6*VLOOKUP('Données projet'!$B$15,Paramètres!$A$1:$I$89,3,0)*VLOOKUP('Données projet'!$B$15,Paramètres!$A$1:$I$89,5,0)</f>
        <v>1.3477318787379919</v>
      </c>
      <c r="EL6" s="14">
        <f t="shared" si="45"/>
        <v>0.59988737006377257</v>
      </c>
      <c r="EM6" s="22">
        <f t="shared" si="19"/>
        <v>3.3921035249964064</v>
      </c>
      <c r="EN6" s="62">
        <f t="shared" si="20"/>
        <v>176.74712409488129</v>
      </c>
      <c r="EO6" s="62">
        <f ca="1">AVERAGE(OFFSET($EN$3,0,0,'Données projet'!$E$15+1,1))-AVERAGE(OFFSET($H$3,0,0,'Données projet'!$E$15+1,1))</f>
        <v>226.37420733783091</v>
      </c>
      <c r="EP6" s="62">
        <f t="shared" si="46"/>
        <v>204.10961748628714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6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9">
        <f t="shared" si="1"/>
        <v>183.33333333333334</v>
      </c>
      <c r="I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3.5</v>
      </c>
      <c r="N7" s="14">
        <f>IF('Données projet'!$A$36&gt;35,N6+M7-V6,IF(A7&lt;'Données projet'!$A$36,$K$205^A7,IF(A7='Données projet'!$A$36,'Données projet'!$B$36,N6+M7-V6)))</f>
        <v>1.8599099018526029</v>
      </c>
      <c r="O7" s="14">
        <f>N7*VLOOKUP('Données projet'!$B$9,Paramètres!$A$1:$I$89,3,0)*VLOOKUP('Données projet'!$B$9,Paramètres!$A$1:$I$89,5,0)</f>
        <v>1.0880472925837728</v>
      </c>
      <c r="P7" s="14">
        <f t="shared" si="33"/>
        <v>0.4965169017710761</v>
      </c>
      <c r="Q7" s="22">
        <f t="shared" si="2"/>
        <v>2.7597826385013615</v>
      </c>
      <c r="R7" s="62">
        <f t="shared" si="0"/>
        <v>178.8459047026783</v>
      </c>
      <c r="S7" s="62">
        <f ca="1">AVERAGE(OFFSET($R$3,0,0,'Données projet'!$E$9+1,1))-AVERAGE(OFFSET($H$3,0,0,'Données projet'!$E$9+1,1))</f>
        <v>196.48726929442091</v>
      </c>
      <c r="T7" s="62">
        <f t="shared" si="34"/>
        <v>193.28400454669347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1.2</v>
      </c>
      <c r="AI7" s="14">
        <f>IF('Données projet'!$A$62&gt;35,AI6+AH7-AQ6,IF(A7&lt;'Données projet'!$A$62,$AF$205^A7,IF(A7='Données projet'!$A$62,'Données projet'!$B$62,AI6+AH7-AQ6)))</f>
        <v>1.7232147397057538</v>
      </c>
      <c r="AJ7" s="14">
        <f>AI7*VLOOKUP('Données projet'!$B$10,Paramètres!$A$1:$I$89,3,0)*VLOOKUP('Données projet'!$B$10,Paramètres!$A$1:$I$89,5,0)</f>
        <v>1.7473397460616347</v>
      </c>
      <c r="AK7" s="14">
        <f t="shared" si="35"/>
        <v>0.7545998185105095</v>
      </c>
      <c r="AL7" s="22">
        <f t="shared" si="4"/>
        <v>4.3575447416298188</v>
      </c>
      <c r="AM7" s="62">
        <f t="shared" si="5"/>
        <v>180.44366680580677</v>
      </c>
      <c r="AN7" s="62">
        <f ca="1">AVERAGE(OFFSET($AM$3,0,0,'Données projet'!$E$10+1,1))-AVERAGE(OFFSET($H$3,0,0,'Données projet'!$E$10+1,1))</f>
        <v>414.29294334114661</v>
      </c>
      <c r="AO7" s="62">
        <f t="shared" si="36"/>
        <v>178.72086185623849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1.2</v>
      </c>
      <c r="BD7" s="13">
        <f>IF('Données projet'!$A$88&gt;35,BD6+BC7-BL6,IF(A7&lt;'Données projet'!$A$88,$BA$205^A7,IF(A7='Données projet'!$A$88,'Données projet'!$B$88,BD6+BC7-BL6)))</f>
        <v>1.7232147397057538</v>
      </c>
      <c r="BE7" s="14">
        <f>BD7*VLOOKUP('Données projet'!$B$11,Paramètres!$A$1:$I$89,3,0)*VLOOKUP('Données projet'!$B$11,Paramètres!$A$1:$I$89,5,0)</f>
        <v>1.8548683458192732</v>
      </c>
      <c r="BF7" s="14">
        <f t="shared" si="37"/>
        <v>0.79548777725536501</v>
      </c>
      <c r="BG7" s="22">
        <f t="shared" si="7"/>
        <v>4.6160369143549937</v>
      </c>
      <c r="BH7" s="62">
        <f t="shared" si="8"/>
        <v>180.70215897853194</v>
      </c>
      <c r="BI7" s="62">
        <f ca="1">AVERAGE(OFFSET($BH$3,0,0,'Données projet'!$E$11+1,1))-AVERAGE(OFFSET($H$3,0,0,'Données projet'!$E$11+1,1))</f>
        <v>434.74983403680108</v>
      </c>
      <c r="BJ7" s="62">
        <f t="shared" si="38"/>
        <v>186.0840067781198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1.6346153846153846</v>
      </c>
      <c r="BY7" s="13">
        <f>IF('Données projet'!$A$114&gt;35,BY6+BX7-CG6,IF(A7&lt;'Données projet'!$A$114,$BV$205^A7,IF(A7='Données projet'!$A$114,'Données projet'!$B$114,BY6+BX7-CG6)))</f>
        <v>2.0085799147340855</v>
      </c>
      <c r="BZ7" s="14">
        <f>BY7*VLOOKUP('Données projet'!$B$12,Paramètres!$A$1:$I$89,3,0)*VLOOKUP('Données projet'!$B$12,Paramètres!$A$1:$I$89,5,0)</f>
        <v>1.7233615668418456</v>
      </c>
      <c r="CA7" s="14">
        <f t="shared" si="39"/>
        <v>0.74544268075191278</v>
      </c>
      <c r="CB7" s="22">
        <f t="shared" si="10"/>
        <v>4.2998340645591293</v>
      </c>
      <c r="CC7" s="62">
        <f t="shared" si="11"/>
        <v>180.38595612873607</v>
      </c>
      <c r="CD7" s="62">
        <f ca="1">AVERAGE(OFFSET($CC$3,0,0,'Données projet'!$E$12+1,1))-AVERAGE(OFFSET($H$3,0,0,'Données projet'!$E$12+1,1))</f>
        <v>288.24759203983547</v>
      </c>
      <c r="CE7" s="62">
        <f t="shared" si="40"/>
        <v>188.86613033148794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1.6346153846153846</v>
      </c>
      <c r="CT7" s="13">
        <f>IF('Données projet'!$A$140&gt;35,CT6+CS7-DB6,IF(A7&lt;'Données projet'!$A$140,$CQ$205^A7,IF(A7='Données projet'!$A$140,'Données projet'!$B$140,CT6+CS7-DB6)))</f>
        <v>2.0085799147340855</v>
      </c>
      <c r="CU7" s="18">
        <f>CT7*VLOOKUP('Données projet'!$B$13,Paramètres!$A$1:$I$89,3,0)*VLOOKUP('Données projet'!$B$13,Paramètres!$A$1:$I$89,5,0)</f>
        <v>1.3473554068036244</v>
      </c>
      <c r="CV7" s="14">
        <f t="shared" si="41"/>
        <v>0.5997393019338928</v>
      </c>
      <c r="CW7" s="22">
        <f t="shared" si="13"/>
        <v>3.3911899510511758</v>
      </c>
      <c r="CX7" s="62">
        <f t="shared" si="14"/>
        <v>179.47731201522814</v>
      </c>
      <c r="CY7" s="62">
        <f ca="1">AVERAGE(OFFSET($CX$3,0,0,'Données projet'!$E$13+1,1))-AVERAGE(OFFSET($H$3,0,0,'Données projet'!$E$13+1,1))</f>
        <v>240.40157928925146</v>
      </c>
      <c r="CZ7" s="62">
        <f t="shared" si="42"/>
        <v>160.5013084380258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1.2</v>
      </c>
      <c r="DO7" s="13">
        <f>IF('Données projet'!$A$166&gt;35,DO6+DN7-DW6,IF(A7&lt;'Données projet'!$A$166,$DL$205^A7,IF(A7='Données projet'!$A$166,'Données projet'!$B$166,DO6+DN7-DW6)))</f>
        <v>1.7232147397057538</v>
      </c>
      <c r="DP7" s="18">
        <f>DO7*VLOOKUP('Données projet'!$B$14,Paramètres!$A$1:$I$89,3,0)*VLOOKUP('Données projet'!$B$14,Paramètres!$A$1:$I$89,5,0)</f>
        <v>1.6666932962434051</v>
      </c>
      <c r="DQ7" s="14">
        <f t="shared" si="43"/>
        <v>0.72374195851500689</v>
      </c>
      <c r="DR7" s="22">
        <f t="shared" si="16"/>
        <v>4.1633414020375676</v>
      </c>
      <c r="DS7" s="62">
        <f t="shared" si="17"/>
        <v>180.24946346621451</v>
      </c>
      <c r="DT7" s="62">
        <f ca="1">AVERAGE(OFFSET($DS$3,0,0,'Données projet'!$E$14+1,1))-AVERAGE(OFFSET($H$3,0,0,'Données projet'!$E$14+1,1))</f>
        <v>398.93296311353788</v>
      </c>
      <c r="DU7" s="62">
        <f t="shared" si="44"/>
        <v>173.19148969173838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0.9</v>
      </c>
      <c r="EJ7" s="13">
        <f>IF('Données projet'!$A$192&gt;35,EJ6+EI7-ER6,IF(A7&lt;'Données projet'!$A$192,$EG$205^A7,IF(A7='Données projet'!$A$192,'Données projet'!$B$192,EJ6+EI7-ER6)))</f>
        <v>1.7826024579660036</v>
      </c>
      <c r="EK7" s="18">
        <f>EJ7*VLOOKUP('Données projet'!$B$15,Paramètres!$A$1:$I$89,3,0)*VLOOKUP('Données projet'!$B$15,Paramètres!$A$1:$I$89,5,0)</f>
        <v>1.5572815072791011</v>
      </c>
      <c r="EL7" s="14">
        <f t="shared" si="45"/>
        <v>0.68159698037116012</v>
      </c>
      <c r="EM7" s="22">
        <f t="shared" si="19"/>
        <v>3.8993800326575379</v>
      </c>
      <c r="EN7" s="62">
        <f t="shared" si="20"/>
        <v>179.98550209683449</v>
      </c>
      <c r="EO7" s="62">
        <f ca="1">AVERAGE(OFFSET($EN$3,0,0,'Données projet'!$E$15+1,1))-AVERAGE(OFFSET($H$3,0,0,'Données projet'!$E$15+1,1))</f>
        <v>226.37420733783091</v>
      </c>
      <c r="EP7" s="62">
        <f t="shared" si="46"/>
        <v>204.10961748628714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6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9">
        <f t="shared" si="1"/>
        <v>183.33333333333334</v>
      </c>
      <c r="I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3.5</v>
      </c>
      <c r="N8" s="14">
        <f>IF('Données projet'!$A$36&gt;35,N7+M8-V7,IF(A8&lt;'Données projet'!$A$36,$K$205^A8,IF(A8='Données projet'!$A$36,'Données projet'!$B$36,N7+M8-V7)))</f>
        <v>2.1720253176048692</v>
      </c>
      <c r="O8" s="14">
        <f>N8*VLOOKUP('Données projet'!$B$9,Paramètres!$A$1:$I$89,3,0)*VLOOKUP('Données projet'!$B$9,Paramètres!$A$1:$I$89,5,0)</f>
        <v>1.2706348107988485</v>
      </c>
      <c r="P8" s="14">
        <f t="shared" si="33"/>
        <v>0.56946206536891708</v>
      </c>
      <c r="Q8" s="22">
        <f t="shared" si="2"/>
        <v>3.204835392658858</v>
      </c>
      <c r="R8" s="62">
        <f t="shared" si="0"/>
        <v>181.9958832691062</v>
      </c>
      <c r="S8" s="62">
        <f ca="1">AVERAGE(OFFSET($R$3,0,0,'Données projet'!$E$9+1,1))-AVERAGE(OFFSET($H$3,0,0,'Données projet'!$E$9+1,1))</f>
        <v>196.48726929442091</v>
      </c>
      <c r="T8" s="62">
        <f t="shared" si="34"/>
        <v>193.28400454669347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1.2</v>
      </c>
      <c r="AI8" s="14">
        <f>IF('Données projet'!$A$62&gt;35,AI7+AH8-AQ7,IF(A8&lt;'Données projet'!$A$62,$AF$205^A8,IF(A8='Données projet'!$A$62,'Données projet'!$B$62,AI7+AH8-AQ7)))</f>
        <v>1.9743504858348202</v>
      </c>
      <c r="AJ8" s="14">
        <f>AI8*VLOOKUP('Données projet'!$B$10,Paramètres!$A$1:$I$89,3,0)*VLOOKUP('Données projet'!$B$10,Paramètres!$A$1:$I$89,5,0)</f>
        <v>2.0019913926365076</v>
      </c>
      <c r="AK8" s="14">
        <f t="shared" si="35"/>
        <v>0.85098924232460604</v>
      </c>
      <c r="AL8" s="22">
        <f t="shared" si="4"/>
        <v>4.9689412725572728</v>
      </c>
      <c r="AM8" s="62">
        <f t="shared" si="5"/>
        <v>183.75998914900461</v>
      </c>
      <c r="AN8" s="62">
        <f ca="1">AVERAGE(OFFSET($AM$3,0,0,'Données projet'!$E$10+1,1))-AVERAGE(OFFSET($H$3,0,0,'Données projet'!$E$10+1,1))</f>
        <v>414.29294334114661</v>
      </c>
      <c r="AO8" s="62">
        <f t="shared" si="36"/>
        <v>178.72086185623849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1.2</v>
      </c>
      <c r="BD8" s="13">
        <f>IF('Données projet'!$A$88&gt;35,BD7+BC8-BL7,IF(A8&lt;'Données projet'!$A$88,$BA$205^A8,IF(A8='Données projet'!$A$88,'Données projet'!$B$88,BD7+BC8-BL7)))</f>
        <v>1.9743504858348202</v>
      </c>
      <c r="BE8" s="14">
        <f>BD8*VLOOKUP('Données projet'!$B$11,Paramètres!$A$1:$I$89,3,0)*VLOOKUP('Données projet'!$B$11,Paramètres!$A$1:$I$89,5,0)</f>
        <v>2.1251908629526004</v>
      </c>
      <c r="BF8" s="14">
        <f t="shared" si="37"/>
        <v>0.89710005785748825</v>
      </c>
      <c r="BG8" s="22">
        <f t="shared" si="7"/>
        <v>5.2638233537442369</v>
      </c>
      <c r="BH8" s="62">
        <f t="shared" si="8"/>
        <v>184.05487123019159</v>
      </c>
      <c r="BI8" s="62">
        <f ca="1">AVERAGE(OFFSET($BH$3,0,0,'Données projet'!$E$11+1,1))-AVERAGE(OFFSET($H$3,0,0,'Données projet'!$E$11+1,1))</f>
        <v>434.74983403680108</v>
      </c>
      <c r="BJ8" s="62">
        <f t="shared" si="38"/>
        <v>186.0840067781198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1.6346153846153846</v>
      </c>
      <c r="BY8" s="13">
        <f>IF('Données projet'!$A$114&gt;35,BY7+BX8-CG7,IF(A8&lt;'Données projet'!$A$114,$BV$205^A8,IF(A8='Données projet'!$A$114,'Données projet'!$B$114,BY7+BX8-CG7)))</f>
        <v>2.3911751815725792</v>
      </c>
      <c r="BZ8" s="14">
        <f>BY8*VLOOKUP('Données projet'!$B$12,Paramètres!$A$1:$I$89,3,0)*VLOOKUP('Données projet'!$B$12,Paramètres!$A$1:$I$89,5,0)</f>
        <v>2.0516283057892735</v>
      </c>
      <c r="CA8" s="14">
        <f t="shared" si="39"/>
        <v>0.86960586575547716</v>
      </c>
      <c r="CB8" s="22">
        <f t="shared" si="10"/>
        <v>5.0878161821071073</v>
      </c>
      <c r="CC8" s="62">
        <f t="shared" si="11"/>
        <v>183.87886405855446</v>
      </c>
      <c r="CD8" s="62">
        <f ca="1">AVERAGE(OFFSET($CC$3,0,0,'Données projet'!$E$12+1,1))-AVERAGE(OFFSET($H$3,0,0,'Données projet'!$E$12+1,1))</f>
        <v>288.24759203983547</v>
      </c>
      <c r="CE8" s="62">
        <f t="shared" si="40"/>
        <v>188.86613033148794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1.6346153846153846</v>
      </c>
      <c r="CT8" s="13">
        <f>IF('Données projet'!$A$140&gt;35,CT7+CS8-DB7,IF(A8&lt;'Données projet'!$A$140,$CQ$205^A8,IF(A8='Données projet'!$A$140,'Données projet'!$B$140,CT7+CS8-DB7)))</f>
        <v>2.3911751815725792</v>
      </c>
      <c r="CU8" s="18">
        <f>CT8*VLOOKUP('Données projet'!$B$13,Paramètres!$A$1:$I$89,3,0)*VLOOKUP('Données projet'!$B$13,Paramètres!$A$1:$I$89,5,0)</f>
        <v>1.6040003117988864</v>
      </c>
      <c r="CV8" s="14">
        <f t="shared" si="41"/>
        <v>0.69963369196910608</v>
      </c>
      <c r="CW8" s="22">
        <f t="shared" si="13"/>
        <v>4.0121625565625862</v>
      </c>
      <c r="CX8" s="62">
        <f t="shared" si="14"/>
        <v>182.80321043300995</v>
      </c>
      <c r="CY8" s="62">
        <f ca="1">AVERAGE(OFFSET($CX$3,0,0,'Données projet'!$E$13+1,1))-AVERAGE(OFFSET($H$3,0,0,'Données projet'!$E$13+1,1))</f>
        <v>240.40157928925146</v>
      </c>
      <c r="CZ8" s="62">
        <f t="shared" si="42"/>
        <v>160.5013084380258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1.2</v>
      </c>
      <c r="DO8" s="13">
        <f>IF('Données projet'!$A$166&gt;35,DO7+DN8-DW7,IF(A8&lt;'Données projet'!$A$166,$DL$205^A8,IF(A8='Données projet'!$A$166,'Données projet'!$B$166,DO7+DN8-DW7)))</f>
        <v>1.9743504858348202</v>
      </c>
      <c r="DP8" s="18">
        <f>DO8*VLOOKUP('Données projet'!$B$14,Paramètres!$A$1:$I$89,3,0)*VLOOKUP('Données projet'!$B$14,Paramètres!$A$1:$I$89,5,0)</f>
        <v>1.9095917898994379</v>
      </c>
      <c r="DQ8" s="14">
        <f t="shared" si="43"/>
        <v>0.81618972839261894</v>
      </c>
      <c r="DR8" s="22">
        <f t="shared" si="16"/>
        <v>4.7474028110253315</v>
      </c>
      <c r="DS8" s="62">
        <f t="shared" si="17"/>
        <v>183.53845068747268</v>
      </c>
      <c r="DT8" s="62">
        <f ca="1">AVERAGE(OFFSET($DS$3,0,0,'Données projet'!$E$14+1,1))-AVERAGE(OFFSET($H$3,0,0,'Données projet'!$E$14+1,1))</f>
        <v>398.93296311353788</v>
      </c>
      <c r="DU8" s="62">
        <f t="shared" si="44"/>
        <v>173.19148969173838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0.9</v>
      </c>
      <c r="EJ8" s="13">
        <f>IF('Données projet'!$A$192&gt;35,EJ7+EI8-ER7,IF(A8&lt;'Données projet'!$A$192,$EG$205^A8,IF(A8='Données projet'!$A$192,'Données projet'!$B$192,EJ7+EI8-ER7)))</f>
        <v>2.0597671439071181</v>
      </c>
      <c r="EK8" s="18">
        <f>EJ8*VLOOKUP('Données projet'!$B$15,Paramètres!$A$1:$I$89,3,0)*VLOOKUP('Données projet'!$B$15,Paramètres!$A$1:$I$89,5,0)</f>
        <v>1.7994125769172586</v>
      </c>
      <c r="EL8" s="14">
        <f t="shared" si="45"/>
        <v>0.77443611390200762</v>
      </c>
      <c r="EM8" s="22">
        <f t="shared" si="19"/>
        <v>4.4827864698435551</v>
      </c>
      <c r="EN8" s="62">
        <f t="shared" si="20"/>
        <v>183.2738343462909</v>
      </c>
      <c r="EO8" s="62">
        <f ca="1">AVERAGE(OFFSET($EN$3,0,0,'Données projet'!$E$15+1,1))-AVERAGE(OFFSET($H$3,0,0,'Données projet'!$E$15+1,1))</f>
        <v>226.37420733783091</v>
      </c>
      <c r="EP8" s="62">
        <f t="shared" si="46"/>
        <v>204.10961748628714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6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9">
        <f t="shared" si="1"/>
        <v>183.33333333333334</v>
      </c>
      <c r="I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3.5</v>
      </c>
      <c r="N9" s="14">
        <f>IF('Données projet'!$A$36&gt;35,N8+M9-V8,IF(A9&lt;'Données projet'!$A$36,$K$205^A9,IF(A9='Données projet'!$A$36,'Données projet'!$B$36,N8+M9-V8)))</f>
        <v>2.5365174816357361</v>
      </c>
      <c r="O9" s="14">
        <f>N9*VLOOKUP('Données projet'!$B$9,Paramètres!$A$1:$I$89,3,0)*VLOOKUP('Données projet'!$B$9,Paramètres!$A$1:$I$89,5,0)</f>
        <v>1.4838627267569058</v>
      </c>
      <c r="P9" s="14">
        <f t="shared" si="33"/>
        <v>0.65312387702714814</v>
      </c>
      <c r="Q9" s="22">
        <f t="shared" si="2"/>
        <v>3.721918334923894</v>
      </c>
      <c r="R9" s="62">
        <f t="shared" si="0"/>
        <v>185.19217043118286</v>
      </c>
      <c r="S9" s="62">
        <f ca="1">AVERAGE(OFFSET($R$3,0,0,'Données projet'!$E$9+1,1))-AVERAGE(OFFSET($H$3,0,0,'Données projet'!$E$9+1,1))</f>
        <v>196.48726929442091</v>
      </c>
      <c r="T9" s="62">
        <f t="shared" si="34"/>
        <v>193.28400454669347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1.2</v>
      </c>
      <c r="AI9" s="14">
        <f>IF('Données projet'!$A$62&gt;35,AI8+AH9-AQ8,IF(A9&lt;'Données projet'!$A$62,$AF$205^A9,IF(A9='Données projet'!$A$62,'Données projet'!$B$62,AI8+AH9-AQ8)))</f>
        <v>2.2620859438457455</v>
      </c>
      <c r="AJ9" s="14">
        <f>AI9*VLOOKUP('Données projet'!$B$10,Paramètres!$A$1:$I$89,3,0)*VLOOKUP('Données projet'!$B$10,Paramètres!$A$1:$I$89,5,0)</f>
        <v>2.2937551470595863</v>
      </c>
      <c r="AK9" s="14">
        <f t="shared" si="35"/>
        <v>0.95969104787443238</v>
      </c>
      <c r="AL9" s="22">
        <f t="shared" si="4"/>
        <v>5.6664187895100824</v>
      </c>
      <c r="AM9" s="62">
        <f t="shared" si="5"/>
        <v>187.13667088576906</v>
      </c>
      <c r="AN9" s="62">
        <f ca="1">AVERAGE(OFFSET($AM$3,0,0,'Données projet'!$E$10+1,1))-AVERAGE(OFFSET($H$3,0,0,'Données projet'!$E$10+1,1))</f>
        <v>414.29294334114661</v>
      </c>
      <c r="AO9" s="62">
        <f t="shared" si="36"/>
        <v>178.72086185623849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1.2</v>
      </c>
      <c r="BD9" s="13">
        <f>IF('Données projet'!$A$88&gt;35,BD8+BC9-BL8,IF(A9&lt;'Données projet'!$A$88,$BA$205^A9,IF(A9='Données projet'!$A$88,'Données projet'!$B$88,BD8+BC9-BL8)))</f>
        <v>2.2620859438457455</v>
      </c>
      <c r="BE9" s="14">
        <f>BD9*VLOOKUP('Données projet'!$B$11,Paramètres!$A$1:$I$89,3,0)*VLOOKUP('Données projet'!$B$11,Paramètres!$A$1:$I$89,5,0)</f>
        <v>2.4349093099555601</v>
      </c>
      <c r="BF9" s="14">
        <f t="shared" si="37"/>
        <v>1.0116918660706939</v>
      </c>
      <c r="BG9" s="22">
        <f t="shared" si="7"/>
        <v>6.0028303815790593</v>
      </c>
      <c r="BH9" s="62">
        <f t="shared" si="8"/>
        <v>187.47308247783803</v>
      </c>
      <c r="BI9" s="62">
        <f ca="1">AVERAGE(OFFSET($BH$3,0,0,'Données projet'!$E$11+1,1))-AVERAGE(OFFSET($H$3,0,0,'Données projet'!$E$11+1,1))</f>
        <v>434.74983403680108</v>
      </c>
      <c r="BJ9" s="62">
        <f t="shared" si="38"/>
        <v>186.0840067781198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1.6346153846153846</v>
      </c>
      <c r="BY9" s="13">
        <f>IF('Données projet'!$A$114&gt;35,BY8+BX9-CG8,IF(A9&lt;'Données projet'!$A$114,$BV$205^A9,IF(A9='Données projet'!$A$114,'Données projet'!$B$114,BY8+BX9-CG8)))</f>
        <v>2.8466473785911686</v>
      </c>
      <c r="BZ9" s="14">
        <f>BY9*VLOOKUP('Données projet'!$B$12,Paramètres!$A$1:$I$89,3,0)*VLOOKUP('Données projet'!$B$12,Paramètres!$A$1:$I$89,5,0)</f>
        <v>2.4424234508312228</v>
      </c>
      <c r="CA9" s="14">
        <f t="shared" si="39"/>
        <v>1.014450045969403</v>
      </c>
      <c r="CB9" s="22">
        <f t="shared" si="10"/>
        <v>6.0207213402610904</v>
      </c>
      <c r="CC9" s="62">
        <f t="shared" si="11"/>
        <v>187.49097343652005</v>
      </c>
      <c r="CD9" s="62">
        <f ca="1">AVERAGE(OFFSET($CC$3,0,0,'Données projet'!$E$12+1,1))-AVERAGE(OFFSET($H$3,0,0,'Données projet'!$E$12+1,1))</f>
        <v>288.24759203983547</v>
      </c>
      <c r="CE9" s="62">
        <f t="shared" si="40"/>
        <v>188.86613033148794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1.6346153846153846</v>
      </c>
      <c r="CT9" s="13">
        <f>IF('Données projet'!$A$140&gt;35,CT8+CS9-DB8,IF(A9&lt;'Données projet'!$A$140,$CQ$205^A9,IF(A9='Données projet'!$A$140,'Données projet'!$B$140,CT8+CS9-DB8)))</f>
        <v>2.8466473785911686</v>
      </c>
      <c r="CU9" s="18">
        <f>CT9*VLOOKUP('Données projet'!$B$13,Paramètres!$A$1:$I$89,3,0)*VLOOKUP('Données projet'!$B$13,Paramètres!$A$1:$I$89,5,0)</f>
        <v>1.909531061558956</v>
      </c>
      <c r="CV9" s="14">
        <f t="shared" si="41"/>
        <v>0.81616679340497278</v>
      </c>
      <c r="CW9" s="22">
        <f t="shared" si="13"/>
        <v>4.7472570973955088</v>
      </c>
      <c r="CX9" s="62">
        <f t="shared" si="14"/>
        <v>186.21750919365448</v>
      </c>
      <c r="CY9" s="62">
        <f ca="1">AVERAGE(OFFSET($CX$3,0,0,'Données projet'!$E$13+1,1))-AVERAGE(OFFSET($H$3,0,0,'Données projet'!$E$13+1,1))</f>
        <v>240.40157928925146</v>
      </c>
      <c r="CZ9" s="62">
        <f t="shared" si="42"/>
        <v>160.5013084380258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1.2</v>
      </c>
      <c r="DO9" s="13">
        <f>IF('Données projet'!$A$166&gt;35,DO8+DN9-DW8,IF(A9&lt;'Données projet'!$A$166,$DL$205^A9,IF(A9='Données projet'!$A$166,'Données projet'!$B$166,DO8+DN9-DW8)))</f>
        <v>2.2620859438457455</v>
      </c>
      <c r="DP9" s="18">
        <f>DO9*VLOOKUP('Données projet'!$B$14,Paramètres!$A$1:$I$89,3,0)*VLOOKUP('Données projet'!$B$14,Paramètres!$A$1:$I$89,5,0)</f>
        <v>2.1878895248876051</v>
      </c>
      <c r="DQ9" s="14">
        <f t="shared" si="43"/>
        <v>0.92044638962272363</v>
      </c>
      <c r="DR9" s="22">
        <f t="shared" si="16"/>
        <v>5.4136850511054888</v>
      </c>
      <c r="DS9" s="62">
        <f t="shared" si="17"/>
        <v>186.88393714736446</v>
      </c>
      <c r="DT9" s="62">
        <f ca="1">AVERAGE(OFFSET($DS$3,0,0,'Données projet'!$E$14+1,1))-AVERAGE(OFFSET($H$3,0,0,'Données projet'!$E$14+1,1))</f>
        <v>398.93296311353788</v>
      </c>
      <c r="DU9" s="62">
        <f t="shared" si="44"/>
        <v>173.19148969173838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0.9</v>
      </c>
      <c r="EJ9" s="13">
        <f>IF('Données projet'!$A$192&gt;35,EJ8+EI9-ER8,IF(A9&lt;'Données projet'!$A$192,$EG$205^A9,IF(A9='Données projet'!$A$192,'Données projet'!$B$192,EJ8+EI9-ER8)))</f>
        <v>2.3800262745964411</v>
      </c>
      <c r="EK9" s="18">
        <f>EJ9*VLOOKUP('Données projet'!$B$15,Paramètres!$A$1:$I$89,3,0)*VLOOKUP('Données projet'!$B$15,Paramètres!$A$1:$I$89,5,0)</f>
        <v>2.0791909534874513</v>
      </c>
      <c r="EL9" s="14">
        <f t="shared" si="45"/>
        <v>0.87992070356451979</v>
      </c>
      <c r="EM9" s="22">
        <f t="shared" si="19"/>
        <v>5.1537861360321822</v>
      </c>
      <c r="EN9" s="62">
        <f t="shared" si="20"/>
        <v>186.62403823229116</v>
      </c>
      <c r="EO9" s="62">
        <f ca="1">AVERAGE(OFFSET($EN$3,0,0,'Données projet'!$E$15+1,1))-AVERAGE(OFFSET($H$3,0,0,'Données projet'!$E$15+1,1))</f>
        <v>226.37420733783091</v>
      </c>
      <c r="EP9" s="62">
        <f t="shared" si="46"/>
        <v>204.10961748628714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6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9">
        <f t="shared" si="1"/>
        <v>183.33333333333334</v>
      </c>
      <c r="I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3.5</v>
      </c>
      <c r="N10" s="14">
        <f>IF('Données projet'!$A$36&gt;35,N9+M10-V9,IF(A10&lt;'Données projet'!$A$36,$K$205^A10,IF(A10='Données projet'!$A$36,'Données projet'!$B$36,N9+M10-V9)))</f>
        <v>2.9621758468904469</v>
      </c>
      <c r="O10" s="14">
        <f>N10*VLOOKUP('Données projet'!$B$9,Paramètres!$A$1:$I$89,3,0)*VLOOKUP('Données projet'!$B$9,Paramètres!$A$1:$I$89,5,0)</f>
        <v>1.7328728704309115</v>
      </c>
      <c r="P10" s="14">
        <f t="shared" si="33"/>
        <v>0.74907675977788957</v>
      </c>
      <c r="Q10" s="22">
        <f t="shared" si="2"/>
        <v>4.3227289392803279</v>
      </c>
      <c r="R10" s="62">
        <f t="shared" si="0"/>
        <v>188.44690987501656</v>
      </c>
      <c r="S10" s="62">
        <f ca="1">AVERAGE(OFFSET($R$3,0,0,'Données projet'!$E$9+1,1))-AVERAGE(OFFSET($H$3,0,0,'Données projet'!$E$9+1,1))</f>
        <v>196.48726929442091</v>
      </c>
      <c r="T10" s="62">
        <f t="shared" si="34"/>
        <v>193.28400454669347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1.2</v>
      </c>
      <c r="AI10" s="14">
        <f>IF('Données projet'!$A$62&gt;35,AI9+AH10-AQ9,IF(A10&lt;'Données projet'!$A$62,$AF$205^A10,IF(A10='Données projet'!$A$62,'Données projet'!$B$62,AI9+AH10-AQ9)))</f>
        <v>2.5917550374450604</v>
      </c>
      <c r="AJ10" s="14">
        <f>AI10*VLOOKUP('Données projet'!$B$10,Paramètres!$A$1:$I$89,3,0)*VLOOKUP('Données projet'!$B$10,Paramètres!$A$1:$I$89,5,0)</f>
        <v>2.6280396079692911</v>
      </c>
      <c r="AK10" s="14">
        <f t="shared" si="35"/>
        <v>1.082277967291873</v>
      </c>
      <c r="AL10" s="22">
        <f t="shared" si="4"/>
        <v>6.4621364435798609</v>
      </c>
      <c r="AM10" s="62">
        <f t="shared" si="5"/>
        <v>190.58631737931609</v>
      </c>
      <c r="AN10" s="62">
        <f ca="1">AVERAGE(OFFSET($AM$3,0,0,'Données projet'!$E$10+1,1))-AVERAGE(OFFSET($H$3,0,0,'Données projet'!$E$10+1,1))</f>
        <v>414.29294334114661</v>
      </c>
      <c r="AO10" s="62">
        <f t="shared" si="36"/>
        <v>178.72086185623849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1.2</v>
      </c>
      <c r="BD10" s="13">
        <f>IF('Données projet'!$A$88&gt;35,BD9+BC10-BL9,IF(A10&lt;'Données projet'!$A$88,$BA$205^A10,IF(A10='Données projet'!$A$88,'Données projet'!$B$88,BD9+BC10-BL9)))</f>
        <v>2.5917550374450604</v>
      </c>
      <c r="BE10" s="14">
        <f>BD10*VLOOKUP('Données projet'!$B$11,Paramètres!$A$1:$I$89,3,0)*VLOOKUP('Données projet'!$B$11,Paramètres!$A$1:$I$89,5,0)</f>
        <v>2.7897651223058633</v>
      </c>
      <c r="BF10" s="14">
        <f t="shared" si="37"/>
        <v>1.1409211524498617</v>
      </c>
      <c r="BG10" s="22">
        <f t="shared" si="7"/>
        <v>6.8459452618662198</v>
      </c>
      <c r="BH10" s="62">
        <f t="shared" si="8"/>
        <v>190.97012619760244</v>
      </c>
      <c r="BI10" s="62">
        <f ca="1">AVERAGE(OFFSET($BH$3,0,0,'Données projet'!$E$11+1,1))-AVERAGE(OFFSET($H$3,0,0,'Données projet'!$E$11+1,1))</f>
        <v>434.74983403680108</v>
      </c>
      <c r="BJ10" s="62">
        <f t="shared" si="38"/>
        <v>186.0840067781198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1.6346153846153846</v>
      </c>
      <c r="BY10" s="13">
        <f>IF('Données projet'!$A$114&gt;35,BY9+BX10-CG9,IF(A10&lt;'Données projet'!$A$114,$BV$205^A10,IF(A10='Données projet'!$A$114,'Données projet'!$B$114,BY9+BX10-CG9)))</f>
        <v>3.3888781384518603</v>
      </c>
      <c r="BZ10" s="14">
        <f>BY10*VLOOKUP('Données projet'!$B$12,Paramètres!$A$1:$I$89,3,0)*VLOOKUP('Données projet'!$B$12,Paramètres!$A$1:$I$89,5,0)</f>
        <v>2.9076574427916966</v>
      </c>
      <c r="CA10" s="14">
        <f t="shared" si="39"/>
        <v>1.1834199104364109</v>
      </c>
      <c r="CB10" s="22">
        <f t="shared" si="10"/>
        <v>7.1252930568722874</v>
      </c>
      <c r="CC10" s="62">
        <f t="shared" si="11"/>
        <v>191.24947399260853</v>
      </c>
      <c r="CD10" s="62">
        <f ca="1">AVERAGE(OFFSET($CC$3,0,0,'Données projet'!$E$12+1,1))-AVERAGE(OFFSET($H$3,0,0,'Données projet'!$E$12+1,1))</f>
        <v>288.24759203983547</v>
      </c>
      <c r="CE10" s="62">
        <f t="shared" si="40"/>
        <v>188.86613033148794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1.6346153846153846</v>
      </c>
      <c r="CT10" s="13">
        <f>IF('Données projet'!$A$140&gt;35,CT9+CS10-DB9,IF(A10&lt;'Données projet'!$A$140,$CQ$205^A10,IF(A10='Données projet'!$A$140,'Données projet'!$B$140,CT9+CS10-DB9)))</f>
        <v>3.3888781384518603</v>
      </c>
      <c r="CU10" s="18">
        <f>CT10*VLOOKUP('Données projet'!$B$13,Paramètres!$A$1:$I$89,3,0)*VLOOKUP('Données projet'!$B$13,Paramètres!$A$1:$I$89,5,0)</f>
        <v>2.2732594552735081</v>
      </c>
      <c r="CV10" s="14">
        <f t="shared" si="41"/>
        <v>0.95211000028050363</v>
      </c>
      <c r="CW10" s="22">
        <f t="shared" si="13"/>
        <v>5.6175184684232375</v>
      </c>
      <c r="CX10" s="62">
        <f t="shared" si="14"/>
        <v>189.74169940415948</v>
      </c>
      <c r="CY10" s="62">
        <f ca="1">AVERAGE(OFFSET($CX$3,0,0,'Données projet'!$E$13+1,1))-AVERAGE(OFFSET($H$3,0,0,'Données projet'!$E$13+1,1))</f>
        <v>240.40157928925146</v>
      </c>
      <c r="CZ10" s="62">
        <f t="shared" si="42"/>
        <v>160.5013084380258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1.2</v>
      </c>
      <c r="DO10" s="13">
        <f>IF('Données projet'!$A$166&gt;35,DO9+DN10-DW9,IF(A10&lt;'Données projet'!$A$166,$DL$205^A10,IF(A10='Données projet'!$A$166,'Données projet'!$B$166,DO9+DN10-DW9)))</f>
        <v>2.5917550374450604</v>
      </c>
      <c r="DP10" s="18">
        <f>DO10*VLOOKUP('Données projet'!$B$14,Paramètres!$A$1:$I$89,3,0)*VLOOKUP('Données projet'!$B$14,Paramètres!$A$1:$I$89,5,0)</f>
        <v>2.5067454722168625</v>
      </c>
      <c r="DQ10" s="14">
        <f t="shared" si="43"/>
        <v>1.038020360582093</v>
      </c>
      <c r="DR10" s="22">
        <f t="shared" si="16"/>
        <v>6.1738004921248475</v>
      </c>
      <c r="DS10" s="62">
        <f t="shared" si="17"/>
        <v>190.29798142786109</v>
      </c>
      <c r="DT10" s="62">
        <f ca="1">AVERAGE(OFFSET($DS$3,0,0,'Données projet'!$E$14+1,1))-AVERAGE(OFFSET($H$3,0,0,'Données projet'!$E$14+1,1))</f>
        <v>398.93296311353788</v>
      </c>
      <c r="DU10" s="62">
        <f t="shared" si="44"/>
        <v>173.19148969173838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0.9</v>
      </c>
      <c r="EJ10" s="13">
        <f>IF('Données projet'!$A$192&gt;35,EJ9+EI10-ER9,IF(A10&lt;'Données projet'!$A$192,$EG$205^A10,IF(A10='Données projet'!$A$192,'Données projet'!$B$192,EJ9+EI10-ER9)))</f>
        <v>2.7500803110319185</v>
      </c>
      <c r="EK10" s="18">
        <f>EJ10*VLOOKUP('Données projet'!$B$15,Paramètres!$A$1:$I$89,3,0)*VLOOKUP('Données projet'!$B$15,Paramètres!$A$1:$I$89,5,0)</f>
        <v>2.4024701597174842</v>
      </c>
      <c r="EL10" s="14">
        <f t="shared" si="45"/>
        <v>0.9997731648390682</v>
      </c>
      <c r="EM10" s="22">
        <f t="shared" si="19"/>
        <v>5.9255737902693291</v>
      </c>
      <c r="EN10" s="62">
        <f t="shared" si="20"/>
        <v>190.04975472600557</v>
      </c>
      <c r="EO10" s="62">
        <f ca="1">AVERAGE(OFFSET($EN$3,0,0,'Données projet'!$E$15+1,1))-AVERAGE(OFFSET($H$3,0,0,'Données projet'!$E$15+1,1))</f>
        <v>226.37420733783091</v>
      </c>
      <c r="EP10" s="62">
        <f t="shared" si="46"/>
        <v>204.10961748628714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6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9">
        <f t="shared" si="1"/>
        <v>183.33333333333334</v>
      </c>
      <c r="I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3.5</v>
      </c>
      <c r="N11" s="14">
        <f>IF('Données projet'!$A$36&gt;35,N10+M11-V10,IF(A11&lt;'Données projet'!$A$36,$K$205^A11,IF(A11='Données projet'!$A$36,'Données projet'!$B$36,N10+M11-V10)))</f>
        <v>3.4592648430093589</v>
      </c>
      <c r="O11" s="14">
        <f>N11*VLOOKUP('Données projet'!$B$9,Paramètres!$A$1:$I$89,3,0)*VLOOKUP('Données projet'!$B$9,Paramètres!$A$1:$I$89,5,0)</f>
        <v>2.0236699331604751</v>
      </c>
      <c r="P11" s="14">
        <f t="shared" si="33"/>
        <v>0.85912644105647751</v>
      </c>
      <c r="Q11" s="22">
        <f t="shared" si="2"/>
        <v>5.0208703517611921</v>
      </c>
      <c r="R11" s="62">
        <f t="shared" si="0"/>
        <v>191.77414321798176</v>
      </c>
      <c r="S11" s="62">
        <f ca="1">AVERAGE(OFFSET($R$3,0,0,'Données projet'!$E$9+1,1))-AVERAGE(OFFSET($H$3,0,0,'Données projet'!$E$9+1,1))</f>
        <v>196.48726929442091</v>
      </c>
      <c r="T11" s="62">
        <f t="shared" si="34"/>
        <v>193.28400454669347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1.2</v>
      </c>
      <c r="AI11" s="14">
        <f>IF('Données projet'!$A$62&gt;35,AI10+AH11-AQ10,IF(A11&lt;'Données projet'!$A$62,$AF$205^A11,IF(A11='Données projet'!$A$62,'Données projet'!$B$62,AI10+AH11-AQ10)))</f>
        <v>2.9694690391391689</v>
      </c>
      <c r="AJ11" s="14">
        <f>AI11*VLOOKUP('Données projet'!$B$10,Paramètres!$A$1:$I$89,3,0)*VLOOKUP('Données projet'!$B$10,Paramètres!$A$1:$I$89,5,0)</f>
        <v>3.0110416056871174</v>
      </c>
      <c r="AK11" s="14">
        <f t="shared" si="35"/>
        <v>1.2205236269315363</v>
      </c>
      <c r="AL11" s="22">
        <f t="shared" si="4"/>
        <v>7.3699761134774882</v>
      </c>
      <c r="AM11" s="62">
        <f t="shared" si="5"/>
        <v>194.12324897969805</v>
      </c>
      <c r="AN11" s="62">
        <f ca="1">AVERAGE(OFFSET($AM$3,0,0,'Données projet'!$E$10+1,1))-AVERAGE(OFFSET($H$3,0,0,'Données projet'!$E$10+1,1))</f>
        <v>414.29294334114661</v>
      </c>
      <c r="AO11" s="62">
        <f t="shared" si="36"/>
        <v>178.72086185623849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1.2</v>
      </c>
      <c r="BD11" s="13">
        <f>IF('Données projet'!$A$88&gt;35,BD10+BC11-BL10,IF(A11&lt;'Données projet'!$A$88,$BA$205^A11,IF(A11='Données projet'!$A$88,'Données projet'!$B$88,BD10+BC11-BL10)))</f>
        <v>2.9694690391391689</v>
      </c>
      <c r="BE11" s="14">
        <f>BD11*VLOOKUP('Données projet'!$B$11,Paramètres!$A$1:$I$89,3,0)*VLOOKUP('Données projet'!$B$11,Paramètres!$A$1:$I$89,5,0)</f>
        <v>3.1963364737294016</v>
      </c>
      <c r="BF11" s="14">
        <f t="shared" si="37"/>
        <v>1.28665764721742</v>
      </c>
      <c r="BG11" s="22">
        <f t="shared" si="7"/>
        <v>7.8078814273157144</v>
      </c>
      <c r="BH11" s="62">
        <f t="shared" si="8"/>
        <v>194.56115429353628</v>
      </c>
      <c r="BI11" s="62">
        <f ca="1">AVERAGE(OFFSET($BH$3,0,0,'Données projet'!$E$11+1,1))-AVERAGE(OFFSET($H$3,0,0,'Données projet'!$E$11+1,1))</f>
        <v>434.74983403680108</v>
      </c>
      <c r="BJ11" s="62">
        <f t="shared" si="38"/>
        <v>186.0840067781198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1.6346153846153846</v>
      </c>
      <c r="BY11" s="13">
        <f>IF('Données projet'!$A$114&gt;35,BY10+BX11-CG10,IF(A11&lt;'Données projet'!$A$114,$BV$205^A11,IF(A11='Données projet'!$A$114,'Données projet'!$B$114,BY10+BX11-CG10)))</f>
        <v>4.034393273873186</v>
      </c>
      <c r="BZ11" s="14">
        <f>BY11*VLOOKUP('Données projet'!$B$12,Paramètres!$A$1:$I$89,3,0)*VLOOKUP('Données projet'!$B$12,Paramètres!$A$1:$I$89,5,0)</f>
        <v>3.4615094289831938</v>
      </c>
      <c r="CA11" s="14">
        <f t="shared" si="39"/>
        <v>1.3805339060131132</v>
      </c>
      <c r="CB11" s="22">
        <f t="shared" si="10"/>
        <v>8.4332254751185669</v>
      </c>
      <c r="CC11" s="62">
        <f t="shared" si="11"/>
        <v>195.18649834133913</v>
      </c>
      <c r="CD11" s="62">
        <f ca="1">AVERAGE(OFFSET($CC$3,0,0,'Données projet'!$E$12+1,1))-AVERAGE(OFFSET($H$3,0,0,'Données projet'!$E$12+1,1))</f>
        <v>288.24759203983547</v>
      </c>
      <c r="CE11" s="62">
        <f t="shared" si="40"/>
        <v>188.86613033148794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1.6346153846153846</v>
      </c>
      <c r="CT11" s="13">
        <f>IF('Données projet'!$A$140&gt;35,CT10+CS11-DB10,IF(A11&lt;'Données projet'!$A$140,$CQ$205^A11,IF(A11='Données projet'!$A$140,'Données projet'!$B$140,CT10+CS11-DB10)))</f>
        <v>4.034393273873186</v>
      </c>
      <c r="CU11" s="18">
        <f>CT11*VLOOKUP('Données projet'!$B$13,Paramètres!$A$1:$I$89,3,0)*VLOOKUP('Données projet'!$B$13,Paramètres!$A$1:$I$89,5,0)</f>
        <v>2.7062710081141335</v>
      </c>
      <c r="CV11" s="14">
        <f t="shared" si="41"/>
        <v>1.1106963183986573</v>
      </c>
      <c r="CW11" s="22">
        <f t="shared" si="13"/>
        <v>6.6478847603431106</v>
      </c>
      <c r="CX11" s="62">
        <f t="shared" si="14"/>
        <v>193.40115762656367</v>
      </c>
      <c r="CY11" s="62">
        <f ca="1">AVERAGE(OFFSET($CX$3,0,0,'Données projet'!$E$13+1,1))-AVERAGE(OFFSET($H$3,0,0,'Données projet'!$E$13+1,1))</f>
        <v>240.40157928925146</v>
      </c>
      <c r="CZ11" s="62">
        <f t="shared" si="42"/>
        <v>160.5013084380258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1.2</v>
      </c>
      <c r="DO11" s="13">
        <f>IF('Données projet'!$A$166&gt;35,DO10+DN11-DW10,IF(A11&lt;'Données projet'!$A$166,$DL$205^A11,IF(A11='Données projet'!$A$166,'Données projet'!$B$166,DO10+DN11-DW10)))</f>
        <v>2.9694690391391689</v>
      </c>
      <c r="DP11" s="18">
        <f>DO11*VLOOKUP('Données projet'!$B$14,Paramètres!$A$1:$I$89,3,0)*VLOOKUP('Données projet'!$B$14,Paramètres!$A$1:$I$89,5,0)</f>
        <v>2.8720704546554043</v>
      </c>
      <c r="DQ11" s="14">
        <f t="shared" si="43"/>
        <v>1.1706127387002112</v>
      </c>
      <c r="DR11" s="22">
        <f t="shared" si="16"/>
        <v>7.04100656176103</v>
      </c>
      <c r="DS11" s="62">
        <f t="shared" si="17"/>
        <v>193.79427942798159</v>
      </c>
      <c r="DT11" s="62">
        <f ca="1">AVERAGE(OFFSET($DS$3,0,0,'Données projet'!$E$14+1,1))-AVERAGE(OFFSET($H$3,0,0,'Données projet'!$E$14+1,1))</f>
        <v>398.93296311353788</v>
      </c>
      <c r="DU11" s="62">
        <f t="shared" si="44"/>
        <v>173.19148969173838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0.9</v>
      </c>
      <c r="EJ11" s="13">
        <f>IF('Données projet'!$A$192&gt;35,EJ10+EI11-ER10,IF(A11&lt;'Données projet'!$A$192,$EG$205^A11,IF(A11='Données projet'!$A$192,'Données projet'!$B$192,EJ10+EI11-ER10)))</f>
        <v>3.1776715231464374</v>
      </c>
      <c r="EK11" s="18">
        <f>EJ11*VLOOKUP('Données projet'!$B$15,Paramètres!$A$1:$I$89,3,0)*VLOOKUP('Données projet'!$B$15,Paramètres!$A$1:$I$89,5,0)</f>
        <v>2.7760138426207281</v>
      </c>
      <c r="EL11" s="14">
        <f t="shared" si="45"/>
        <v>1.135950520408497</v>
      </c>
      <c r="EM11" s="22">
        <f t="shared" si="19"/>
        <v>6.8133379322758998</v>
      </c>
      <c r="EN11" s="62">
        <f t="shared" si="20"/>
        <v>193.56661079849647</v>
      </c>
      <c r="EO11" s="62">
        <f ca="1">AVERAGE(OFFSET($EN$3,0,0,'Données projet'!$E$15+1,1))-AVERAGE(OFFSET($H$3,0,0,'Données projet'!$E$15+1,1))</f>
        <v>226.37420733783091</v>
      </c>
      <c r="EP11" s="62">
        <f t="shared" si="46"/>
        <v>204.10961748628714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6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9">
        <f t="shared" si="1"/>
        <v>183.33333333333334</v>
      </c>
      <c r="I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3.5</v>
      </c>
      <c r="N12" s="14">
        <f>IF('Données projet'!$A$36&gt;35,N11+M12-V11,IF(A12&lt;'Données projet'!$A$36,$K$205^A12,IF(A12='Données projet'!$A$36,'Données projet'!$B$36,N11+M12-V11)))</f>
        <v>4.0397713952878407</v>
      </c>
      <c r="O12" s="14">
        <f>N12*VLOOKUP('Données projet'!$B$9,Paramètres!$A$1:$I$89,3,0)*VLOOKUP('Données projet'!$B$9,Paramètres!$A$1:$I$89,5,0)</f>
        <v>2.3632662662433872</v>
      </c>
      <c r="P12" s="14">
        <f t="shared" si="33"/>
        <v>0.98534393450041657</v>
      </c>
      <c r="Q12" s="22">
        <f t="shared" si="2"/>
        <v>5.8321627662954576</v>
      </c>
      <c r="R12" s="62">
        <f t="shared" si="0"/>
        <v>195.19012151885153</v>
      </c>
      <c r="S12" s="62">
        <f ca="1">AVERAGE(OFFSET($R$3,0,0,'Données projet'!$E$9+1,1))-AVERAGE(OFFSET($H$3,0,0,'Données projet'!$E$9+1,1))</f>
        <v>196.48726929442091</v>
      </c>
      <c r="T12" s="62">
        <f t="shared" si="34"/>
        <v>193.28400454669347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1.2</v>
      </c>
      <c r="AI12" s="14">
        <f>IF('Données projet'!$A$62&gt;35,AI11+AH12-AQ11,IF(A12&lt;'Données projet'!$A$62,$AF$205^A12,IF(A12='Données projet'!$A$62,'Données projet'!$B$62,AI11+AH12-AQ11)))</f>
        <v>3.4022298585357786</v>
      </c>
      <c r="AJ12" s="14">
        <f>AI12*VLOOKUP('Données projet'!$B$10,Paramètres!$A$1:$I$89,3,0)*VLOOKUP('Données projet'!$B$10,Paramètres!$A$1:$I$89,5,0)</f>
        <v>3.4498610765552797</v>
      </c>
      <c r="AK12" s="14">
        <f t="shared" si="35"/>
        <v>1.3764282087582862</v>
      </c>
      <c r="AL12" s="22">
        <f t="shared" si="4"/>
        <v>8.4057871719211263</v>
      </c>
      <c r="AM12" s="62">
        <f t="shared" si="5"/>
        <v>197.76374592447721</v>
      </c>
      <c r="AN12" s="62">
        <f ca="1">AVERAGE(OFFSET($AM$3,0,0,'Données projet'!$E$10+1,1))-AVERAGE(OFFSET($H$3,0,0,'Données projet'!$E$10+1,1))</f>
        <v>414.29294334114661</v>
      </c>
      <c r="AO12" s="62">
        <f t="shared" si="36"/>
        <v>178.72086185623849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1.2</v>
      </c>
      <c r="BD12" s="13">
        <f>IF('Données projet'!$A$88&gt;35,BD11+BC12-BL11,IF(A12&lt;'Données projet'!$A$88,$BA$205^A12,IF(A12='Données projet'!$A$88,'Données projet'!$B$88,BD11+BC12-BL11)))</f>
        <v>3.4022298585357786</v>
      </c>
      <c r="BE12" s="14">
        <f>BD12*VLOOKUP('Données projet'!$B$11,Paramètres!$A$1:$I$89,3,0)*VLOOKUP('Données projet'!$B$11,Paramètres!$A$1:$I$89,5,0)</f>
        <v>3.6621602197279119</v>
      </c>
      <c r="BF12" s="14">
        <f t="shared" si="37"/>
        <v>1.4510099121120625</v>
      </c>
      <c r="BG12" s="22">
        <f t="shared" si="7"/>
        <v>8.9054379796212881</v>
      </c>
      <c r="BH12" s="62">
        <f t="shared" si="8"/>
        <v>198.26339673217737</v>
      </c>
      <c r="BI12" s="62">
        <f ca="1">AVERAGE(OFFSET($BH$3,0,0,'Données projet'!$E$11+1,1))-AVERAGE(OFFSET($H$3,0,0,'Données projet'!$E$11+1,1))</f>
        <v>434.74983403680108</v>
      </c>
      <c r="BJ12" s="62">
        <f t="shared" si="38"/>
        <v>186.0840067781198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1.6346153846153846</v>
      </c>
      <c r="BY12" s="13">
        <f>IF('Données projet'!$A$114&gt;35,BY11+BX12-CG11,IF(A12&lt;'Données projet'!$A$114,$BV$205^A12,IF(A12='Données projet'!$A$114,'Données projet'!$B$114,BY11+BX12-CG11)))</f>
        <v>4.8028664423173124</v>
      </c>
      <c r="BZ12" s="14">
        <f>BY12*VLOOKUP('Données projet'!$B$12,Paramètres!$A$1:$I$89,3,0)*VLOOKUP('Données projet'!$B$12,Paramètres!$A$1:$I$89,5,0)</f>
        <v>4.1208594075082541</v>
      </c>
      <c r="CA12" s="14">
        <f t="shared" si="39"/>
        <v>1.6104798042049104</v>
      </c>
      <c r="CB12" s="22">
        <f t="shared" si="10"/>
        <v>9.9820824604004272</v>
      </c>
      <c r="CC12" s="62">
        <f t="shared" si="11"/>
        <v>199.34004121295649</v>
      </c>
      <c r="CD12" s="62">
        <f ca="1">AVERAGE(OFFSET($CC$3,0,0,'Données projet'!$E$12+1,1))-AVERAGE(OFFSET($H$3,0,0,'Données projet'!$E$12+1,1))</f>
        <v>288.24759203983547</v>
      </c>
      <c r="CE12" s="62">
        <f t="shared" si="40"/>
        <v>188.86613033148794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1.6346153846153846</v>
      </c>
      <c r="CT12" s="13">
        <f>IF('Données projet'!$A$140&gt;35,CT11+CS12-DB11,IF(A12&lt;'Données projet'!$A$140,$CQ$205^A12,IF(A12='Données projet'!$A$140,'Données projet'!$B$140,CT11+CS12-DB11)))</f>
        <v>4.8028664423173124</v>
      </c>
      <c r="CU12" s="18">
        <f>CT12*VLOOKUP('Données projet'!$B$13,Paramètres!$A$1:$I$89,3,0)*VLOOKUP('Données projet'!$B$13,Paramètres!$A$1:$I$89,5,0)</f>
        <v>3.221762809506453</v>
      </c>
      <c r="CV12" s="14">
        <f t="shared" si="41"/>
        <v>1.2956972527763424</v>
      </c>
      <c r="CW12" s="22">
        <f t="shared" si="13"/>
        <v>7.8679096084758688</v>
      </c>
      <c r="CX12" s="62">
        <f t="shared" si="14"/>
        <v>197.22586836103193</v>
      </c>
      <c r="CY12" s="62">
        <f ca="1">AVERAGE(OFFSET($CX$3,0,0,'Données projet'!$E$13+1,1))-AVERAGE(OFFSET($H$3,0,0,'Données projet'!$E$13+1,1))</f>
        <v>240.40157928925146</v>
      </c>
      <c r="CZ12" s="62">
        <f t="shared" si="42"/>
        <v>160.5013084380258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1.2</v>
      </c>
      <c r="DO12" s="13">
        <f>IF('Données projet'!$A$166&gt;35,DO11+DN12-DW11,IF(A12&lt;'Données projet'!$A$166,$DL$205^A12,IF(A12='Données projet'!$A$166,'Données projet'!$B$166,DO11+DN12-DW11)))</f>
        <v>3.4022298585357786</v>
      </c>
      <c r="DP12" s="18">
        <f>DO12*VLOOKUP('Données projet'!$B$14,Paramètres!$A$1:$I$89,3,0)*VLOOKUP('Données projet'!$B$14,Paramètres!$A$1:$I$89,5,0)</f>
        <v>3.2906367191758048</v>
      </c>
      <c r="DQ12" s="14">
        <f t="shared" si="43"/>
        <v>1.3201419124753617</v>
      </c>
      <c r="DR12" s="22">
        <f t="shared" si="16"/>
        <v>8.0304394501257814</v>
      </c>
      <c r="DS12" s="62">
        <f t="shared" si="17"/>
        <v>197.38839820268186</v>
      </c>
      <c r="DT12" s="62">
        <f ca="1">AVERAGE(OFFSET($DS$3,0,0,'Données projet'!$E$14+1,1))-AVERAGE(OFFSET($H$3,0,0,'Données projet'!$E$14+1,1))</f>
        <v>398.93296311353788</v>
      </c>
      <c r="DU12" s="62">
        <f t="shared" si="44"/>
        <v>173.19148969173838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0.9</v>
      </c>
      <c r="EJ12" s="13">
        <f>IF('Données projet'!$A$192&gt;35,EJ11+EI12-ER11,IF(A12&lt;'Données projet'!$A$192,$EG$205^A12,IF(A12='Données projet'!$A$192,'Données projet'!$B$192,EJ11+EI12-ER11)))</f>
        <v>3.6717459735664435</v>
      </c>
      <c r="EK12" s="18">
        <f>EJ12*VLOOKUP('Données projet'!$B$15,Paramètres!$A$1:$I$89,3,0)*VLOOKUP('Données projet'!$B$15,Paramètres!$A$1:$I$89,5,0)</f>
        <v>3.2076372825076458</v>
      </c>
      <c r="EL12" s="14">
        <f t="shared" si="45"/>
        <v>1.290676355595167</v>
      </c>
      <c r="EM12" s="22">
        <f t="shared" si="19"/>
        <v>7.834562919695732</v>
      </c>
      <c r="EN12" s="62">
        <f t="shared" si="20"/>
        <v>197.19252167225181</v>
      </c>
      <c r="EO12" s="62">
        <f ca="1">AVERAGE(OFFSET($EN$3,0,0,'Données projet'!$E$15+1,1))-AVERAGE(OFFSET($H$3,0,0,'Données projet'!$E$15+1,1))</f>
        <v>226.37420733783091</v>
      </c>
      <c r="EP12" s="62">
        <f t="shared" si="46"/>
        <v>204.10961748628714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6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9">
        <f t="shared" si="1"/>
        <v>183.33333333333334</v>
      </c>
      <c r="I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3.5</v>
      </c>
      <c r="N13" s="14">
        <f>IF('Données projet'!$A$36&gt;35,N12+M13-V12,IF(A13&lt;'Données projet'!$A$36,$K$205^A13,IF(A13='Données projet'!$A$36,'Données projet'!$B$36,N12+M13-V12)))</f>
        <v>4.7176939803165334</v>
      </c>
      <c r="O13" s="14">
        <f>N13*VLOOKUP('Données projet'!$B$9,Paramètres!$A$1:$I$89,3,0)*VLOOKUP('Données projet'!$B$9,Paramètres!$A$1:$I$89,5,0)</f>
        <v>2.7598509784851721</v>
      </c>
      <c r="P13" s="14">
        <f t="shared" si="33"/>
        <v>1.1301045141420989</v>
      </c>
      <c r="Q13" s="22">
        <f t="shared" si="2"/>
        <v>6.7750058163258302</v>
      </c>
      <c r="R13" s="62">
        <f t="shared" si="0"/>
        <v>198.71366780137072</v>
      </c>
      <c r="S13" s="62">
        <f ca="1">AVERAGE(OFFSET($R$3,0,0,'Données projet'!$E$9+1,1))-AVERAGE(OFFSET($H$3,0,0,'Données projet'!$E$9+1,1))</f>
        <v>196.48726929442091</v>
      </c>
      <c r="T13" s="62">
        <f t="shared" si="34"/>
        <v>193.28400454669347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1.2</v>
      </c>
      <c r="AI13" s="14">
        <f>IF('Données projet'!$A$62&gt;35,AI12+AH13-AQ12,IF(A13&lt;'Données projet'!$A$62,$AF$205^A13,IF(A13='Données projet'!$A$62,'Données projet'!$B$62,AI12+AH13-AQ12)))</f>
        <v>3.8980598409161908</v>
      </c>
      <c r="AJ13" s="14">
        <f>AI13*VLOOKUP('Données projet'!$B$10,Paramètres!$A$1:$I$89,3,0)*VLOOKUP('Données projet'!$B$10,Paramètres!$A$1:$I$89,5,0)</f>
        <v>3.9526326786890178</v>
      </c>
      <c r="AK13" s="14">
        <f t="shared" si="35"/>
        <v>1.552247389613062</v>
      </c>
      <c r="AL13" s="22">
        <f t="shared" si="4"/>
        <v>9.5876661189594543</v>
      </c>
      <c r="AM13" s="62">
        <f t="shared" si="5"/>
        <v>201.52632810400434</v>
      </c>
      <c r="AN13" s="62">
        <f ca="1">AVERAGE(OFFSET($AM$3,0,0,'Données projet'!$E$10+1,1))-AVERAGE(OFFSET($H$3,0,0,'Données projet'!$E$10+1,1))</f>
        <v>414.29294334114661</v>
      </c>
      <c r="AO13" s="62">
        <f t="shared" si="36"/>
        <v>178.72086185623849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1.2</v>
      </c>
      <c r="BD13" s="13">
        <f>IF('Données projet'!$A$88&gt;35,BD12+BC13-BL12,IF(A13&lt;'Données projet'!$A$88,$BA$205^A13,IF(A13='Données projet'!$A$88,'Données projet'!$B$88,BD12+BC13-BL12)))</f>
        <v>3.8980598409161908</v>
      </c>
      <c r="BE13" s="14">
        <f>BD13*VLOOKUP('Données projet'!$B$11,Paramètres!$A$1:$I$89,3,0)*VLOOKUP('Données projet'!$B$11,Paramètres!$A$1:$I$89,5,0)</f>
        <v>4.1958716127621871</v>
      </c>
      <c r="BF13" s="14">
        <f t="shared" si="37"/>
        <v>1.63635584772744</v>
      </c>
      <c r="BG13" s="22">
        <f t="shared" si="7"/>
        <v>10.157796160352767</v>
      </c>
      <c r="BH13" s="62">
        <f t="shared" si="8"/>
        <v>202.09645814539766</v>
      </c>
      <c r="BI13" s="62">
        <f ca="1">AVERAGE(OFFSET($BH$3,0,0,'Données projet'!$E$11+1,1))-AVERAGE(OFFSET($H$3,0,0,'Données projet'!$E$11+1,1))</f>
        <v>434.74983403680108</v>
      </c>
      <c r="BJ13" s="62">
        <f t="shared" si="38"/>
        <v>186.0840067781198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1.6346153846153846</v>
      </c>
      <c r="BY13" s="13">
        <f>IF('Données projet'!$A$114&gt;35,BY12+BX13-CG12,IF(A13&lt;'Données projet'!$A$114,$BV$205^A13,IF(A13='Données projet'!$A$114,'Données projet'!$B$114,BY12+BX13-CG12)))</f>
        <v>5.7177187489686574</v>
      </c>
      <c r="BZ13" s="14">
        <f>BY13*VLOOKUP('Données projet'!$B$12,Paramètres!$A$1:$I$89,3,0)*VLOOKUP('Données projet'!$B$12,Paramètres!$A$1:$I$89,5,0)</f>
        <v>4.9058026866151083</v>
      </c>
      <c r="CA13" s="14">
        <f t="shared" si="39"/>
        <v>1.8787261859016238</v>
      </c>
      <c r="CB13" s="22">
        <f t="shared" si="10"/>
        <v>11.816387786299977</v>
      </c>
      <c r="CC13" s="62">
        <f t="shared" si="11"/>
        <v>203.75504977134486</v>
      </c>
      <c r="CD13" s="62">
        <f ca="1">AVERAGE(OFFSET($CC$3,0,0,'Données projet'!$E$12+1,1))-AVERAGE(OFFSET($H$3,0,0,'Données projet'!$E$12+1,1))</f>
        <v>288.24759203983547</v>
      </c>
      <c r="CE13" s="62">
        <f t="shared" si="40"/>
        <v>188.86613033148794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1.6346153846153846</v>
      </c>
      <c r="CT13" s="13">
        <f>IF('Données projet'!$A$140&gt;35,CT12+CS13-DB12,IF(A13&lt;'Données projet'!$A$140,$CQ$205^A13,IF(A13='Données projet'!$A$140,'Données projet'!$B$140,CT12+CS13-DB12)))</f>
        <v>5.7177187489686574</v>
      </c>
      <c r="CU13" s="18">
        <f>CT13*VLOOKUP('Données projet'!$B$13,Paramètres!$A$1:$I$89,3,0)*VLOOKUP('Données projet'!$B$13,Paramètres!$A$1:$I$89,5,0)</f>
        <v>3.8354457368081754</v>
      </c>
      <c r="CV13" s="14">
        <f t="shared" si="41"/>
        <v>1.5115125017003845</v>
      </c>
      <c r="CW13" s="22">
        <f t="shared" si="13"/>
        <v>9.3126189320690731</v>
      </c>
      <c r="CX13" s="62">
        <f t="shared" si="14"/>
        <v>201.25128091711397</v>
      </c>
      <c r="CY13" s="62">
        <f ca="1">AVERAGE(OFFSET($CX$3,0,0,'Données projet'!$E$13+1,1))-AVERAGE(OFFSET($H$3,0,0,'Données projet'!$E$13+1,1))</f>
        <v>240.40157928925146</v>
      </c>
      <c r="CZ13" s="62">
        <f t="shared" si="42"/>
        <v>160.5013084380258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1.2</v>
      </c>
      <c r="DO13" s="13">
        <f>IF('Données projet'!$A$166&gt;35,DO12+DN13-DW12,IF(A13&lt;'Données projet'!$A$166,$DL$205^A13,IF(A13='Données projet'!$A$166,'Données projet'!$B$166,DO12+DN13-DW12)))</f>
        <v>3.8980598409161908</v>
      </c>
      <c r="DP13" s="18">
        <f>DO13*VLOOKUP('Données projet'!$B$14,Paramètres!$A$1:$I$89,3,0)*VLOOKUP('Données projet'!$B$14,Paramètres!$A$1:$I$89,5,0)</f>
        <v>3.7702034781341398</v>
      </c>
      <c r="DQ13" s="14">
        <f t="shared" si="43"/>
        <v>1.4887713173266797</v>
      </c>
      <c r="DR13" s="22">
        <f t="shared" si="16"/>
        <v>9.1593811020942599</v>
      </c>
      <c r="DS13" s="62">
        <f t="shared" si="17"/>
        <v>201.09804308713916</v>
      </c>
      <c r="DT13" s="62">
        <f ca="1">AVERAGE(OFFSET($DS$3,0,0,'Données projet'!$E$14+1,1))-AVERAGE(OFFSET($H$3,0,0,'Données projet'!$E$14+1,1))</f>
        <v>398.93296311353788</v>
      </c>
      <c r="DU13" s="62">
        <f t="shared" si="44"/>
        <v>173.19148969173838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0.9</v>
      </c>
      <c r="EJ13" s="13">
        <f>IF('Données projet'!$A$192&gt;35,EJ12+EI13-ER12,IF(A13&lt;'Données projet'!$A$192,$EG$205^A13,IF(A13='Données projet'!$A$192,'Données projet'!$B$192,EJ12+EI13-ER12)))</f>
        <v>4.2426406871192865</v>
      </c>
      <c r="EK13" s="18">
        <f>EJ13*VLOOKUP('Données projet'!$B$15,Paramètres!$A$1:$I$89,3,0)*VLOOKUP('Données projet'!$B$15,Paramètres!$A$1:$I$89,5,0)</f>
        <v>3.7063709042674091</v>
      </c>
      <c r="EL13" s="14">
        <f t="shared" si="45"/>
        <v>1.4664771263922398</v>
      </c>
      <c r="EM13" s="22">
        <f t="shared" si="19"/>
        <v>9.0093769867322209</v>
      </c>
      <c r="EN13" s="62">
        <f t="shared" si="20"/>
        <v>200.94803897177712</v>
      </c>
      <c r="EO13" s="62">
        <f ca="1">AVERAGE(OFFSET($EN$3,0,0,'Données projet'!$E$15+1,1))-AVERAGE(OFFSET($H$3,0,0,'Données projet'!$E$15+1,1))</f>
        <v>226.37420733783091</v>
      </c>
      <c r="EP13" s="62">
        <f t="shared" si="46"/>
        <v>204.10961748628714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6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9">
        <f t="shared" si="1"/>
        <v>183.33333333333334</v>
      </c>
      <c r="I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3.5</v>
      </c>
      <c r="N14" s="14">
        <f>IF('Données projet'!$A$36&gt;35,N13+M14-V13,IF(A14&lt;'Données projet'!$A$36,$K$205^A14,IF(A14='Données projet'!$A$36,'Données projet'!$B$36,N13+M14-V13)))</f>
        <v>5.5093801886601623</v>
      </c>
      <c r="O14" s="14">
        <f>N14*VLOOKUP('Données projet'!$B$9,Paramètres!$A$1:$I$89,3,0)*VLOOKUP('Données projet'!$B$9,Paramètres!$A$1:$I$89,5,0)</f>
        <v>3.2229874103661955</v>
      </c>
      <c r="P14" s="14">
        <f t="shared" si="33"/>
        <v>1.2961324144466124</v>
      </c>
      <c r="Q14" s="22">
        <f t="shared" si="2"/>
        <v>7.8708003615489739</v>
      </c>
      <c r="R14" s="62">
        <f t="shared" si="0"/>
        <v>202.36659897066312</v>
      </c>
      <c r="S14" s="62">
        <f ca="1">AVERAGE(OFFSET($R$3,0,0,'Données projet'!$E$9+1,1))-AVERAGE(OFFSET($H$3,0,0,'Données projet'!$E$9+1,1))</f>
        <v>196.48726929442091</v>
      </c>
      <c r="T14" s="62">
        <f t="shared" si="34"/>
        <v>193.28400454669347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1.2</v>
      </c>
      <c r="AI14" s="14">
        <f>IF('Données projet'!$A$62&gt;35,AI13+AH14-AQ13,IF(A14&lt;'Données projet'!$A$62,$AF$205^A14,IF(A14='Données projet'!$A$62,'Données projet'!$B$62,AI13+AH14-AQ13)))</f>
        <v>4.4661504822319662</v>
      </c>
      <c r="AJ14" s="14">
        <f>AI14*VLOOKUP('Données projet'!$B$10,Paramètres!$A$1:$I$89,3,0)*VLOOKUP('Données projet'!$B$10,Paramètres!$A$1:$I$89,5,0)</f>
        <v>4.5286765889832141</v>
      </c>
      <c r="AK14" s="14">
        <f t="shared" si="35"/>
        <v>1.7505249770594407</v>
      </c>
      <c r="AL14" s="22">
        <f t="shared" si="4"/>
        <v>10.936276060857622</v>
      </c>
      <c r="AM14" s="62">
        <f t="shared" si="5"/>
        <v>205.43207466997177</v>
      </c>
      <c r="AN14" s="62">
        <f ca="1">AVERAGE(OFFSET($AM$3,0,0,'Données projet'!$E$10+1,1))-AVERAGE(OFFSET($H$3,0,0,'Données projet'!$E$10+1,1))</f>
        <v>414.29294334114661</v>
      </c>
      <c r="AO14" s="62">
        <f t="shared" si="36"/>
        <v>178.72086185623849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1.2</v>
      </c>
      <c r="BD14" s="13">
        <f>IF('Données projet'!$A$88&gt;35,BD13+BC14-BL13,IF(A14&lt;'Données projet'!$A$88,$BA$205^A14,IF(A14='Données projet'!$A$88,'Données projet'!$B$88,BD13+BC14-BL13)))</f>
        <v>4.4661504822319662</v>
      </c>
      <c r="BE14" s="14">
        <f>BD14*VLOOKUP('Données projet'!$B$11,Paramètres!$A$1:$I$89,3,0)*VLOOKUP('Données projet'!$B$11,Paramètres!$A$1:$I$89,5,0)</f>
        <v>4.8073643790744889</v>
      </c>
      <c r="BF14" s="14">
        <f t="shared" si="37"/>
        <v>1.8453770977306692</v>
      </c>
      <c r="BG14" s="22">
        <f t="shared" si="7"/>
        <v>11.586858072102316</v>
      </c>
      <c r="BH14" s="62">
        <f t="shared" si="8"/>
        <v>206.08265668121646</v>
      </c>
      <c r="BI14" s="62">
        <f ca="1">AVERAGE(OFFSET($BH$3,0,0,'Données projet'!$E$11+1,1))-AVERAGE(OFFSET($H$3,0,0,'Données projet'!$E$11+1,1))</f>
        <v>434.74983403680108</v>
      </c>
      <c r="BJ14" s="62">
        <f t="shared" si="38"/>
        <v>186.0840067781198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1.6346153846153846</v>
      </c>
      <c r="BY14" s="13">
        <f>IF('Données projet'!$A$114&gt;35,BY13+BX14-CG13,IF(A14&lt;'Données projet'!$A$114,$BV$205^A14,IF(A14='Données projet'!$A$114,'Données projet'!$B$114,BY13+BX14-CG13)))</f>
        <v>6.8068325623758437</v>
      </c>
      <c r="BZ14" s="14">
        <f>BY14*VLOOKUP('Données projet'!$B$12,Paramètres!$A$1:$I$89,3,0)*VLOOKUP('Données projet'!$B$12,Paramètres!$A$1:$I$89,5,0)</f>
        <v>5.8402623385184746</v>
      </c>
      <c r="CA14" s="14">
        <f t="shared" si="39"/>
        <v>2.1916524953475109</v>
      </c>
      <c r="CB14" s="22">
        <f t="shared" si="10"/>
        <v>13.988918335649926</v>
      </c>
      <c r="CC14" s="62">
        <f t="shared" si="11"/>
        <v>208.48471694476405</v>
      </c>
      <c r="CD14" s="62">
        <f ca="1">AVERAGE(OFFSET($CC$3,0,0,'Données projet'!$E$12+1,1))-AVERAGE(OFFSET($H$3,0,0,'Données projet'!$E$12+1,1))</f>
        <v>288.24759203983547</v>
      </c>
      <c r="CE14" s="62">
        <f t="shared" si="40"/>
        <v>188.86613033148794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1.6346153846153846</v>
      </c>
      <c r="CT14" s="13">
        <f>IF('Données projet'!$A$140&gt;35,CT13+CS14-DB13,IF(A14&lt;'Données projet'!$A$140,$CQ$205^A14,IF(A14='Données projet'!$A$140,'Données projet'!$B$140,CT13+CS14-DB13)))</f>
        <v>6.8068325623758437</v>
      </c>
      <c r="CU14" s="18">
        <f>CT14*VLOOKUP('Données projet'!$B$13,Paramètres!$A$1:$I$89,3,0)*VLOOKUP('Données projet'!$B$13,Paramètres!$A$1:$I$89,5,0)</f>
        <v>4.5660232828417167</v>
      </c>
      <c r="CV14" s="14">
        <f t="shared" si="41"/>
        <v>1.7632745904964304</v>
      </c>
      <c r="CW14" s="22">
        <f t="shared" si="13"/>
        <v>11.023527129397273</v>
      </c>
      <c r="CX14" s="62">
        <f t="shared" si="14"/>
        <v>205.51932573851141</v>
      </c>
      <c r="CY14" s="62">
        <f ca="1">AVERAGE(OFFSET($CX$3,0,0,'Données projet'!$E$13+1,1))-AVERAGE(OFFSET($H$3,0,0,'Données projet'!$E$13+1,1))</f>
        <v>240.40157928925146</v>
      </c>
      <c r="CZ14" s="62">
        <f t="shared" si="42"/>
        <v>160.5013084380258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1.2</v>
      </c>
      <c r="DO14" s="13">
        <f>IF('Données projet'!$A$166&gt;35,DO13+DN14-DW13,IF(A14&lt;'Données projet'!$A$166,$DL$205^A14,IF(A14='Données projet'!$A$166,'Données projet'!$B$166,DO13+DN14-DW13)))</f>
        <v>4.4661504822319662</v>
      </c>
      <c r="DP14" s="18">
        <f>DO14*VLOOKUP('Données projet'!$B$14,Paramètres!$A$1:$I$89,3,0)*VLOOKUP('Données projet'!$B$14,Paramètres!$A$1:$I$89,5,0)</f>
        <v>4.3196607464147583</v>
      </c>
      <c r="DQ14" s="14">
        <f t="shared" si="43"/>
        <v>1.6789407368626241</v>
      </c>
      <c r="DR14" s="22">
        <f t="shared" si="16"/>
        <v>10.44756425004144</v>
      </c>
      <c r="DS14" s="62">
        <f t="shared" si="17"/>
        <v>204.94336285915557</v>
      </c>
      <c r="DT14" s="62">
        <f ca="1">AVERAGE(OFFSET($DS$3,0,0,'Données projet'!$E$14+1,1))-AVERAGE(OFFSET($H$3,0,0,'Données projet'!$E$14+1,1))</f>
        <v>398.93296311353788</v>
      </c>
      <c r="DU14" s="62">
        <f t="shared" si="44"/>
        <v>173.19148969173838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0.9</v>
      </c>
      <c r="EJ14" s="13">
        <f>IF('Données projet'!$A$192&gt;35,EJ13+EI14-ER13,IF(A14&lt;'Données projet'!$A$192,$EG$205^A14,IF(A14='Données projet'!$A$192,'Données projet'!$B$192,EJ13+EI14-ER13)))</f>
        <v>4.9022999220494095</v>
      </c>
      <c r="EK14" s="18">
        <f>EJ14*VLOOKUP('Données projet'!$B$15,Paramètres!$A$1:$I$89,3,0)*VLOOKUP('Données projet'!$B$15,Paramètres!$A$1:$I$89,5,0)</f>
        <v>4.2826492119023651</v>
      </c>
      <c r="EL14" s="14">
        <f t="shared" si="45"/>
        <v>1.6662234129484463</v>
      </c>
      <c r="EM14" s="22">
        <f t="shared" si="19"/>
        <v>10.360953154948495</v>
      </c>
      <c r="EN14" s="62">
        <f t="shared" si="20"/>
        <v>204.85675176406264</v>
      </c>
      <c r="EO14" s="62">
        <f ca="1">AVERAGE(OFFSET($EN$3,0,0,'Données projet'!$E$15+1,1))-AVERAGE(OFFSET($H$3,0,0,'Données projet'!$E$15+1,1))</f>
        <v>226.37420733783091</v>
      </c>
      <c r="EP14" s="62">
        <f t="shared" si="46"/>
        <v>204.10961748628714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6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9">
        <f t="shared" si="1"/>
        <v>183.33333333333334</v>
      </c>
      <c r="I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3.5</v>
      </c>
      <c r="N15" s="14">
        <f>IF('Données projet'!$A$36&gt;35,N14+M15-V14,IF(A15&lt;'Données projet'!$A$36,$K$205^A15,IF(A15='Données projet'!$A$36,'Données projet'!$B$36,N14+M15-V14)))</f>
        <v>6.4339209346436963</v>
      </c>
      <c r="O15" s="14">
        <f>N15*VLOOKUP('Données projet'!$B$9,Paramètres!$A$1:$I$89,3,0)*VLOOKUP('Données projet'!$B$9,Paramètres!$A$1:$I$89,5,0)</f>
        <v>3.7638437467665629</v>
      </c>
      <c r="P15" s="14">
        <f t="shared" si="33"/>
        <v>1.486552097400053</v>
      </c>
      <c r="Q15" s="22">
        <f t="shared" si="2"/>
        <v>9.1444394285901893</v>
      </c>
      <c r="R15" s="62">
        <f t="shared" si="0"/>
        <v>206.17421688132305</v>
      </c>
      <c r="S15" s="62">
        <f ca="1">AVERAGE(OFFSET($R$3,0,0,'Données projet'!$E$9+1,1))-AVERAGE(OFFSET($H$3,0,0,'Données projet'!$E$9+1,1))</f>
        <v>196.48726929442091</v>
      </c>
      <c r="T15" s="62">
        <f t="shared" si="34"/>
        <v>193.28400454669347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1.2</v>
      </c>
      <c r="AI15" s="14">
        <f>IF('Données projet'!$A$62&gt;35,AI14+AH15-AQ14,IF(A15&lt;'Données projet'!$A$62,$AF$205^A15,IF(A15='Données projet'!$A$62,'Données projet'!$B$62,AI14+AH15-AQ14)))</f>
        <v>5.1170328173444979</v>
      </c>
      <c r="AJ15" s="14">
        <f>AI15*VLOOKUP('Données projet'!$B$10,Paramètres!$A$1:$I$89,3,0)*VLOOKUP('Données projet'!$B$10,Paramètres!$A$1:$I$89,5,0)</f>
        <v>5.1886712767873213</v>
      </c>
      <c r="AK15" s="14">
        <f t="shared" si="35"/>
        <v>1.9741297139966976</v>
      </c>
      <c r="AL15" s="22">
        <f t="shared" si="4"/>
        <v>12.4752117256155</v>
      </c>
      <c r="AM15" s="62">
        <f t="shared" si="5"/>
        <v>209.50498917834838</v>
      </c>
      <c r="AN15" s="62">
        <f ca="1">AVERAGE(OFFSET($AM$3,0,0,'Données projet'!$E$10+1,1))-AVERAGE(OFFSET($H$3,0,0,'Données projet'!$E$10+1,1))</f>
        <v>414.29294334114661</v>
      </c>
      <c r="AO15" s="62">
        <f t="shared" si="36"/>
        <v>178.72086185623849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1.2</v>
      </c>
      <c r="BD15" s="13">
        <f>IF('Données projet'!$A$88&gt;35,BD14+BC15-BL14,IF(A15&lt;'Données projet'!$A$88,$BA$205^A15,IF(A15='Données projet'!$A$88,'Données projet'!$B$88,BD14+BC15-BL14)))</f>
        <v>5.1170328173444979</v>
      </c>
      <c r="BE15" s="14">
        <f>BD15*VLOOKUP('Données projet'!$B$11,Paramètres!$A$1:$I$89,3,0)*VLOOKUP('Données projet'!$B$11,Paramètres!$A$1:$I$89,5,0)</f>
        <v>5.5079741245896177</v>
      </c>
      <c r="BF15" s="14">
        <f t="shared" si="37"/>
        <v>2.0810978477317659</v>
      </c>
      <c r="BG15" s="22">
        <f t="shared" si="7"/>
        <v>13.217633685126408</v>
      </c>
      <c r="BH15" s="62">
        <f t="shared" si="8"/>
        <v>210.24741113785927</v>
      </c>
      <c r="BI15" s="62">
        <f ca="1">AVERAGE(OFFSET($BH$3,0,0,'Données projet'!$E$11+1,1))-AVERAGE(OFFSET($H$3,0,0,'Données projet'!$E$11+1,1))</f>
        <v>434.74983403680108</v>
      </c>
      <c r="BJ15" s="62">
        <f t="shared" si="38"/>
        <v>186.0840067781198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1.6346153846153846</v>
      </c>
      <c r="BY15" s="13">
        <f>IF('Données projet'!$A$114&gt;35,BY14+BX15-CG14,IF(A15&lt;'Données projet'!$A$114,$BV$205^A15,IF(A15='Données projet'!$A$114,'Données projet'!$B$114,BY14+BX15-CG14)))</f>
        <v>8.1034012980399712</v>
      </c>
      <c r="BZ15" s="14">
        <f>BY15*VLOOKUP('Données projet'!$B$12,Paramètres!$A$1:$I$89,3,0)*VLOOKUP('Données projet'!$B$12,Paramètres!$A$1:$I$89,5,0)</f>
        <v>6.9527183137182966</v>
      </c>
      <c r="CA15" s="14">
        <f t="shared" si="39"/>
        <v>2.5567007562934392</v>
      </c>
      <c r="CB15" s="22">
        <f t="shared" si="10"/>
        <v>16.562238213603774</v>
      </c>
      <c r="CC15" s="62">
        <f t="shared" si="11"/>
        <v>213.59201566633664</v>
      </c>
      <c r="CD15" s="62">
        <f ca="1">AVERAGE(OFFSET($CC$3,0,0,'Données projet'!$E$12+1,1))-AVERAGE(OFFSET($H$3,0,0,'Données projet'!$E$12+1,1))</f>
        <v>288.24759203983547</v>
      </c>
      <c r="CE15" s="62">
        <f t="shared" si="40"/>
        <v>188.86613033148794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1.6346153846153846</v>
      </c>
      <c r="CT15" s="13">
        <f>IF('Données projet'!$A$140&gt;35,CT14+CS15-DB14,IF(A15&lt;'Données projet'!$A$140,$CQ$205^A15,IF(A15='Données projet'!$A$140,'Données projet'!$B$140,CT14+CS15-DB14)))</f>
        <v>8.1034012980399712</v>
      </c>
      <c r="CU15" s="18">
        <f>CT15*VLOOKUP('Données projet'!$B$13,Paramètres!$A$1:$I$89,3,0)*VLOOKUP('Données projet'!$B$13,Paramètres!$A$1:$I$89,5,0)</f>
        <v>5.435761590725213</v>
      </c>
      <c r="CV15" s="14">
        <f t="shared" si="41"/>
        <v>2.0569709334145188</v>
      </c>
      <c r="CW15" s="22">
        <f t="shared" si="13"/>
        <v>13.049842479543365</v>
      </c>
      <c r="CX15" s="62">
        <f t="shared" si="14"/>
        <v>210.07961993227624</v>
      </c>
      <c r="CY15" s="62">
        <f ca="1">AVERAGE(OFFSET($CX$3,0,0,'Données projet'!$E$13+1,1))-AVERAGE(OFFSET($H$3,0,0,'Données projet'!$E$13+1,1))</f>
        <v>240.40157928925146</v>
      </c>
      <c r="CZ15" s="62">
        <f t="shared" si="42"/>
        <v>160.5013084380258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1.2</v>
      </c>
      <c r="DO15" s="13">
        <f>IF('Données projet'!$A$166&gt;35,DO14+DN15-DW14,IF(A15&lt;'Données projet'!$A$166,$DL$205^A15,IF(A15='Données projet'!$A$166,'Données projet'!$B$166,DO14+DN15-DW14)))</f>
        <v>5.1170328173444979</v>
      </c>
      <c r="DP15" s="18">
        <f>DO15*VLOOKUP('Données projet'!$B$14,Paramètres!$A$1:$I$89,3,0)*VLOOKUP('Données projet'!$B$14,Paramètres!$A$1:$I$89,5,0)</f>
        <v>4.9491941409355986</v>
      </c>
      <c r="DQ15" s="14">
        <f t="shared" si="43"/>
        <v>1.8934016024425293</v>
      </c>
      <c r="DR15" s="22">
        <f t="shared" si="16"/>
        <v>11.917520919716907</v>
      </c>
      <c r="DS15" s="62">
        <f t="shared" si="17"/>
        <v>208.94729837244978</v>
      </c>
      <c r="DT15" s="62">
        <f ca="1">AVERAGE(OFFSET($DS$3,0,0,'Données projet'!$E$14+1,1))-AVERAGE(OFFSET($H$3,0,0,'Données projet'!$E$14+1,1))</f>
        <v>398.93296311353788</v>
      </c>
      <c r="DU15" s="62">
        <f t="shared" si="44"/>
        <v>173.19148969173838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0.9</v>
      </c>
      <c r="EJ15" s="13">
        <f>IF('Données projet'!$A$192&gt;35,EJ14+EI15-ER14,IF(A15&lt;'Données projet'!$A$192,$EG$205^A15,IF(A15='Données projet'!$A$192,'Données projet'!$B$192,EJ14+EI15-ER14)))</f>
        <v>5.6645250677694134</v>
      </c>
      <c r="EK15" s="18">
        <f>EJ15*VLOOKUP('Données projet'!$B$15,Paramètres!$A$1:$I$89,3,0)*VLOOKUP('Données projet'!$B$15,Paramètres!$A$1:$I$89,5,0)</f>
        <v>4.9485290992033608</v>
      </c>
      <c r="EL15" s="14">
        <f t="shared" si="45"/>
        <v>1.8931767921179217</v>
      </c>
      <c r="EM15" s="22">
        <f t="shared" si="19"/>
        <v>11.915971094051232</v>
      </c>
      <c r="EN15" s="62">
        <f t="shared" si="20"/>
        <v>208.9457485467841</v>
      </c>
      <c r="EO15" s="62">
        <f ca="1">AVERAGE(OFFSET($EN$3,0,0,'Données projet'!$E$15+1,1))-AVERAGE(OFFSET($H$3,0,0,'Données projet'!$E$15+1,1))</f>
        <v>226.37420733783091</v>
      </c>
      <c r="EP15" s="62">
        <f t="shared" si="46"/>
        <v>204.10961748628714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6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9">
        <f t="shared" si="1"/>
        <v>183.33333333333334</v>
      </c>
      <c r="I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3.5</v>
      </c>
      <c r="N16" s="14">
        <f>IF('Données projet'!$A$36&gt;35,N15+M16-V15,IF(A16&lt;'Données projet'!$A$36,$K$205^A16,IF(A16='Données projet'!$A$36,'Données projet'!$B$36,N15+M16-V15)))</f>
        <v>7.513610819316761</v>
      </c>
      <c r="O16" s="14">
        <f>N16*VLOOKUP('Données projet'!$B$9,Paramètres!$A$1:$I$89,3,0)*VLOOKUP('Données projet'!$B$9,Paramètres!$A$1:$I$89,5,0)</f>
        <v>4.3954623293003054</v>
      </c>
      <c r="P16" s="14">
        <f t="shared" si="33"/>
        <v>1.7049470514384082</v>
      </c>
      <c r="Q16" s="22">
        <f t="shared" si="2"/>
        <v>10.624879671453259</v>
      </c>
      <c r="R16" s="62">
        <f t="shared" si="0"/>
        <v>210.16587992307208</v>
      </c>
      <c r="S16" s="62">
        <f ca="1">AVERAGE(OFFSET($R$3,0,0,'Données projet'!$E$9+1,1))-AVERAGE(OFFSET($H$3,0,0,'Données projet'!$E$9+1,1))</f>
        <v>196.48726929442091</v>
      </c>
      <c r="T16" s="62">
        <f t="shared" si="34"/>
        <v>193.28400454669347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1.2</v>
      </c>
      <c r="AI16" s="14">
        <f>IF('Données projet'!$A$62&gt;35,AI15+AH16-AQ15,IF(A16&lt;'Données projet'!$A$62,$AF$205^A16,IF(A16='Données projet'!$A$62,'Données projet'!$B$62,AI15+AH16-AQ15)))</f>
        <v>5.8627726400958746</v>
      </c>
      <c r="AJ16" s="14">
        <f>AI16*VLOOKUP('Données projet'!$B$10,Paramètres!$A$1:$I$89,3,0)*VLOOKUP('Données projet'!$B$10,Paramètres!$A$1:$I$89,5,0)</f>
        <v>5.9448514570572168</v>
      </c>
      <c r="AK16" s="14">
        <f t="shared" si="35"/>
        <v>2.2262967845401667</v>
      </c>
      <c r="AL16" s="22">
        <f t="shared" si="4"/>
        <v>14.231416520782107</v>
      </c>
      <c r="AM16" s="62">
        <f t="shared" si="5"/>
        <v>213.77241677240093</v>
      </c>
      <c r="AN16" s="62">
        <f ca="1">AVERAGE(OFFSET($AM$3,0,0,'Données projet'!$E$10+1,1))-AVERAGE(OFFSET($H$3,0,0,'Données projet'!$E$10+1,1))</f>
        <v>414.29294334114661</v>
      </c>
      <c r="AO16" s="62">
        <f t="shared" si="36"/>
        <v>178.72086185623849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1.2</v>
      </c>
      <c r="BD16" s="13">
        <f>IF('Données projet'!$A$88&gt;35,BD15+BC16-BL15,IF(A16&lt;'Données projet'!$A$88,$BA$205^A16,IF(A16='Données projet'!$A$88,'Données projet'!$B$88,BD15+BC16-BL15)))</f>
        <v>5.8627726400958746</v>
      </c>
      <c r="BE16" s="14">
        <f>BD16*VLOOKUP('Données projet'!$B$11,Paramètres!$A$1:$I$89,3,0)*VLOOKUP('Données projet'!$B$11,Paramètres!$A$1:$I$89,5,0)</f>
        <v>6.3106884697991985</v>
      </c>
      <c r="BF16" s="14">
        <f t="shared" si="37"/>
        <v>2.346928580158357</v>
      </c>
      <c r="BG16" s="22">
        <f t="shared" si="7"/>
        <v>15.078683028676075</v>
      </c>
      <c r="BH16" s="62">
        <f t="shared" si="8"/>
        <v>214.61968328029488</v>
      </c>
      <c r="BI16" s="62">
        <f ca="1">AVERAGE(OFFSET($BH$3,0,0,'Données projet'!$E$11+1,1))-AVERAGE(OFFSET($H$3,0,0,'Données projet'!$E$11+1,1))</f>
        <v>434.74983403680108</v>
      </c>
      <c r="BJ16" s="62">
        <f t="shared" si="38"/>
        <v>186.0840067781198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1.6346153846153846</v>
      </c>
      <c r="BY16" s="13">
        <f>IF('Données projet'!$A$114&gt;35,BY15+BX16-CG15,IF(A16&lt;'Données projet'!$A$114,$BV$205^A16,IF(A16='Données projet'!$A$114,'Données projet'!$B$114,BY15+BX16-CG15)))</f>
        <v>9.6469410691889088</v>
      </c>
      <c r="BZ16" s="14">
        <f>BY16*VLOOKUP('Données projet'!$B$12,Paramètres!$A$1:$I$89,3,0)*VLOOKUP('Données projet'!$B$12,Paramètres!$A$1:$I$89,5,0)</f>
        <v>8.2770754373640845</v>
      </c>
      <c r="CA16" s="14">
        <f t="shared" si="39"/>
        <v>2.9825525584497266</v>
      </c>
      <c r="CB16" s="22">
        <f t="shared" si="10"/>
        <v>19.610518759375719</v>
      </c>
      <c r="CC16" s="62">
        <f t="shared" si="11"/>
        <v>219.15151901099452</v>
      </c>
      <c r="CD16" s="62">
        <f ca="1">AVERAGE(OFFSET($CC$3,0,0,'Données projet'!$E$12+1,1))-AVERAGE(OFFSET($H$3,0,0,'Données projet'!$E$12+1,1))</f>
        <v>288.24759203983547</v>
      </c>
      <c r="CE16" s="62">
        <f t="shared" si="40"/>
        <v>188.86613033148794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1.6346153846153846</v>
      </c>
      <c r="CT16" s="13">
        <f>IF('Données projet'!$A$140&gt;35,CT15+CS16-DB15,IF(A16&lt;'Données projet'!$A$140,$CQ$205^A16,IF(A16='Données projet'!$A$140,'Données projet'!$B$140,CT15+CS16-DB15)))</f>
        <v>9.6469410691889088</v>
      </c>
      <c r="CU16" s="18">
        <f>CT16*VLOOKUP('Données projet'!$B$13,Paramètres!$A$1:$I$89,3,0)*VLOOKUP('Données projet'!$B$13,Paramètres!$A$1:$I$89,5,0)</f>
        <v>6.4711680692119211</v>
      </c>
      <c r="CV16" s="14">
        <f t="shared" si="41"/>
        <v>2.399586226511079</v>
      </c>
      <c r="CW16" s="22">
        <f t="shared" si="13"/>
        <v>15.449897065050889</v>
      </c>
      <c r="CX16" s="62">
        <f t="shared" si="14"/>
        <v>214.9908973166697</v>
      </c>
      <c r="CY16" s="62">
        <f ca="1">AVERAGE(OFFSET($CX$3,0,0,'Données projet'!$E$13+1,1))-AVERAGE(OFFSET($H$3,0,0,'Données projet'!$E$13+1,1))</f>
        <v>240.40157928925146</v>
      </c>
      <c r="CZ16" s="62">
        <f t="shared" si="42"/>
        <v>160.5013084380258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1.2</v>
      </c>
      <c r="DO16" s="13">
        <f>IF('Données projet'!$A$166&gt;35,DO15+DN16-DW15,IF(A16&lt;'Données projet'!$A$166,$DL$205^A16,IF(A16='Données projet'!$A$166,'Données projet'!$B$166,DO15+DN16-DW15)))</f>
        <v>5.8627726400958746</v>
      </c>
      <c r="DP16" s="18">
        <f>DO16*VLOOKUP('Données projet'!$B$14,Paramètres!$A$1:$I$89,3,0)*VLOOKUP('Données projet'!$B$14,Paramètres!$A$1:$I$89,5,0)</f>
        <v>5.6704736975007304</v>
      </c>
      <c r="DQ16" s="14">
        <f t="shared" si="43"/>
        <v>2.1352568017564701</v>
      </c>
      <c r="DR16" s="22">
        <f t="shared" si="16"/>
        <v>13.594980619539625</v>
      </c>
      <c r="DS16" s="62">
        <f t="shared" si="17"/>
        <v>213.13598087115844</v>
      </c>
      <c r="DT16" s="62">
        <f ca="1">AVERAGE(OFFSET($DS$3,0,0,'Données projet'!$E$14+1,1))-AVERAGE(OFFSET($H$3,0,0,'Données projet'!$E$14+1,1))</f>
        <v>398.93296311353788</v>
      </c>
      <c r="DU16" s="62">
        <f t="shared" si="44"/>
        <v>173.19148969173838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0.9</v>
      </c>
      <c r="EJ16" s="13">
        <f>IF('Données projet'!$A$192&gt;35,EJ15+EI16-ER15,IF(A16&lt;'Données projet'!$A$192,$EG$205^A16,IF(A16='Données projet'!$A$192,'Données projet'!$B$192,EJ15+EI16-ER15)))</f>
        <v>6.5452633975063188</v>
      </c>
      <c r="EK16" s="18">
        <f>EJ16*VLOOKUP('Données projet'!$B$15,Paramètres!$A$1:$I$89,3,0)*VLOOKUP('Données projet'!$B$15,Paramètres!$A$1:$I$89,5,0)</f>
        <v>5.717942104061521</v>
      </c>
      <c r="EL16" s="14">
        <f t="shared" si="45"/>
        <v>2.1510430944381391</v>
      </c>
      <c r="EM16" s="22">
        <f t="shared" si="19"/>
        <v>13.705149220720239</v>
      </c>
      <c r="EN16" s="62">
        <f t="shared" si="20"/>
        <v>213.24614947233906</v>
      </c>
      <c r="EO16" s="62">
        <f ca="1">AVERAGE(OFFSET($EN$3,0,0,'Données projet'!$E$15+1,1))-AVERAGE(OFFSET($H$3,0,0,'Données projet'!$E$15+1,1))</f>
        <v>226.37420733783091</v>
      </c>
      <c r="EP16" s="62">
        <f t="shared" si="46"/>
        <v>204.10961748628714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6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9">
        <f t="shared" si="1"/>
        <v>183.33333333333334</v>
      </c>
      <c r="I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3.5</v>
      </c>
      <c r="N17" s="14">
        <f>IF('Données projet'!$A$36&gt;35,N16+M17-V16,IF(A17&lt;'Données projet'!$A$36,$K$205^A17,IF(A17='Données projet'!$A$36,'Données projet'!$B$36,N16+M17-V16)))</f>
        <v>8.7744857479011387</v>
      </c>
      <c r="O17" s="14">
        <f>N17*VLOOKUP('Données projet'!$B$9,Paramètres!$A$1:$I$89,3,0)*VLOOKUP('Données projet'!$B$9,Paramètres!$A$1:$I$89,5,0)</f>
        <v>5.1330741625221661</v>
      </c>
      <c r="P17" s="14">
        <f t="shared" si="33"/>
        <v>1.9554272287480063</v>
      </c>
      <c r="Q17" s="22">
        <f t="shared" si="2"/>
        <v>12.345806589795551</v>
      </c>
      <c r="R17" s="62">
        <f t="shared" si="0"/>
        <v>214.37566836206875</v>
      </c>
      <c r="S17" s="62">
        <f ca="1">AVERAGE(OFFSET($R$3,0,0,'Données projet'!$E$9+1,1))-AVERAGE(OFFSET($H$3,0,0,'Données projet'!$E$9+1,1))</f>
        <v>196.48726929442091</v>
      </c>
      <c r="T17" s="62">
        <f t="shared" si="34"/>
        <v>193.28400454669347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1.2</v>
      </c>
      <c r="AI17" s="14">
        <f>IF('Données projet'!$A$62&gt;35,AI16+AH17-AQ16,IF(A17&lt;'Données projet'!$A$62,$AF$205^A17,IF(A17='Données projet'!$A$62,'Données projet'!$B$62,AI16+AH17-AQ16)))</f>
        <v>6.7171941741218459</v>
      </c>
      <c r="AJ17" s="14">
        <f>AI17*VLOOKUP('Données projet'!$B$10,Paramètres!$A$1:$I$89,3,0)*VLOOKUP('Données projet'!$B$10,Paramètres!$A$1:$I$89,5,0)</f>
        <v>6.8112348925595523</v>
      </c>
      <c r="AK17" s="14">
        <f t="shared" si="35"/>
        <v>2.5106746216891089</v>
      </c>
      <c r="AL17" s="22">
        <f t="shared" si="4"/>
        <v>16.235659070649749</v>
      </c>
      <c r="AM17" s="62">
        <f t="shared" si="5"/>
        <v>218.26552084292294</v>
      </c>
      <c r="AN17" s="62">
        <f ca="1">AVERAGE(OFFSET($AM$3,0,0,'Données projet'!$E$10+1,1))-AVERAGE(OFFSET($H$3,0,0,'Données projet'!$E$10+1,1))</f>
        <v>414.29294334114661</v>
      </c>
      <c r="AO17" s="62">
        <f t="shared" si="36"/>
        <v>178.72086185623849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1.2</v>
      </c>
      <c r="BD17" s="13">
        <f>IF('Données projet'!$A$88&gt;35,BD16+BC17-BL16,IF(A17&lt;'Données projet'!$A$88,$BA$205^A17,IF(A17='Données projet'!$A$88,'Données projet'!$B$88,BD16+BC17-BL16)))</f>
        <v>6.7171941741218459</v>
      </c>
      <c r="BE17" s="14">
        <f>BD17*VLOOKUP('Données projet'!$B$11,Paramètres!$A$1:$I$89,3,0)*VLOOKUP('Données projet'!$B$11,Paramètres!$A$1:$I$89,5,0)</f>
        <v>7.2303878090247551</v>
      </c>
      <c r="BF17" s="14">
        <f t="shared" si="37"/>
        <v>2.6467154181950132</v>
      </c>
      <c r="BG17" s="22">
        <f t="shared" si="7"/>
        <v>17.202621454074428</v>
      </c>
      <c r="BH17" s="62">
        <f t="shared" si="8"/>
        <v>219.23248322634763</v>
      </c>
      <c r="BI17" s="62">
        <f ca="1">AVERAGE(OFFSET($BH$3,0,0,'Données projet'!$E$11+1,1))-AVERAGE(OFFSET($H$3,0,0,'Données projet'!$E$11+1,1))</f>
        <v>434.74983403680108</v>
      </c>
      <c r="BJ17" s="62">
        <f t="shared" si="38"/>
        <v>186.0840067781198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1.6346153846153846</v>
      </c>
      <c r="BY17" s="13">
        <f>IF('Données projet'!$A$114&gt;35,BY16+BX17-CG16,IF(A17&lt;'Données projet'!$A$114,$BV$205^A17,IF(A17='Données projet'!$A$114,'Données projet'!$B$114,BY16+BX17-CG16)))</f>
        <v>11.484495037276947</v>
      </c>
      <c r="BZ17" s="14">
        <f>BY17*VLOOKUP('Données projet'!$B$12,Paramètres!$A$1:$I$89,3,0)*VLOOKUP('Données projet'!$B$12,Paramètres!$A$1:$I$89,5,0)</f>
        <v>9.8536967419836206</v>
      </c>
      <c r="CA17" s="14">
        <f t="shared" si="39"/>
        <v>3.4793355233372618</v>
      </c>
      <c r="CB17" s="22">
        <f t="shared" si="10"/>
        <v>23.221697862100537</v>
      </c>
      <c r="CC17" s="62">
        <f t="shared" si="11"/>
        <v>225.25155963437373</v>
      </c>
      <c r="CD17" s="62">
        <f ca="1">AVERAGE(OFFSET($CC$3,0,0,'Données projet'!$E$12+1,1))-AVERAGE(OFFSET($H$3,0,0,'Données projet'!$E$12+1,1))</f>
        <v>288.24759203983547</v>
      </c>
      <c r="CE17" s="62">
        <f t="shared" si="40"/>
        <v>188.86613033148794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1.6346153846153846</v>
      </c>
      <c r="CT17" s="13">
        <f>IF('Données projet'!$A$140&gt;35,CT16+CS17-DB16,IF(A17&lt;'Données projet'!$A$140,$CQ$205^A17,IF(A17='Données projet'!$A$140,'Données projet'!$B$140,CT16+CS17-DB16)))</f>
        <v>11.484495037276947</v>
      </c>
      <c r="CU17" s="18">
        <f>CT17*VLOOKUP('Données projet'!$B$13,Paramètres!$A$1:$I$89,3,0)*VLOOKUP('Données projet'!$B$13,Paramètres!$A$1:$I$89,5,0)</f>
        <v>7.7037992710053755</v>
      </c>
      <c r="CV17" s="14">
        <f t="shared" si="41"/>
        <v>2.7992685579195422</v>
      </c>
      <c r="CW17" s="22">
        <f t="shared" si="13"/>
        <v>18.292843135377566</v>
      </c>
      <c r="CX17" s="62">
        <f t="shared" si="14"/>
        <v>220.32270490765075</v>
      </c>
      <c r="CY17" s="62">
        <f ca="1">AVERAGE(OFFSET($CX$3,0,0,'Données projet'!$E$13+1,1))-AVERAGE(OFFSET($H$3,0,0,'Données projet'!$E$13+1,1))</f>
        <v>240.40157928925146</v>
      </c>
      <c r="CZ17" s="62">
        <f t="shared" si="42"/>
        <v>160.5013084380258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1.2</v>
      </c>
      <c r="DO17" s="13">
        <f>IF('Données projet'!$A$166&gt;35,DO16+DN17-DW16,IF(A17&lt;'Données projet'!$A$166,$DL$205^A17,IF(A17='Données projet'!$A$166,'Données projet'!$B$166,DO16+DN17-DW16)))</f>
        <v>6.7171941741218459</v>
      </c>
      <c r="DP17" s="18">
        <f>DO17*VLOOKUP('Données projet'!$B$14,Paramètres!$A$1:$I$89,3,0)*VLOOKUP('Données projet'!$B$14,Paramètres!$A$1:$I$89,5,0)</f>
        <v>6.4968702052106497</v>
      </c>
      <c r="DQ17" s="14">
        <f t="shared" si="43"/>
        <v>2.4080055723865681</v>
      </c>
      <c r="DR17" s="22">
        <f t="shared" si="16"/>
        <v>15.509325312648487</v>
      </c>
      <c r="DS17" s="62">
        <f t="shared" si="17"/>
        <v>217.53918708492168</v>
      </c>
      <c r="DT17" s="62">
        <f ca="1">AVERAGE(OFFSET($DS$3,0,0,'Données projet'!$E$14+1,1))-AVERAGE(OFFSET($H$3,0,0,'Données projet'!$E$14+1,1))</f>
        <v>398.93296311353788</v>
      </c>
      <c r="DU17" s="62">
        <f t="shared" si="44"/>
        <v>173.19148969173838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0.9</v>
      </c>
      <c r="EJ17" s="13">
        <f>IF('Données projet'!$A$192&gt;35,EJ16+EI17-ER16,IF(A17&lt;'Données projet'!$A$192,$EG$205^A17,IF(A17='Données projet'!$A$192,'Données projet'!$B$192,EJ16+EI17-ER16)))</f>
        <v>7.5629417171254145</v>
      </c>
      <c r="EK17" s="18">
        <f>EJ17*VLOOKUP('Données projet'!$B$15,Paramètres!$A$1:$I$89,3,0)*VLOOKUP('Données projet'!$B$15,Paramètres!$A$1:$I$89,5,0)</f>
        <v>6.6069858840807631</v>
      </c>
      <c r="EL17" s="14">
        <f t="shared" si="45"/>
        <v>2.4440329151477385</v>
      </c>
      <c r="EM17" s="22">
        <f t="shared" si="19"/>
        <v>15.763857741989639</v>
      </c>
      <c r="EN17" s="62">
        <f t="shared" si="20"/>
        <v>217.79371951426282</v>
      </c>
      <c r="EO17" s="62">
        <f ca="1">AVERAGE(OFFSET($EN$3,0,0,'Données projet'!$E$15+1,1))-AVERAGE(OFFSET($H$3,0,0,'Données projet'!$E$15+1,1))</f>
        <v>226.37420733783091</v>
      </c>
      <c r="EP17" s="62">
        <f t="shared" si="46"/>
        <v>204.10961748628714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6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9">
        <f t="shared" si="1"/>
        <v>183.33333333333334</v>
      </c>
      <c r="I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3.5</v>
      </c>
      <c r="N18" s="14">
        <f>IF('Données projet'!$A$36&gt;35,N17+M18-V17,IF(A18&lt;'Données projet'!$A$36,$K$205^A18,IF(A18='Données projet'!$A$36,'Données projet'!$B$36,N17+M18-V17)))</f>
        <v>10.246950765959596</v>
      </c>
      <c r="O18" s="14">
        <f>N18*VLOOKUP('Données projet'!$B$9,Paramètres!$A$1:$I$89,3,0)*VLOOKUP('Données projet'!$B$9,Paramètres!$A$1:$I$89,5,0)</f>
        <v>5.9944661980863643</v>
      </c>
      <c r="P18" s="14">
        <f t="shared" si="33"/>
        <v>2.242706390033157</v>
      </c>
      <c r="Q18" s="22">
        <f t="shared" si="2"/>
        <v>14.346408924308165</v>
      </c>
      <c r="R18" s="62">
        <f t="shared" si="0"/>
        <v>218.84315885718922</v>
      </c>
      <c r="S18" s="62">
        <f ca="1">AVERAGE(OFFSET($R$3,0,0,'Données projet'!$E$9+1,1))-AVERAGE(OFFSET($H$3,0,0,'Données projet'!$E$9+1,1))</f>
        <v>196.48726929442091</v>
      </c>
      <c r="T18" s="62">
        <f t="shared" si="34"/>
        <v>193.28400454669347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1.2</v>
      </c>
      <c r="AI18" s="14">
        <f>IF('Données projet'!$A$62&gt;35,AI17+AH18-AQ17,IF(A18&lt;'Données projet'!$A$62,$AF$205^A18,IF(A18='Données projet'!$A$62,'Données projet'!$B$62,AI17+AH18-AQ17)))</f>
        <v>7.6961363407260848</v>
      </c>
      <c r="AJ18" s="14">
        <f>AI18*VLOOKUP('Données projet'!$B$10,Paramètres!$A$1:$I$89,3,0)*VLOOKUP('Données projet'!$B$10,Paramètres!$A$1:$I$89,5,0)</f>
        <v>7.8038822494962501</v>
      </c>
      <c r="AK18" s="14">
        <f t="shared" si="35"/>
        <v>2.8313776940102406</v>
      </c>
      <c r="AL18" s="22">
        <f t="shared" si="4"/>
        <v>18.523077734940472</v>
      </c>
      <c r="AM18" s="62">
        <f t="shared" si="5"/>
        <v>223.01982766782152</v>
      </c>
      <c r="AN18" s="62">
        <f ca="1">AVERAGE(OFFSET($AM$3,0,0,'Données projet'!$E$10+1,1))-AVERAGE(OFFSET($H$3,0,0,'Données projet'!$E$10+1,1))</f>
        <v>414.29294334114661</v>
      </c>
      <c r="AO18" s="62">
        <f t="shared" si="36"/>
        <v>178.72086185623849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1.2</v>
      </c>
      <c r="BD18" s="13">
        <f>IF('Données projet'!$A$88&gt;35,BD17+BC18-BL17,IF(A18&lt;'Données projet'!$A$88,$BA$205^A18,IF(A18='Données projet'!$A$88,'Données projet'!$B$88,BD17+BC18-BL17)))</f>
        <v>7.6961363407260848</v>
      </c>
      <c r="BE18" s="14">
        <f>BD18*VLOOKUP('Données projet'!$B$11,Paramètres!$A$1:$I$89,3,0)*VLOOKUP('Données projet'!$B$11,Paramètres!$A$1:$I$89,5,0)</f>
        <v>8.284121157157557</v>
      </c>
      <c r="BF18" s="14">
        <f t="shared" si="37"/>
        <v>2.9847957727109624</v>
      </c>
      <c r="BG18" s="22">
        <f t="shared" si="7"/>
        <v>19.626696986187671</v>
      </c>
      <c r="BH18" s="62">
        <f t="shared" si="8"/>
        <v>224.12344691906873</v>
      </c>
      <c r="BI18" s="62">
        <f ca="1">AVERAGE(OFFSET($BH$3,0,0,'Données projet'!$E$11+1,1))-AVERAGE(OFFSET($H$3,0,0,'Données projet'!$E$11+1,1))</f>
        <v>434.74983403680108</v>
      </c>
      <c r="BJ18" s="62">
        <f t="shared" si="38"/>
        <v>186.0840067781198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1.6346153846153846</v>
      </c>
      <c r="BY18" s="13">
        <f>IF('Données projet'!$A$114&gt;35,BY17+BX18-CG17,IF(A18&lt;'Données projet'!$A$114,$BV$205^A18,IF(A18='Données projet'!$A$114,'Données projet'!$B$114,BY17+BX18-CG17)))</f>
        <v>13.672067167746068</v>
      </c>
      <c r="BZ18" s="14">
        <f>BY18*VLOOKUP('Données projet'!$B$12,Paramètres!$A$1:$I$89,3,0)*VLOOKUP('Données projet'!$B$12,Paramètres!$A$1:$I$89,5,0)</f>
        <v>11.730633629926126</v>
      </c>
      <c r="CA18" s="14">
        <f t="shared" si="39"/>
        <v>4.0588641597145649</v>
      </c>
      <c r="CB18" s="22">
        <f t="shared" si="10"/>
        <v>27.500041983624204</v>
      </c>
      <c r="CC18" s="62">
        <f t="shared" si="11"/>
        <v>231.99679191650526</v>
      </c>
      <c r="CD18" s="62">
        <f ca="1">AVERAGE(OFFSET($CC$3,0,0,'Données projet'!$E$12+1,1))-AVERAGE(OFFSET($H$3,0,0,'Données projet'!$E$12+1,1))</f>
        <v>288.24759203983547</v>
      </c>
      <c r="CE18" s="62">
        <f t="shared" si="40"/>
        <v>188.86613033148794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1.6346153846153846</v>
      </c>
      <c r="CT18" s="13">
        <f>IF('Données projet'!$A$140&gt;35,CT17+CS18-DB17,IF(A18&lt;'Données projet'!$A$140,$CQ$205^A18,IF(A18='Données projet'!$A$140,'Données projet'!$B$140,CT17+CS18-DB17)))</f>
        <v>13.672067167746068</v>
      </c>
      <c r="CU18" s="18">
        <f>CT18*VLOOKUP('Données projet'!$B$13,Paramètres!$A$1:$I$89,3,0)*VLOOKUP('Données projet'!$B$13,Paramètres!$A$1:$I$89,5,0)</f>
        <v>9.171222656124062</v>
      </c>
      <c r="CV18" s="14">
        <f t="shared" si="41"/>
        <v>3.2655231859494838</v>
      </c>
      <c r="CW18" s="22">
        <f t="shared" si="13"/>
        <v>21.660665674944756</v>
      </c>
      <c r="CX18" s="62">
        <f t="shared" si="14"/>
        <v>226.15741560782581</v>
      </c>
      <c r="CY18" s="62">
        <f ca="1">AVERAGE(OFFSET($CX$3,0,0,'Données projet'!$E$13+1,1))-AVERAGE(OFFSET($H$3,0,0,'Données projet'!$E$13+1,1))</f>
        <v>240.40157928925146</v>
      </c>
      <c r="CZ18" s="62">
        <f t="shared" si="42"/>
        <v>160.5013084380258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1.2</v>
      </c>
      <c r="DO18" s="13">
        <f>IF('Données projet'!$A$166&gt;35,DO17+DN18-DW17,IF(A18&lt;'Données projet'!$A$166,$DL$205^A18,IF(A18='Données projet'!$A$166,'Données projet'!$B$166,DO17+DN18-DW17)))</f>
        <v>7.6961363407260848</v>
      </c>
      <c r="DP18" s="18">
        <f>DO18*VLOOKUP('Données projet'!$B$14,Paramètres!$A$1:$I$89,3,0)*VLOOKUP('Données projet'!$B$14,Paramètres!$A$1:$I$89,5,0)</f>
        <v>7.4437030687502697</v>
      </c>
      <c r="DQ18" s="14">
        <f t="shared" si="43"/>
        <v>2.7155941298840056</v>
      </c>
      <c r="DR18" s="22">
        <f t="shared" si="16"/>
        <v>17.694109287621362</v>
      </c>
      <c r="DS18" s="62">
        <f t="shared" si="17"/>
        <v>222.1908592205024</v>
      </c>
      <c r="DT18" s="62">
        <f ca="1">AVERAGE(OFFSET($DS$3,0,0,'Données projet'!$E$14+1,1))-AVERAGE(OFFSET($H$3,0,0,'Données projet'!$E$14+1,1))</f>
        <v>398.93296311353788</v>
      </c>
      <c r="DU18" s="62">
        <f t="shared" si="44"/>
        <v>173.19148969173838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0.9</v>
      </c>
      <c r="EJ18" s="13">
        <f>IF('Données projet'!$A$192&gt;35,EJ17+EI18-ER17,IF(A18&lt;'Données projet'!$A$192,$EG$205^A18,IF(A18='Données projet'!$A$192,'Données projet'!$B$192,EJ17+EI18-ER17)))</f>
        <v>8.7388518907318247</v>
      </c>
      <c r="EK18" s="18">
        <f>EJ18*VLOOKUP('Données projet'!$B$15,Paramètres!$A$1:$I$89,3,0)*VLOOKUP('Données projet'!$B$15,Paramètres!$A$1:$I$89,5,0)</f>
        <v>7.6342610117433241</v>
      </c>
      <c r="EL18" s="14">
        <f t="shared" si="45"/>
        <v>2.7769303673043324</v>
      </c>
      <c r="EM18" s="22">
        <f t="shared" si="19"/>
        <v>18.132824985174668</v>
      </c>
      <c r="EN18" s="62">
        <f t="shared" si="20"/>
        <v>222.62957491805571</v>
      </c>
      <c r="EO18" s="62">
        <f ca="1">AVERAGE(OFFSET($EN$3,0,0,'Données projet'!$E$15+1,1))-AVERAGE(OFFSET($H$3,0,0,'Données projet'!$E$15+1,1))</f>
        <v>226.37420733783091</v>
      </c>
      <c r="EP18" s="62">
        <f t="shared" si="46"/>
        <v>204.10961748628714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6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9">
        <f t="shared" si="1"/>
        <v>183.33333333333334</v>
      </c>
      <c r="I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3.5</v>
      </c>
      <c r="N19" s="14">
        <f>IF('Données projet'!$A$36&gt;35,N18+M19-V18,IF(A19&lt;'Données projet'!$A$36,$K$205^A19,IF(A19='Données projet'!$A$36,'Données projet'!$B$36,N18+M19-V18)))</f>
        <v>11.966513254080564</v>
      </c>
      <c r="O19" s="14">
        <f>N19*VLOOKUP('Données projet'!$B$9,Paramètres!$A$1:$I$89,3,0)*VLOOKUP('Données projet'!$B$9,Paramètres!$A$1:$I$89,5,0)</f>
        <v>7.0004102536371304</v>
      </c>
      <c r="P19" s="14">
        <f t="shared" si="33"/>
        <v>2.5721908122942123</v>
      </c>
      <c r="Q19" s="22">
        <f t="shared" si="2"/>
        <v>16.67228018983042</v>
      </c>
      <c r="R19" s="62">
        <f t="shared" si="0"/>
        <v>223.61432611194448</v>
      </c>
      <c r="S19" s="62">
        <f ca="1">AVERAGE(OFFSET($R$3,0,0,'Données projet'!$E$9+1,1))-AVERAGE(OFFSET($H$3,0,0,'Données projet'!$E$9+1,1))</f>
        <v>196.48726929442091</v>
      </c>
      <c r="T19" s="62">
        <f t="shared" si="34"/>
        <v>193.28400454669347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1.2</v>
      </c>
      <c r="AI19" s="14">
        <f>IF('Données projet'!$A$62&gt;35,AI18+AH19-AQ18,IF(A19&lt;'Données projet'!$A$62,$AF$205^A19,IF(A19='Données projet'!$A$62,'Données projet'!$B$62,AI18+AH19-AQ18)))</f>
        <v>8.8177463744060987</v>
      </c>
      <c r="AJ19" s="14">
        <f>AI19*VLOOKUP('Données projet'!$B$10,Paramètres!$A$1:$I$89,3,0)*VLOOKUP('Données projet'!$B$10,Paramètres!$A$1:$I$89,5,0)</f>
        <v>8.9411948236477841</v>
      </c>
      <c r="AK19" s="14">
        <f t="shared" si="35"/>
        <v>3.1930460350713803</v>
      </c>
      <c r="AL19" s="22">
        <f t="shared" si="4"/>
        <v>21.133802828935874</v>
      </c>
      <c r="AM19" s="62">
        <f t="shared" si="5"/>
        <v>228.07584875104993</v>
      </c>
      <c r="AN19" s="62">
        <f ca="1">AVERAGE(OFFSET($AM$3,0,0,'Données projet'!$E$10+1,1))-AVERAGE(OFFSET($H$3,0,0,'Données projet'!$E$10+1,1))</f>
        <v>414.29294334114661</v>
      </c>
      <c r="AO19" s="62">
        <f t="shared" si="36"/>
        <v>178.72086185623849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1.2</v>
      </c>
      <c r="BD19" s="13">
        <f>IF('Données projet'!$A$88&gt;35,BD18+BC19-BL18,IF(A19&lt;'Données projet'!$A$88,$BA$205^A19,IF(A19='Données projet'!$A$88,'Données projet'!$B$88,BD18+BC19-BL18)))</f>
        <v>8.8177463744060987</v>
      </c>
      <c r="BE19" s="14">
        <f>BD19*VLOOKUP('Données projet'!$B$11,Paramètres!$A$1:$I$89,3,0)*VLOOKUP('Données projet'!$B$11,Paramètres!$A$1:$I$89,5,0)</f>
        <v>9.4914221974107242</v>
      </c>
      <c r="BF19" s="14">
        <f t="shared" si="37"/>
        <v>3.3660610972935361</v>
      </c>
      <c r="BG19" s="22">
        <f t="shared" si="7"/>
        <v>22.393450071609919</v>
      </c>
      <c r="BH19" s="62">
        <f t="shared" si="8"/>
        <v>229.33549599372398</v>
      </c>
      <c r="BI19" s="62">
        <f ca="1">AVERAGE(OFFSET($BH$3,0,0,'Données projet'!$E$11+1,1))-AVERAGE(OFFSET($H$3,0,0,'Données projet'!$E$11+1,1))</f>
        <v>434.74983403680108</v>
      </c>
      <c r="BJ19" s="62">
        <f t="shared" si="38"/>
        <v>186.0840067781198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1.6346153846153846</v>
      </c>
      <c r="BY19" s="13">
        <f>IF('Données projet'!$A$114&gt;35,BY18+BX19-CG18,IF(A19&lt;'Données projet'!$A$114,$BV$205^A19,IF(A19='Données projet'!$A$114,'Données projet'!$B$114,BY18+BX19-CG18)))</f>
        <v>16.276329088273204</v>
      </c>
      <c r="BZ19" s="14">
        <f>BY19*VLOOKUP('Données projet'!$B$12,Paramètres!$A$1:$I$89,3,0)*VLOOKUP('Données projet'!$B$12,Paramètres!$A$1:$I$89,5,0)</f>
        <v>13.965090357738411</v>
      </c>
      <c r="CA19" s="14">
        <f t="shared" si="39"/>
        <v>4.7349208366124351</v>
      </c>
      <c r="CB19" s="22">
        <f t="shared" si="10"/>
        <v>32.569186163494386</v>
      </c>
      <c r="CC19" s="62">
        <f t="shared" si="11"/>
        <v>239.51123208560844</v>
      </c>
      <c r="CD19" s="62">
        <f ca="1">AVERAGE(OFFSET($CC$3,0,0,'Données projet'!$E$12+1,1))-AVERAGE(OFFSET($H$3,0,0,'Données projet'!$E$12+1,1))</f>
        <v>288.24759203983547</v>
      </c>
      <c r="CE19" s="62">
        <f t="shared" si="40"/>
        <v>188.86613033148794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1.6346153846153846</v>
      </c>
      <c r="CT19" s="13">
        <f>IF('Données projet'!$A$140&gt;35,CT18+CS19-DB18,IF(A19&lt;'Données projet'!$A$140,$CQ$205^A19,IF(A19='Données projet'!$A$140,'Données projet'!$B$140,CT18+CS19-DB18)))</f>
        <v>16.276329088273204</v>
      </c>
      <c r="CU19" s="18">
        <f>CT19*VLOOKUP('Données projet'!$B$13,Paramètres!$A$1:$I$89,3,0)*VLOOKUP('Données projet'!$B$13,Paramètres!$A$1:$I$89,5,0)</f>
        <v>10.918161552413665</v>
      </c>
      <c r="CV19" s="14">
        <f t="shared" si="41"/>
        <v>3.8094385934513699</v>
      </c>
      <c r="CW19" s="22">
        <f t="shared" si="13"/>
        <v>25.650570254048265</v>
      </c>
      <c r="CX19" s="62">
        <f t="shared" si="14"/>
        <v>232.59261617616232</v>
      </c>
      <c r="CY19" s="62">
        <f ca="1">AVERAGE(OFFSET($CX$3,0,0,'Données projet'!$E$13+1,1))-AVERAGE(OFFSET($H$3,0,0,'Données projet'!$E$13+1,1))</f>
        <v>240.40157928925146</v>
      </c>
      <c r="CZ19" s="62">
        <f t="shared" si="42"/>
        <v>160.5013084380258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1.2</v>
      </c>
      <c r="DO19" s="13">
        <f>IF('Données projet'!$A$166&gt;35,DO18+DN19-DW18,IF(A19&lt;'Données projet'!$A$166,$DL$205^A19,IF(A19='Données projet'!$A$166,'Données projet'!$B$166,DO18+DN19-DW18)))</f>
        <v>8.8177463744060987</v>
      </c>
      <c r="DP19" s="18">
        <f>DO19*VLOOKUP('Données projet'!$B$14,Paramètres!$A$1:$I$89,3,0)*VLOOKUP('Données projet'!$B$14,Paramètres!$A$1:$I$89,5,0)</f>
        <v>8.528524293325578</v>
      </c>
      <c r="DQ19" s="14">
        <f t="shared" si="43"/>
        <v>3.0624727628647754</v>
      </c>
      <c r="DR19" s="22">
        <f t="shared" si="16"/>
        <v>20.187653206198199</v>
      </c>
      <c r="DS19" s="62">
        <f t="shared" si="17"/>
        <v>227.12969912831227</v>
      </c>
      <c r="DT19" s="62">
        <f ca="1">AVERAGE(OFFSET($DS$3,0,0,'Données projet'!$E$14+1,1))-AVERAGE(OFFSET($H$3,0,0,'Données projet'!$E$14+1,1))</f>
        <v>398.93296311353788</v>
      </c>
      <c r="DU19" s="62">
        <f t="shared" si="44"/>
        <v>173.19148969173838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0.9</v>
      </c>
      <c r="EJ19" s="13">
        <f>IF('Données projet'!$A$192&gt;35,EJ18+EI19-ER18,IF(A19&lt;'Données projet'!$A$192,$EG$205^A19,IF(A19='Données projet'!$A$192,'Données projet'!$B$192,EJ18+EI19-ER18)))</f>
        <v>10.097596309015799</v>
      </c>
      <c r="EK19" s="18">
        <f>EJ19*VLOOKUP('Données projet'!$B$15,Paramètres!$A$1:$I$89,3,0)*VLOOKUP('Données projet'!$B$15,Paramètres!$A$1:$I$89,5,0)</f>
        <v>8.8212601355562033</v>
      </c>
      <c r="EL19" s="14">
        <f t="shared" si="45"/>
        <v>3.1551711996443523</v>
      </c>
      <c r="EM19" s="22">
        <f t="shared" si="19"/>
        <v>20.858951242140964</v>
      </c>
      <c r="EN19" s="62">
        <f t="shared" si="20"/>
        <v>227.80099716425502</v>
      </c>
      <c r="EO19" s="62">
        <f ca="1">AVERAGE(OFFSET($EN$3,0,0,'Données projet'!$E$15+1,1))-AVERAGE(OFFSET($H$3,0,0,'Données projet'!$E$15+1,1))</f>
        <v>226.37420733783091</v>
      </c>
      <c r="EP19" s="62">
        <f t="shared" si="46"/>
        <v>204.10961748628714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6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9">
        <f t="shared" si="1"/>
        <v>183.33333333333334</v>
      </c>
      <c r="I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3.5</v>
      </c>
      <c r="N20" s="14">
        <f>IF('Données projet'!$A$36&gt;35,N19+M20-V19,IF(A20&lt;'Données projet'!$A$36,$K$205^A20,IF(A20='Données projet'!$A$36,'Données projet'!$B$36,N19+M20-V19)))</f>
        <v>13.974639161514091</v>
      </c>
      <c r="O20" s="14">
        <f>N20*VLOOKUP('Données projet'!$B$9,Paramètres!$A$1:$I$89,3,0)*VLOOKUP('Données projet'!$B$9,Paramètres!$A$1:$I$89,5,0)</f>
        <v>8.1751639094857431</v>
      </c>
      <c r="P20" s="14">
        <f t="shared" si="33"/>
        <v>2.9500810289986039</v>
      </c>
      <c r="Q20" s="22">
        <f t="shared" si="2"/>
        <v>19.376468267860236</v>
      </c>
      <c r="R20" s="62">
        <f t="shared" si="0"/>
        <v>228.74259258373297</v>
      </c>
      <c r="S20" s="62">
        <f ca="1">AVERAGE(OFFSET($R$3,0,0,'Données projet'!$E$9+1,1))-AVERAGE(OFFSET($H$3,0,0,'Données projet'!$E$9+1,1))</f>
        <v>196.48726929442091</v>
      </c>
      <c r="T20" s="62">
        <f t="shared" si="34"/>
        <v>193.28400454669347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1.2</v>
      </c>
      <c r="AI20" s="14">
        <f>IF('Données projet'!$A$62&gt;35,AI19+AH20-AQ19,IF(A20&lt;'Données projet'!$A$62,$AF$205^A20,IF(A20='Données projet'!$A$62,'Données projet'!$B$62,AI19+AH20-AQ19)))</f>
        <v>10.102816228956828</v>
      </c>
      <c r="AJ20" s="14">
        <f>AI20*VLOOKUP('Données projet'!$B$10,Paramètres!$A$1:$I$89,3,0)*VLOOKUP('Données projet'!$B$10,Paramètres!$A$1:$I$89,5,0)</f>
        <v>10.244255656162224</v>
      </c>
      <c r="AK20" s="14">
        <f t="shared" si="35"/>
        <v>3.6009123769158946</v>
      </c>
      <c r="AL20" s="22">
        <f t="shared" si="4"/>
        <v>24.113667657611057</v>
      </c>
      <c r="AM20" s="62">
        <f t="shared" si="5"/>
        <v>233.47979197348377</v>
      </c>
      <c r="AN20" s="62">
        <f ca="1">AVERAGE(OFFSET($AM$3,0,0,'Données projet'!$E$10+1,1))-AVERAGE(OFFSET($H$3,0,0,'Données projet'!$E$10+1,1))</f>
        <v>414.29294334114661</v>
      </c>
      <c r="AO20" s="62">
        <f t="shared" si="36"/>
        <v>178.72086185623849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1.2</v>
      </c>
      <c r="BD20" s="13">
        <f>IF('Données projet'!$A$88&gt;35,BD19+BC20-BL19,IF(A20&lt;'Données projet'!$A$88,$BA$205^A20,IF(A20='Données projet'!$A$88,'Données projet'!$B$88,BD19+BC20-BL19)))</f>
        <v>10.102816228956828</v>
      </c>
      <c r="BE20" s="14">
        <f>BD20*VLOOKUP('Données projet'!$B$11,Paramètres!$A$1:$I$89,3,0)*VLOOKUP('Données projet'!$B$11,Paramètres!$A$1:$I$89,5,0)</f>
        <v>10.874671388849128</v>
      </c>
      <c r="BF20" s="14">
        <f t="shared" si="37"/>
        <v>3.7960276593470508</v>
      </c>
      <c r="BG20" s="22">
        <f t="shared" si="7"/>
        <v>25.551467508941673</v>
      </c>
      <c r="BH20" s="62">
        <f t="shared" si="8"/>
        <v>234.91759182481439</v>
      </c>
      <c r="BI20" s="62">
        <f ca="1">AVERAGE(OFFSET($BH$3,0,0,'Données projet'!$E$11+1,1))-AVERAGE(OFFSET($H$3,0,0,'Données projet'!$E$11+1,1))</f>
        <v>434.74983403680108</v>
      </c>
      <c r="BJ20" s="62">
        <f t="shared" si="38"/>
        <v>186.0840067781198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1.6346153846153846</v>
      </c>
      <c r="BY20" s="13">
        <f>IF('Données projet'!$A$114&gt;35,BY19+BX20-CG19,IF(A20&lt;'Données projet'!$A$114,$BV$205^A20,IF(A20='Données projet'!$A$114,'Données projet'!$B$114,BY19+BX20-CG19)))</f>
        <v>19.376652070196204</v>
      </c>
      <c r="BZ20" s="14">
        <f>BY20*VLOOKUP('Données projet'!$B$12,Paramètres!$A$1:$I$89,3,0)*VLOOKUP('Données projet'!$B$12,Paramètres!$A$1:$I$89,5,0)</f>
        <v>16.625167476228345</v>
      </c>
      <c r="CA20" s="14">
        <f t="shared" si="39"/>
        <v>5.5235835560861011</v>
      </c>
      <c r="CB20" s="22">
        <f t="shared" si="10"/>
        <v>38.575741381280992</v>
      </c>
      <c r="CC20" s="62">
        <f t="shared" si="11"/>
        <v>247.94186569715373</v>
      </c>
      <c r="CD20" s="62">
        <f ca="1">AVERAGE(OFFSET($CC$3,0,0,'Données projet'!$E$12+1,1))-AVERAGE(OFFSET($H$3,0,0,'Données projet'!$E$12+1,1))</f>
        <v>288.24759203983547</v>
      </c>
      <c r="CE20" s="62">
        <f t="shared" si="40"/>
        <v>188.86613033148794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1.6346153846153846</v>
      </c>
      <c r="CT20" s="13">
        <f>IF('Données projet'!$A$140&gt;35,CT19+CS20-DB19,IF(A20&lt;'Données projet'!$A$140,$CQ$205^A20,IF(A20='Données projet'!$A$140,'Données projet'!$B$140,CT19+CS20-DB19)))</f>
        <v>19.376652070196204</v>
      </c>
      <c r="CU20" s="18">
        <f>CT20*VLOOKUP('Données projet'!$B$13,Paramètres!$A$1:$I$89,3,0)*VLOOKUP('Données projet'!$B$13,Paramètres!$A$1:$I$89,5,0)</f>
        <v>12.997858208687614</v>
      </c>
      <c r="CV20" s="14">
        <f t="shared" si="41"/>
        <v>4.4439501944792648</v>
      </c>
      <c r="CW20" s="22">
        <f t="shared" si="13"/>
        <v>30.37781630218231</v>
      </c>
      <c r="CX20" s="62">
        <f t="shared" si="14"/>
        <v>239.74394061805503</v>
      </c>
      <c r="CY20" s="62">
        <f ca="1">AVERAGE(OFFSET($CX$3,0,0,'Données projet'!$E$13+1,1))-AVERAGE(OFFSET($H$3,0,0,'Données projet'!$E$13+1,1))</f>
        <v>240.40157928925146</v>
      </c>
      <c r="CZ20" s="62">
        <f t="shared" si="42"/>
        <v>160.5013084380258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1.2</v>
      </c>
      <c r="DO20" s="13">
        <f>IF('Données projet'!$A$166&gt;35,DO19+DN20-DW19,IF(A20&lt;'Données projet'!$A$166,$DL$205^A20,IF(A20='Données projet'!$A$166,'Données projet'!$B$166,DO19+DN20-DW19)))</f>
        <v>10.102816228956828</v>
      </c>
      <c r="DP20" s="18">
        <f>DO20*VLOOKUP('Données projet'!$B$14,Paramètres!$A$1:$I$89,3,0)*VLOOKUP('Données projet'!$B$14,Paramètres!$A$1:$I$89,5,0)</f>
        <v>9.7714438566470445</v>
      </c>
      <c r="DQ20" s="14">
        <f t="shared" si="43"/>
        <v>3.4536602211941068</v>
      </c>
      <c r="DR20" s="22">
        <f t="shared" si="16"/>
        <v>23.033722935573341</v>
      </c>
      <c r="DS20" s="62">
        <f t="shared" si="17"/>
        <v>232.39984725144606</v>
      </c>
      <c r="DT20" s="62">
        <f ca="1">AVERAGE(OFFSET($DS$3,0,0,'Données projet'!$E$14+1,1))-AVERAGE(OFFSET($H$3,0,0,'Données projet'!$E$14+1,1))</f>
        <v>398.93296311353788</v>
      </c>
      <c r="DU20" s="62">
        <f t="shared" si="44"/>
        <v>173.19148969173838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0.9</v>
      </c>
      <c r="EJ20" s="13">
        <f>IF('Données projet'!$A$192&gt;35,EJ19+EI20-ER19,IF(A20&lt;'Données projet'!$A$192,$EG$205^A20,IF(A20='Données projet'!$A$192,'Données projet'!$B$192,EJ19+EI20-ER19)))</f>
        <v>11.667602620429678</v>
      </c>
      <c r="EK20" s="18">
        <f>EJ20*VLOOKUP('Données projet'!$B$15,Paramètres!$A$1:$I$89,3,0)*VLOOKUP('Données projet'!$B$15,Paramètres!$A$1:$I$89,5,0)</f>
        <v>10.192817649207369</v>
      </c>
      <c r="EL20" s="14">
        <f t="shared" si="45"/>
        <v>3.5849315547400531</v>
      </c>
      <c r="EM20" s="22">
        <f t="shared" si="19"/>
        <v>23.996246530208428</v>
      </c>
      <c r="EN20" s="62">
        <f t="shared" si="20"/>
        <v>233.36237084608115</v>
      </c>
      <c r="EO20" s="62">
        <f ca="1">AVERAGE(OFFSET($EN$3,0,0,'Données projet'!$E$15+1,1))-AVERAGE(OFFSET($H$3,0,0,'Données projet'!$E$15+1,1))</f>
        <v>226.37420733783091</v>
      </c>
      <c r="EP20" s="62">
        <f t="shared" si="46"/>
        <v>204.10961748628714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6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9">
        <f t="shared" si="1"/>
        <v>183.33333333333334</v>
      </c>
      <c r="I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3.5</v>
      </c>
      <c r="N21" s="14">
        <f>IF('Données projet'!$A$36&gt;35,N20+M21-V20,IF(A21&lt;'Données projet'!$A$36,$K$205^A21,IF(A21='Données projet'!$A$36,'Données projet'!$B$36,N20+M21-V20)))</f>
        <v>16.319752926185867</v>
      </c>
      <c r="O21" s="14">
        <f>N21*VLOOKUP('Données projet'!$B$9,Paramètres!$A$1:$I$89,3,0)*VLOOKUP('Données projet'!$B$9,Paramètres!$A$1:$I$89,5,0)</f>
        <v>9.5470554618187329</v>
      </c>
      <c r="P21" s="14">
        <f t="shared" si="33"/>
        <v>3.3834885172826734</v>
      </c>
      <c r="Q21" s="22">
        <f t="shared" si="2"/>
        <v>22.520697430268285</v>
      </c>
      <c r="R21" s="62">
        <f t="shared" si="0"/>
        <v>234.29005062227139</v>
      </c>
      <c r="S21" s="62">
        <f ca="1">AVERAGE(OFFSET($R$3,0,0,'Données projet'!$E$9+1,1))-AVERAGE(OFFSET($H$3,0,0,'Données projet'!$E$9+1,1))</f>
        <v>196.48726929442091</v>
      </c>
      <c r="T21" s="62">
        <f t="shared" si="34"/>
        <v>193.28400454669347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1.2</v>
      </c>
      <c r="AI21" s="14">
        <f>IF('Données projet'!$A$62&gt;35,AI20+AH21-AQ20,IF(A21&lt;'Données projet'!$A$62,$AF$205^A21,IF(A21='Données projet'!$A$62,'Données projet'!$B$62,AI20+AH21-AQ20)))</f>
        <v>11.575168010312384</v>
      </c>
      <c r="AJ21" s="14">
        <f>AI21*VLOOKUP('Données projet'!$B$10,Paramètres!$A$1:$I$89,3,0)*VLOOKUP('Données projet'!$B$10,Paramètres!$A$1:$I$89,5,0)</f>
        <v>11.737220362456757</v>
      </c>
      <c r="AK21" s="14">
        <f t="shared" si="35"/>
        <v>4.0608778588863084</v>
      </c>
      <c r="AL21" s="22">
        <f t="shared" si="4"/>
        <v>27.515021068839172</v>
      </c>
      <c r="AM21" s="62">
        <f t="shared" si="5"/>
        <v>239.28437426084227</v>
      </c>
      <c r="AN21" s="62">
        <f ca="1">AVERAGE(OFFSET($AM$3,0,0,'Données projet'!$E$10+1,1))-AVERAGE(OFFSET($H$3,0,0,'Données projet'!$E$10+1,1))</f>
        <v>414.29294334114661</v>
      </c>
      <c r="AO21" s="62">
        <f t="shared" si="36"/>
        <v>178.72086185623849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1.2</v>
      </c>
      <c r="BD21" s="13">
        <f>IF('Données projet'!$A$88&gt;35,BD20+BC21-BL20,IF(A21&lt;'Données projet'!$A$88,$BA$205^A21,IF(A21='Données projet'!$A$88,'Données projet'!$B$88,BD20+BC21-BL20)))</f>
        <v>11.575168010312384</v>
      </c>
      <c r="BE21" s="14">
        <f>BD21*VLOOKUP('Données projet'!$B$11,Paramètres!$A$1:$I$89,3,0)*VLOOKUP('Données projet'!$B$11,Paramètres!$A$1:$I$89,5,0)</f>
        <v>12.459510846300249</v>
      </c>
      <c r="BF21" s="14">
        <f t="shared" si="37"/>
        <v>4.2809163511957635</v>
      </c>
      <c r="BG21" s="22">
        <f t="shared" si="7"/>
        <v>29.156244035638881</v>
      </c>
      <c r="BH21" s="62">
        <f t="shared" si="8"/>
        <v>240.92559722764199</v>
      </c>
      <c r="BI21" s="62">
        <f ca="1">AVERAGE(OFFSET($BH$3,0,0,'Données projet'!$E$11+1,1))-AVERAGE(OFFSET($H$3,0,0,'Données projet'!$E$11+1,1))</f>
        <v>434.74983403680108</v>
      </c>
      <c r="BJ21" s="62">
        <f t="shared" si="38"/>
        <v>186.0840067781198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1.6346153846153846</v>
      </c>
      <c r="BY21" s="13">
        <f>IF('Données projet'!$A$114&gt;35,BY20+BX21-CG20,IF(A21&lt;'Données projet'!$A$114,$BV$205^A21,IF(A21='Données projet'!$A$114,'Données projet'!$B$114,BY20+BX21-CG20)))</f>
        <v>23.067526062737759</v>
      </c>
      <c r="BZ21" s="14">
        <f>BY21*VLOOKUP('Données projet'!$B$12,Paramètres!$A$1:$I$89,3,0)*VLOOKUP('Données projet'!$B$12,Paramètres!$A$1:$I$89,5,0)</f>
        <v>19.791937361829</v>
      </c>
      <c r="CA21" s="14">
        <f t="shared" si="39"/>
        <v>6.4436083207872388</v>
      </c>
      <c r="CB21" s="22">
        <f t="shared" si="10"/>
        <v>45.693575397223277</v>
      </c>
      <c r="CC21" s="62">
        <f t="shared" si="11"/>
        <v>257.46292858922641</v>
      </c>
      <c r="CD21" s="62">
        <f ca="1">AVERAGE(OFFSET($CC$3,0,0,'Données projet'!$E$12+1,1))-AVERAGE(OFFSET($H$3,0,0,'Données projet'!$E$12+1,1))</f>
        <v>288.24759203983547</v>
      </c>
      <c r="CE21" s="62">
        <f t="shared" si="40"/>
        <v>188.86613033148794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1.6346153846153846</v>
      </c>
      <c r="CT21" s="13">
        <f>IF('Données projet'!$A$140&gt;35,CT20+CS21-DB20,IF(A21&lt;'Données projet'!$A$140,$CQ$205^A21,IF(A21='Données projet'!$A$140,'Données projet'!$B$140,CT20+CS21-DB20)))</f>
        <v>23.067526062737759</v>
      </c>
      <c r="CU21" s="18">
        <f>CT21*VLOOKUP('Données projet'!$B$13,Paramètres!$A$1:$I$89,3,0)*VLOOKUP('Données projet'!$B$13,Paramètres!$A$1:$I$89,5,0)</f>
        <v>15.473696482884488</v>
      </c>
      <c r="CV21" s="14">
        <f t="shared" si="41"/>
        <v>5.1841479647319577</v>
      </c>
      <c r="CW21" s="22">
        <f t="shared" si="13"/>
        <v>35.979079079598641</v>
      </c>
      <c r="CX21" s="62">
        <f t="shared" si="14"/>
        <v>247.74843227160176</v>
      </c>
      <c r="CY21" s="62">
        <f ca="1">AVERAGE(OFFSET($CX$3,0,0,'Données projet'!$E$13+1,1))-AVERAGE(OFFSET($H$3,0,0,'Données projet'!$E$13+1,1))</f>
        <v>240.40157928925146</v>
      </c>
      <c r="CZ21" s="62">
        <f t="shared" si="42"/>
        <v>160.5013084380258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1.2</v>
      </c>
      <c r="DO21" s="13">
        <f>IF('Données projet'!$A$166&gt;35,DO20+DN21-DW20,IF(A21&lt;'Données projet'!$A$166,$DL$205^A21,IF(A21='Données projet'!$A$166,'Données projet'!$B$166,DO20+DN21-DW20)))</f>
        <v>11.575168010312384</v>
      </c>
      <c r="DP21" s="18">
        <f>DO21*VLOOKUP('Données projet'!$B$14,Paramètres!$A$1:$I$89,3,0)*VLOOKUP('Données projet'!$B$14,Paramètres!$A$1:$I$89,5,0)</f>
        <v>11.195502499574138</v>
      </c>
      <c r="DQ21" s="14">
        <f t="shared" si="43"/>
        <v>3.8948163288481799</v>
      </c>
      <c r="DR21" s="22">
        <f t="shared" si="16"/>
        <v>26.282305292835535</v>
      </c>
      <c r="DS21" s="62">
        <f t="shared" si="17"/>
        <v>238.05165848483864</v>
      </c>
      <c r="DT21" s="62">
        <f ca="1">AVERAGE(OFFSET($DS$3,0,0,'Données projet'!$E$14+1,1))-AVERAGE(OFFSET($H$3,0,0,'Données projet'!$E$14+1,1))</f>
        <v>398.93296311353788</v>
      </c>
      <c r="DU21" s="62">
        <f t="shared" si="44"/>
        <v>173.19148969173838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0.9</v>
      </c>
      <c r="EJ21" s="13">
        <f>IF('Données projet'!$A$192&gt;35,EJ20+EI21-ER20,IF(A21&lt;'Données projet'!$A$192,$EG$205^A21,IF(A21='Données projet'!$A$192,'Données projet'!$B$192,EJ20+EI21-ER20)))</f>
        <v>13.48171849440139</v>
      </c>
      <c r="EK21" s="18">
        <f>EJ21*VLOOKUP('Données projet'!$B$15,Paramètres!$A$1:$I$89,3,0)*VLOOKUP('Données projet'!$B$15,Paramètres!$A$1:$I$89,5,0)</f>
        <v>11.777629276709055</v>
      </c>
      <c r="EL21" s="14">
        <f t="shared" si="45"/>
        <v>4.0732288167499631</v>
      </c>
      <c r="EM21" s="22">
        <f t="shared" si="19"/>
        <v>27.606911179441123</v>
      </c>
      <c r="EN21" s="62">
        <f t="shared" si="20"/>
        <v>239.37626437144422</v>
      </c>
      <c r="EO21" s="62">
        <f ca="1">AVERAGE(OFFSET($EN$3,0,0,'Données projet'!$E$15+1,1))-AVERAGE(OFFSET($H$3,0,0,'Données projet'!$E$15+1,1))</f>
        <v>226.37420733783091</v>
      </c>
      <c r="EP21" s="62">
        <f t="shared" si="46"/>
        <v>204.10961748628714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6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9">
        <f t="shared" si="1"/>
        <v>183.33333333333334</v>
      </c>
      <c r="I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3.5</v>
      </c>
      <c r="N22" s="14">
        <f>IF('Données projet'!$A$36&gt;35,N21+M22-V21,IF(A22&lt;'Données projet'!$A$36,$K$205^A22,IF(A22='Données projet'!$A$36,'Données projet'!$B$36,N21+M22-V21)))</f>
        <v>19.058405193404369</v>
      </c>
      <c r="O22" s="14">
        <f>N22*VLOOKUP('Données projet'!$B$9,Paramètres!$A$1:$I$89,3,0)*VLOOKUP('Données projet'!$B$9,Paramètres!$A$1:$I$89,5,0)</f>
        <v>11.149167038141556</v>
      </c>
      <c r="P22" s="14">
        <f t="shared" si="33"/>
        <v>3.8805695281087571</v>
      </c>
      <c r="Q22" s="22">
        <f t="shared" si="2"/>
        <v>26.176791186219294</v>
      </c>
      <c r="R22" s="62">
        <f t="shared" si="0"/>
        <v>240.32888542924283</v>
      </c>
      <c r="S22" s="62">
        <f ca="1">AVERAGE(OFFSET($R$3,0,0,'Données projet'!$E$9+1,1))-AVERAGE(OFFSET($H$3,0,0,'Données projet'!$E$9+1,1))</f>
        <v>196.48726929442091</v>
      </c>
      <c r="T22" s="62">
        <f t="shared" si="34"/>
        <v>193.28400454669347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1.2</v>
      </c>
      <c r="AI22" s="14">
        <f>IF('Données projet'!$A$62&gt;35,AI21+AH22-AQ21,IF(A22&lt;'Données projet'!$A$62,$AF$205^A22,IF(A22='Données projet'!$A$62,'Données projet'!$B$62,AI21+AH22-AQ21)))</f>
        <v>13.262095581124292</v>
      </c>
      <c r="AJ22" s="14">
        <f>AI22*VLOOKUP('Données projet'!$B$10,Paramètres!$A$1:$I$89,3,0)*VLOOKUP('Données projet'!$B$10,Paramètres!$A$1:$I$89,5,0)</f>
        <v>13.447764919260033</v>
      </c>
      <c r="AK22" s="14">
        <f t="shared" si="35"/>
        <v>4.5795974071762906</v>
      </c>
      <c r="AL22" s="22">
        <f t="shared" si="4"/>
        <v>31.397656051876599</v>
      </c>
      <c r="AM22" s="62">
        <f t="shared" si="5"/>
        <v>245.54975029490012</v>
      </c>
      <c r="AN22" s="62">
        <f ca="1">AVERAGE(OFFSET($AM$3,0,0,'Données projet'!$E$10+1,1))-AVERAGE(OFFSET($H$3,0,0,'Données projet'!$E$10+1,1))</f>
        <v>414.29294334114661</v>
      </c>
      <c r="AO22" s="62">
        <f t="shared" si="36"/>
        <v>178.72086185623849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1.2</v>
      </c>
      <c r="BD22" s="13">
        <f>IF('Données projet'!$A$88&gt;35,BD21+BC22-BL21,IF(A22&lt;'Données projet'!$A$88,$BA$205^A22,IF(A22='Données projet'!$A$88,'Données projet'!$B$88,BD21+BC22-BL21)))</f>
        <v>13.262095581124292</v>
      </c>
      <c r="BE22" s="14">
        <f>BD22*VLOOKUP('Données projet'!$B$11,Paramètres!$A$1:$I$89,3,0)*VLOOKUP('Données projet'!$B$11,Paramètres!$A$1:$I$89,5,0)</f>
        <v>14.275319683522188</v>
      </c>
      <c r="BF22" s="14">
        <f t="shared" si="37"/>
        <v>4.8277426959232219</v>
      </c>
      <c r="BG22" s="22">
        <f t="shared" si="7"/>
        <v>33.271166977534087</v>
      </c>
      <c r="BH22" s="62">
        <f t="shared" si="8"/>
        <v>247.42326122055761</v>
      </c>
      <c r="BI22" s="62">
        <f ca="1">AVERAGE(OFFSET($BH$3,0,0,'Données projet'!$E$11+1,1))-AVERAGE(OFFSET($H$3,0,0,'Données projet'!$E$11+1,1))</f>
        <v>434.74983403680108</v>
      </c>
      <c r="BJ22" s="62">
        <f t="shared" si="38"/>
        <v>186.0840067781198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1.6346153846153846</v>
      </c>
      <c r="BY22" s="13">
        <f>IF('Données projet'!$A$114&gt;35,BY21+BX22-CG21,IF(A22&lt;'Données projet'!$A$114,$BV$205^A22,IF(A22='Données projet'!$A$114,'Données projet'!$B$114,BY21+BX22-CG21)))</f>
        <v>27.461439506030089</v>
      </c>
      <c r="BZ22" s="14">
        <f>BY22*VLOOKUP('Données projet'!$B$12,Paramètres!$A$1:$I$89,3,0)*VLOOKUP('Données projet'!$B$12,Paramètres!$A$1:$I$89,5,0)</f>
        <v>23.561915096173816</v>
      </c>
      <c r="CA22" s="14">
        <f t="shared" si="39"/>
        <v>7.5168751898339758</v>
      </c>
      <c r="CB22" s="22">
        <f t="shared" si="10"/>
        <v>54.128893081463566</v>
      </c>
      <c r="CC22" s="62">
        <f t="shared" si="11"/>
        <v>268.28098732448711</v>
      </c>
      <c r="CD22" s="62">
        <f ca="1">AVERAGE(OFFSET($CC$3,0,0,'Données projet'!$E$12+1,1))-AVERAGE(OFFSET($H$3,0,0,'Données projet'!$E$12+1,1))</f>
        <v>288.24759203983547</v>
      </c>
      <c r="CE22" s="62">
        <f t="shared" si="40"/>
        <v>188.86613033148794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1.6346153846153846</v>
      </c>
      <c r="CT22" s="13">
        <f>IF('Données projet'!$A$140&gt;35,CT21+CS22-DB21,IF(A22&lt;'Données projet'!$A$140,$CQ$205^A22,IF(A22='Données projet'!$A$140,'Données projet'!$B$140,CT21+CS22-DB21)))</f>
        <v>27.461439506030089</v>
      </c>
      <c r="CU22" s="18">
        <f>CT22*VLOOKUP('Données projet'!$B$13,Paramètres!$A$1:$I$89,3,0)*VLOOKUP('Données projet'!$B$13,Paramètres!$A$1:$I$89,5,0)</f>
        <v>18.421133620644984</v>
      </c>
      <c r="CV22" s="14">
        <f t="shared" si="41"/>
        <v>6.0476353118497785</v>
      </c>
      <c r="CW22" s="22">
        <f t="shared" si="13"/>
        <v>42.616439224095039</v>
      </c>
      <c r="CX22" s="62">
        <f t="shared" si="14"/>
        <v>256.76853346711857</v>
      </c>
      <c r="CY22" s="62">
        <f ca="1">AVERAGE(OFFSET($CX$3,0,0,'Données projet'!$E$13+1,1))-AVERAGE(OFFSET($H$3,0,0,'Données projet'!$E$13+1,1))</f>
        <v>240.40157928925146</v>
      </c>
      <c r="CZ22" s="62">
        <f t="shared" si="42"/>
        <v>160.5013084380258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1.2</v>
      </c>
      <c r="DO22" s="13">
        <f>IF('Données projet'!$A$166&gt;35,DO21+DN22-DW21,IF(A22&lt;'Données projet'!$A$166,$DL$205^A22,IF(A22='Données projet'!$A$166,'Données projet'!$B$166,DO21+DN22-DW21)))</f>
        <v>13.262095581124292</v>
      </c>
      <c r="DP22" s="18">
        <f>DO22*VLOOKUP('Données projet'!$B$14,Paramètres!$A$1:$I$89,3,0)*VLOOKUP('Données projet'!$B$14,Paramètres!$A$1:$I$89,5,0)</f>
        <v>12.827098846063416</v>
      </c>
      <c r="DQ22" s="14">
        <f t="shared" si="43"/>
        <v>4.3923238720390128</v>
      </c>
      <c r="DR22" s="22">
        <f t="shared" si="16"/>
        <v>29.990494567361733</v>
      </c>
      <c r="DS22" s="62">
        <f t="shared" si="17"/>
        <v>244.14258881038526</v>
      </c>
      <c r="DT22" s="62">
        <f ca="1">AVERAGE(OFFSET($DS$3,0,0,'Données projet'!$E$14+1,1))-AVERAGE(OFFSET($H$3,0,0,'Données projet'!$E$14+1,1))</f>
        <v>398.93296311353788</v>
      </c>
      <c r="DU22" s="62">
        <f t="shared" si="44"/>
        <v>173.19148969173838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0.9</v>
      </c>
      <c r="EJ22" s="13">
        <f>IF('Données projet'!$A$192&gt;35,EJ21+EI22-ER21,IF(A22&lt;'Données projet'!$A$192,$EG$205^A22,IF(A22='Données projet'!$A$192,'Données projet'!$B$192,EJ21+EI22-ER21)))</f>
        <v>15.577898860219406</v>
      </c>
      <c r="EK22" s="18">
        <f>EJ22*VLOOKUP('Données projet'!$B$15,Paramètres!$A$1:$I$89,3,0)*VLOOKUP('Données projet'!$B$15,Paramètres!$A$1:$I$89,5,0)</f>
        <v>13.608852444287676</v>
      </c>
      <c r="EL22" s="14">
        <f t="shared" si="45"/>
        <v>4.6280361954652021</v>
      </c>
      <c r="EM22" s="22">
        <f t="shared" si="19"/>
        <v>31.762581047569586</v>
      </c>
      <c r="EN22" s="62">
        <f t="shared" si="20"/>
        <v>245.91467529059312</v>
      </c>
      <c r="EO22" s="62">
        <f ca="1">AVERAGE(OFFSET($EN$3,0,0,'Données projet'!$E$15+1,1))-AVERAGE(OFFSET($H$3,0,0,'Données projet'!$E$15+1,1))</f>
        <v>226.37420733783091</v>
      </c>
      <c r="EP22" s="62">
        <f t="shared" si="46"/>
        <v>204.10961748628714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6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9">
        <f t="shared" si="1"/>
        <v>183.33333333333334</v>
      </c>
      <c r="I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3.5</v>
      </c>
      <c r="N23" s="14">
        <f>IF('Données projet'!$A$36&gt;35,N22+M23-V22,IF(A23&lt;'Données projet'!$A$36,$K$205^A23,IF(A23='Données projet'!$A$36,'Données projet'!$B$36,N22+M23-V22)))</f>
        <v>22.256636491914854</v>
      </c>
      <c r="O23" s="14">
        <f>N23*VLOOKUP('Données projet'!$B$9,Paramètres!$A$1:$I$89,3,0)*VLOOKUP('Données projet'!$B$9,Paramètres!$A$1:$I$89,5,0)</f>
        <v>13.02013234777019</v>
      </c>
      <c r="P23" s="14">
        <f t="shared" si="33"/>
        <v>4.4506785779134734</v>
      </c>
      <c r="Q23" s="22">
        <f t="shared" si="2"/>
        <v>30.428329028899054</v>
      </c>
      <c r="R23" s="62">
        <f t="shared" si="0"/>
        <v>246.94303191579476</v>
      </c>
      <c r="S23" s="62">
        <f ca="1">AVERAGE(OFFSET($R$3,0,0,'Données projet'!$E$9+1,1))-AVERAGE(OFFSET($H$3,0,0,'Données projet'!$E$9+1,1))</f>
        <v>196.48726929442091</v>
      </c>
      <c r="T23" s="62">
        <f t="shared" si="34"/>
        <v>193.28400454669347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7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1.2</v>
      </c>
      <c r="AI23" s="14">
        <f>IF('Données projet'!$A$62&gt;35,AI22+AH23-AQ22,IF(A23&lt;'Données projet'!$A$62,$AF$205^A23,IF(A23='Données projet'!$A$62,'Données projet'!$B$62,AI22+AH23-AQ22)))</f>
        <v>15.194870523363559</v>
      </c>
      <c r="AJ23" s="14">
        <f>AI23*VLOOKUP('Données projet'!$B$10,Paramètres!$A$1:$I$89,3,0)*VLOOKUP('Données projet'!$B$10,Paramètres!$A$1:$I$89,5,0)</f>
        <v>15.407598710690648</v>
      </c>
      <c r="AK23" s="14">
        <f t="shared" si="35"/>
        <v>5.1645760204094255</v>
      </c>
      <c r="AL23" s="22">
        <f t="shared" si="4"/>
        <v>35.829870989999293</v>
      </c>
      <c r="AM23" s="62">
        <f t="shared" si="5"/>
        <v>252.34457387689503</v>
      </c>
      <c r="AN23" s="62">
        <f ca="1">AVERAGE(OFFSET($AM$3,0,0,'Données projet'!$E$10+1,1))-AVERAGE(OFFSET($H$3,0,0,'Données projet'!$E$10+1,1))</f>
        <v>414.29294334114661</v>
      </c>
      <c r="AO23" s="62">
        <f t="shared" si="36"/>
        <v>178.72086185623849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1.2</v>
      </c>
      <c r="BD23" s="13">
        <f>IF('Données projet'!$A$88&gt;35,BD22+BC23-BL22,IF(A23&lt;'Données projet'!$A$88,$BA$205^A23,IF(A23='Données projet'!$A$88,'Données projet'!$B$88,BD22+BC23-BL22)))</f>
        <v>15.194870523363559</v>
      </c>
      <c r="BE23" s="14">
        <f>BD23*VLOOKUP('Données projet'!$B$11,Paramètres!$A$1:$I$89,3,0)*VLOOKUP('Données projet'!$B$11,Paramètres!$A$1:$I$89,5,0)</f>
        <v>16.355758631348532</v>
      </c>
      <c r="BF23" s="14">
        <f t="shared" si="37"/>
        <v>5.4444183501809773</v>
      </c>
      <c r="BG23" s="22">
        <f t="shared" si="7"/>
        <v>37.968641576163897</v>
      </c>
      <c r="BH23" s="62">
        <f t="shared" si="8"/>
        <v>254.48334446305961</v>
      </c>
      <c r="BI23" s="62">
        <f ca="1">AVERAGE(OFFSET($BH$3,0,0,'Données projet'!$E$11+1,1))-AVERAGE(OFFSET($H$3,0,0,'Données projet'!$E$11+1,1))</f>
        <v>434.74983403680108</v>
      </c>
      <c r="BJ23" s="62">
        <f t="shared" si="38"/>
        <v>186.0840067781198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32.692307692307693</v>
      </c>
      <c r="BW23" s="13">
        <f>VLOOKUP(A23,'Données projet'!$A$113:$I$133,9,0)</f>
        <v>1.6346153846153846</v>
      </c>
      <c r="BX23" s="13">
        <f t="array" ref="BX23">INDEX(BW:BW,MIN(IF(ISNUMBER(BW23:BW219),ROW(BW23:BW219),"")))</f>
        <v>1.6346153846153846</v>
      </c>
      <c r="BY23" s="13">
        <f>IF('Données projet'!$A$114&gt;35,BY22+BX23-CG22,IF(A23&lt;'Données projet'!$A$114,$BV$205^A23,IF(A23='Données projet'!$A$114,'Données projet'!$B$114,BY22+BX23-CG22)))</f>
        <v>32.692307692307693</v>
      </c>
      <c r="BZ23" s="14">
        <f>BY23*VLOOKUP('Données projet'!$B$12,Paramètres!$A$1:$I$89,3,0)*VLOOKUP('Données projet'!$B$12,Paramètres!$A$1:$I$89,5,0)</f>
        <v>28.050000000000004</v>
      </c>
      <c r="CA23" s="14">
        <f t="shared" si="39"/>
        <v>8.768908631094197</v>
      </c>
      <c r="CB23" s="22">
        <f t="shared" si="10"/>
        <v>64.12626586582239</v>
      </c>
      <c r="CC23" s="62">
        <f t="shared" si="11"/>
        <v>280.64096875271809</v>
      </c>
      <c r="CD23" s="62">
        <f ca="1">AVERAGE(OFFSET($CC$3,0,0,'Données projet'!$E$12+1,1))-AVERAGE(OFFSET($H$3,0,0,'Données projet'!$E$12+1,1))</f>
        <v>288.24759203983547</v>
      </c>
      <c r="CE23" s="62">
        <f t="shared" si="40"/>
        <v>188.86613033148794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32.692307692307693</v>
      </c>
      <c r="CR23" s="13">
        <f>VLOOKUP(A23,'Données projet'!$A$139:$I$159,9,0)</f>
        <v>1.6346153846153846</v>
      </c>
      <c r="CS23" s="13">
        <f t="array" ref="CS23">INDEX(CR:CR,MIN(IF(ISNUMBER(CR23:CR219),ROW(CR23:CR219),"")))</f>
        <v>1.6346153846153846</v>
      </c>
      <c r="CT23" s="13">
        <f>IF('Données projet'!$A$140&gt;35,CT22+CS23-DB22,IF(A23&lt;'Données projet'!$A$140,$CQ$205^A23,IF(A23='Données projet'!$A$140,'Données projet'!$B$140,CT22+CS23-DB22)))</f>
        <v>32.692307692307693</v>
      </c>
      <c r="CU23" s="18">
        <f>CT23*VLOOKUP('Données projet'!$B$13,Paramètres!$A$1:$I$89,3,0)*VLOOKUP('Données projet'!$B$13,Paramètres!$A$1:$I$89,5,0)</f>
        <v>21.930000000000003</v>
      </c>
      <c r="CV23" s="14">
        <f t="shared" si="41"/>
        <v>7.0549477202322466</v>
      </c>
      <c r="CW23" s="22">
        <f t="shared" si="13"/>
        <v>50.482117279404498</v>
      </c>
      <c r="CX23" s="62">
        <f t="shared" si="14"/>
        <v>266.99682016630021</v>
      </c>
      <c r="CY23" s="62">
        <f ca="1">AVERAGE(OFFSET($CX$3,0,0,'Données projet'!$E$13+1,1))-AVERAGE(OFFSET($H$3,0,0,'Données projet'!$E$13+1,1))</f>
        <v>240.40157928925146</v>
      </c>
      <c r="CZ23" s="62">
        <f t="shared" si="42"/>
        <v>160.5013084380258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1.2</v>
      </c>
      <c r="DO23" s="13">
        <f>IF('Données projet'!$A$166&gt;35,DO22+DN23-DW22,IF(A23&lt;'Données projet'!$A$166,$DL$205^A23,IF(A23='Données projet'!$A$166,'Données projet'!$B$166,DO22+DN23-DW22)))</f>
        <v>15.194870523363559</v>
      </c>
      <c r="DP23" s="18">
        <f>DO23*VLOOKUP('Données projet'!$B$14,Paramètres!$A$1:$I$89,3,0)*VLOOKUP('Données projet'!$B$14,Paramètres!$A$1:$I$89,5,0)</f>
        <v>14.696478770197235</v>
      </c>
      <c r="DQ23" s="14">
        <f t="shared" si="43"/>
        <v>4.9533809473858224</v>
      </c>
      <c r="DR23" s="22">
        <f t="shared" si="16"/>
        <v>34.223505674790481</v>
      </c>
      <c r="DS23" s="62">
        <f t="shared" si="17"/>
        <v>250.73820856168621</v>
      </c>
      <c r="DT23" s="62">
        <f ca="1">AVERAGE(OFFSET($DS$3,0,0,'Données projet'!$E$14+1,1))-AVERAGE(OFFSET($H$3,0,0,'Données projet'!$E$14+1,1))</f>
        <v>398.93296311353788</v>
      </c>
      <c r="DU23" s="62">
        <f t="shared" si="44"/>
        <v>173.19148969173838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18</v>
      </c>
      <c r="EH23" s="13">
        <f>VLOOKUP(A23,'Données projet'!$A$191:$I$211,9,0)</f>
        <v>0.9</v>
      </c>
      <c r="EI23" s="13">
        <f t="array" ref="EI23">INDEX(EH:EH,MIN(IF(ISNUMBER(EH23:EH219),ROW(EH23:EH219),"")))</f>
        <v>0.9</v>
      </c>
      <c r="EJ23" s="13">
        <f>IF('Données projet'!$A$192&gt;35,EJ22+EI23-ER22,IF(A23&lt;'Données projet'!$A$192,$EG$205^A23,IF(A23='Données projet'!$A$192,'Données projet'!$B$192,EJ22+EI23-ER22)))</f>
        <v>18</v>
      </c>
      <c r="EK23" s="18">
        <f>EJ23*VLOOKUP('Données projet'!$B$15,Paramètres!$A$1:$I$89,3,0)*VLOOKUP('Données projet'!$B$15,Paramètres!$A$1:$I$89,5,0)</f>
        <v>15.724800000000004</v>
      </c>
      <c r="EL23" s="14">
        <f t="shared" si="45"/>
        <v>5.2584129176484753</v>
      </c>
      <c r="EM23" s="22">
        <f t="shared" si="19"/>
        <v>36.545762498237771</v>
      </c>
      <c r="EN23" s="62">
        <f t="shared" si="20"/>
        <v>253.06046538513348</v>
      </c>
      <c r="EO23" s="62">
        <f ca="1">AVERAGE(OFFSET($EN$3,0,0,'Données projet'!$E$15+1,1))-AVERAGE(OFFSET($H$3,0,0,'Données projet'!$E$15+1,1))</f>
        <v>226.37420733783091</v>
      </c>
      <c r="EP23" s="62">
        <f t="shared" si="46"/>
        <v>204.10961748628714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6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9">
        <f t="shared" si="1"/>
        <v>183.33333333333334</v>
      </c>
      <c r="I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3.5</v>
      </c>
      <c r="N24" s="14">
        <f>IF('Données projet'!$A$36&gt;35,N23+M24-V23,IF(A24&lt;'Données projet'!$A$36,$K$205^A24,IF(A24='Données projet'!$A$36,'Données projet'!$B$36,N23+M24-V23)))</f>
        <v>25.991569751317211</v>
      </c>
      <c r="O24" s="14">
        <f>N24*VLOOKUP('Données projet'!$B$9,Paramètres!$A$1:$I$89,3,0)*VLOOKUP('Données projet'!$B$9,Paramètres!$A$1:$I$89,5,0)</f>
        <v>15.205068304520569</v>
      </c>
      <c r="P24" s="14">
        <f t="shared" si="33"/>
        <v>5.1045444902907926</v>
      </c>
      <c r="Q24" s="22">
        <f t="shared" si="2"/>
        <v>35.372575617629785</v>
      </c>
      <c r="R24" s="62">
        <f t="shared" si="0"/>
        <v>254.23010399350417</v>
      </c>
      <c r="S24" s="62">
        <f ca="1">AVERAGE(OFFSET($R$3,0,0,'Données projet'!$E$9+1,1))-AVERAGE(OFFSET($H$3,0,0,'Données projet'!$E$9+1,1))</f>
        <v>196.48726929442091</v>
      </c>
      <c r="T24" s="62">
        <f t="shared" si="34"/>
        <v>193.28400454669347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1.2</v>
      </c>
      <c r="AI24" s="14">
        <f>IF('Données projet'!$A$62&gt;35,AI23+AH24-AQ23,IF(A24&lt;'Données projet'!$A$62,$AF$205^A24,IF(A24='Données projet'!$A$62,'Données projet'!$B$62,AI23+AH24-AQ23)))</f>
        <v>17.409321838276906</v>
      </c>
      <c r="AJ24" s="14">
        <f>AI24*VLOOKUP('Données projet'!$B$10,Paramètres!$A$1:$I$89,3,0)*VLOOKUP('Données projet'!$B$10,Paramètres!$A$1:$I$89,5,0)</f>
        <v>17.653052344012782</v>
      </c>
      <c r="AK24" s="14">
        <f t="shared" si="35"/>
        <v>5.8242773543349813</v>
      </c>
      <c r="AL24" s="22">
        <f t="shared" si="4"/>
        <v>40.889682557955688</v>
      </c>
      <c r="AM24" s="62">
        <f t="shared" si="5"/>
        <v>259.74721093383005</v>
      </c>
      <c r="AN24" s="62">
        <f ca="1">AVERAGE(OFFSET($AM$3,0,0,'Données projet'!$E$10+1,1))-AVERAGE(OFFSET($H$3,0,0,'Données projet'!$E$10+1,1))</f>
        <v>414.29294334114661</v>
      </c>
      <c r="AO24" s="62">
        <f t="shared" si="36"/>
        <v>178.72086185623849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1.2</v>
      </c>
      <c r="BD24" s="13">
        <f>IF('Données projet'!$A$88&gt;35,BD23+BC24-BL23,IF(A24&lt;'Données projet'!$A$88,$BA$205^A24,IF(A24='Données projet'!$A$88,'Données projet'!$B$88,BD23+BC24-BL23)))</f>
        <v>17.409321838276906</v>
      </c>
      <c r="BE24" s="14">
        <f>BD24*VLOOKUP('Données projet'!$B$11,Paramètres!$A$1:$I$89,3,0)*VLOOKUP('Données projet'!$B$11,Paramètres!$A$1:$I$89,5,0)</f>
        <v>18.739394026721261</v>
      </c>
      <c r="BF24" s="14">
        <f t="shared" si="37"/>
        <v>6.1398655725414359</v>
      </c>
      <c r="BG24" s="22">
        <f t="shared" si="7"/>
        <v>43.331377135382525</v>
      </c>
      <c r="BH24" s="62">
        <f t="shared" si="8"/>
        <v>262.18890551125691</v>
      </c>
      <c r="BI24" s="62">
        <f ca="1">AVERAGE(OFFSET($BH$3,0,0,'Données projet'!$E$11+1,1))-AVERAGE(OFFSET($H$3,0,0,'Données projet'!$E$11+1,1))</f>
        <v>434.74983403680108</v>
      </c>
      <c r="BJ24" s="62">
        <f t="shared" si="38"/>
        <v>186.0840067781198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5.1282051282051269</v>
      </c>
      <c r="BY24" s="13">
        <f>IF('Données projet'!$A$114&gt;35,BY23+BX24-CG23,IF(A24&lt;'Données projet'!$A$114,$BV$205^A24,IF(A24='Données projet'!$A$114,'Données projet'!$B$114,BY23+BX24-CG23)))</f>
        <v>37.820512820512818</v>
      </c>
      <c r="BZ24" s="14">
        <f>BY24*VLOOKUP('Données projet'!$B$12,Paramètres!$A$1:$I$89,3,0)*VLOOKUP('Données projet'!$B$12,Paramètres!$A$1:$I$89,5,0)</f>
        <v>32.450000000000003</v>
      </c>
      <c r="CA24" s="14">
        <f t="shared" si="39"/>
        <v>9.9738165244070078</v>
      </c>
      <c r="CB24" s="22">
        <f t="shared" si="10"/>
        <v>73.888147113342214</v>
      </c>
      <c r="CC24" s="62">
        <f t="shared" si="11"/>
        <v>292.74567548921658</v>
      </c>
      <c r="CD24" s="62">
        <f ca="1">AVERAGE(OFFSET($CC$3,0,0,'Données projet'!$E$12+1,1))-AVERAGE(OFFSET($H$3,0,0,'Données projet'!$E$12+1,1))</f>
        <v>288.24759203983547</v>
      </c>
      <c r="CE24" s="62">
        <f t="shared" si="40"/>
        <v>188.86613033148794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5.1282051282051269</v>
      </c>
      <c r="CT24" s="13">
        <f>IF('Données projet'!$A$140&gt;35,CT23+CS24-DB23,IF(A24&lt;'Données projet'!$A$140,$CQ$205^A24,IF(A24='Données projet'!$A$140,'Données projet'!$B$140,CT23+CS24-DB23)))</f>
        <v>37.820512820512818</v>
      </c>
      <c r="CU24" s="18">
        <f>CT24*VLOOKUP('Données projet'!$B$13,Paramètres!$A$1:$I$89,3,0)*VLOOKUP('Données projet'!$B$13,Paramètres!$A$1:$I$89,5,0)</f>
        <v>25.369999999999997</v>
      </c>
      <c r="CV24" s="14">
        <f t="shared" si="41"/>
        <v>8.0243456866877754</v>
      </c>
      <c r="CW24" s="22">
        <f t="shared" si="13"/>
        <v>58.16181873764787</v>
      </c>
      <c r="CX24" s="62">
        <f t="shared" si="14"/>
        <v>277.01934711352226</v>
      </c>
      <c r="CY24" s="62">
        <f ca="1">AVERAGE(OFFSET($CX$3,0,0,'Données projet'!$E$13+1,1))-AVERAGE(OFFSET($H$3,0,0,'Données projet'!$E$13+1,1))</f>
        <v>240.40157928925146</v>
      </c>
      <c r="CZ24" s="62">
        <f t="shared" si="42"/>
        <v>160.5013084380258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1.2</v>
      </c>
      <c r="DO24" s="13">
        <f>IF('Données projet'!$A$166&gt;35,DO23+DN24-DW23,IF(A24&lt;'Données projet'!$A$166,$DL$205^A24,IF(A24='Données projet'!$A$166,'Données projet'!$B$166,DO23+DN24-DW23)))</f>
        <v>17.409321838276906</v>
      </c>
      <c r="DP24" s="18">
        <f>DO24*VLOOKUP('Données projet'!$B$14,Paramètres!$A$1:$I$89,3,0)*VLOOKUP('Données projet'!$B$14,Paramètres!$A$1:$I$89,5,0)</f>
        <v>16.838296081981426</v>
      </c>
      <c r="DQ24" s="14">
        <f t="shared" si="43"/>
        <v>5.5861051062554639</v>
      </c>
      <c r="DR24" s="22">
        <f t="shared" si="16"/>
        <v>39.055832069512576</v>
      </c>
      <c r="DS24" s="62">
        <f t="shared" si="17"/>
        <v>257.91336044538696</v>
      </c>
      <c r="DT24" s="62">
        <f ca="1">AVERAGE(OFFSET($DS$3,0,0,'Données projet'!$E$14+1,1))-AVERAGE(OFFSET($H$3,0,0,'Données projet'!$E$14+1,1))</f>
        <v>398.93296311353788</v>
      </c>
      <c r="DU24" s="62">
        <f t="shared" si="44"/>
        <v>173.19148969173838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7.6</v>
      </c>
      <c r="EJ24" s="13">
        <f>IF('Données projet'!$A$192&gt;35,EJ23+EI24-ER23,IF(A24&lt;'Données projet'!$A$192,$EG$205^A24,IF(A24='Données projet'!$A$192,'Données projet'!$B$192,EJ23+EI24-ER23)))</f>
        <v>25.6</v>
      </c>
      <c r="EK24" s="18">
        <f>EJ24*VLOOKUP('Données projet'!$B$15,Paramètres!$A$1:$I$89,3,0)*VLOOKUP('Données projet'!$B$15,Paramètres!$A$1:$I$89,5,0)</f>
        <v>22.364160000000005</v>
      </c>
      <c r="EL24" s="14">
        <f t="shared" si="45"/>
        <v>7.1782194944528523</v>
      </c>
      <c r="EM24" s="22">
        <f t="shared" si="19"/>
        <v>51.452977619505397</v>
      </c>
      <c r="EN24" s="62">
        <f t="shared" si="20"/>
        <v>270.3105059953798</v>
      </c>
      <c r="EO24" s="62">
        <f ca="1">AVERAGE(OFFSET($EN$3,0,0,'Données projet'!$E$15+1,1))-AVERAGE(OFFSET($H$3,0,0,'Données projet'!$E$15+1,1))</f>
        <v>226.37420733783091</v>
      </c>
      <c r="EP24" s="62">
        <f t="shared" si="46"/>
        <v>204.10961748628714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6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9">
        <f t="shared" si="1"/>
        <v>183.33333333333334</v>
      </c>
      <c r="I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3.5</v>
      </c>
      <c r="N25" s="14">
        <f>IF('Données projet'!$A$36&gt;35,N24+M25-V24,IF(A25&lt;'Données projet'!$A$36,$K$205^A25,IF(A25='Données projet'!$A$36,'Données projet'!$B$36,N24+M25-V24)))</f>
        <v>30.353270063201087</v>
      </c>
      <c r="O25" s="14">
        <f>N25*VLOOKUP('Données projet'!$B$9,Paramètres!$A$1:$I$89,3,0)*VLOOKUP('Données projet'!$B$9,Paramètres!$A$1:$I$89,5,0)</f>
        <v>17.756662986972636</v>
      </c>
      <c r="P25" s="14">
        <f t="shared" si="33"/>
        <v>5.8544723006201922</v>
      </c>
      <c r="Q25" s="22">
        <f t="shared" si="2"/>
        <v>41.122727292557506</v>
      </c>
      <c r="R25" s="62">
        <f t="shared" si="0"/>
        <v>262.30364119602592</v>
      </c>
      <c r="S25" s="62">
        <f ca="1">AVERAGE(OFFSET($R$3,0,0,'Données projet'!$E$9+1,1))-AVERAGE(OFFSET($H$3,0,0,'Données projet'!$E$9+1,1))</f>
        <v>196.48726929442091</v>
      </c>
      <c r="T25" s="62">
        <f t="shared" si="34"/>
        <v>193.28400454669347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1.2</v>
      </c>
      <c r="AI25" s="14">
        <f>IF('Données projet'!$A$62&gt;35,AI24+AH25-AQ24,IF(A25&lt;'Données projet'!$A$62,$AF$205^A25,IF(A25='Données projet'!$A$62,'Données projet'!$B$62,AI24+AH25-AQ24)))</f>
        <v>19.946500129940819</v>
      </c>
      <c r="AJ25" s="14">
        <f>AI25*VLOOKUP('Données projet'!$B$10,Paramètres!$A$1:$I$89,3,0)*VLOOKUP('Données projet'!$B$10,Paramètres!$A$1:$I$89,5,0)</f>
        <v>20.225751131759992</v>
      </c>
      <c r="AK25" s="14">
        <f t="shared" si="35"/>
        <v>6.5682461766784241</v>
      </c>
      <c r="AL25" s="22">
        <f t="shared" si="4"/>
        <v>46.666211978863579</v>
      </c>
      <c r="AM25" s="62">
        <f t="shared" si="5"/>
        <v>267.84712588233197</v>
      </c>
      <c r="AN25" s="62">
        <f ca="1">AVERAGE(OFFSET($AM$3,0,0,'Données projet'!$E$10+1,1))-AVERAGE(OFFSET($H$3,0,0,'Données projet'!$E$10+1,1))</f>
        <v>414.29294334114661</v>
      </c>
      <c r="AO25" s="62">
        <f t="shared" si="36"/>
        <v>178.72086185623849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1.2</v>
      </c>
      <c r="BD25" s="13">
        <f>IF('Données projet'!$A$88&gt;35,BD24+BC25-BL24,IF(A25&lt;'Données projet'!$A$88,$BA$205^A25,IF(A25='Données projet'!$A$88,'Données projet'!$B$88,BD24+BC25-BL24)))</f>
        <v>19.946500129940819</v>
      </c>
      <c r="BE25" s="14">
        <f>BD25*VLOOKUP('Données projet'!$B$11,Paramètres!$A$1:$I$89,3,0)*VLOOKUP('Données projet'!$B$11,Paramètres!$A$1:$I$89,5,0)</f>
        <v>21.470412739868298</v>
      </c>
      <c r="BF25" s="14">
        <f t="shared" si="37"/>
        <v>6.9241463135591816</v>
      </c>
      <c r="BG25" s="22">
        <f t="shared" si="7"/>
        <v>49.453857018052851</v>
      </c>
      <c r="BH25" s="62">
        <f t="shared" si="8"/>
        <v>270.63477092152124</v>
      </c>
      <c r="BI25" s="62">
        <f ca="1">AVERAGE(OFFSET($BH$3,0,0,'Données projet'!$E$11+1,1))-AVERAGE(OFFSET($H$3,0,0,'Données projet'!$E$11+1,1))</f>
        <v>434.74983403680108</v>
      </c>
      <c r="BJ25" s="62">
        <f t="shared" si="38"/>
        <v>186.0840067781198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5.1282051282051269</v>
      </c>
      <c r="BY25" s="13">
        <f>IF('Données projet'!$A$114&gt;35,BY24+BX25-CG24,IF(A25&lt;'Données projet'!$A$114,$BV$205^A25,IF(A25='Données projet'!$A$114,'Données projet'!$B$114,BY24+BX25-CG24)))</f>
        <v>42.948717948717942</v>
      </c>
      <c r="BZ25" s="14">
        <f>BY25*VLOOKUP('Données projet'!$B$12,Paramètres!$A$1:$I$89,3,0)*VLOOKUP('Données projet'!$B$12,Paramètres!$A$1:$I$89,5,0)</f>
        <v>36.849999999999994</v>
      </c>
      <c r="CA25" s="14">
        <f t="shared" si="39"/>
        <v>11.159795413106259</v>
      </c>
      <c r="CB25" s="22">
        <f t="shared" si="10"/>
        <v>83.617060344493396</v>
      </c>
      <c r="CC25" s="62">
        <f t="shared" si="11"/>
        <v>304.7979742479618</v>
      </c>
      <c r="CD25" s="62">
        <f ca="1">AVERAGE(OFFSET($CC$3,0,0,'Données projet'!$E$12+1,1))-AVERAGE(OFFSET($H$3,0,0,'Données projet'!$E$12+1,1))</f>
        <v>288.24759203983547</v>
      </c>
      <c r="CE25" s="62">
        <f t="shared" si="40"/>
        <v>188.86613033148794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5.1282051282051269</v>
      </c>
      <c r="CT25" s="13">
        <f>IF('Données projet'!$A$140&gt;35,CT24+CS25-DB24,IF(A25&lt;'Données projet'!$A$140,$CQ$205^A25,IF(A25='Données projet'!$A$140,'Données projet'!$B$140,CT24+CS25-DB24)))</f>
        <v>42.948717948717942</v>
      </c>
      <c r="CU25" s="18">
        <f>CT25*VLOOKUP('Données projet'!$B$13,Paramètres!$A$1:$I$89,3,0)*VLOOKUP('Données projet'!$B$13,Paramètres!$A$1:$I$89,5,0)</f>
        <v>28.81</v>
      </c>
      <c r="CV25" s="14">
        <f t="shared" si="41"/>
        <v>8.9785144902494043</v>
      </c>
      <c r="CW25" s="22">
        <f t="shared" si="13"/>
        <v>65.814996070517722</v>
      </c>
      <c r="CX25" s="62">
        <f t="shared" si="14"/>
        <v>286.9959099739861</v>
      </c>
      <c r="CY25" s="62">
        <f ca="1">AVERAGE(OFFSET($CX$3,0,0,'Données projet'!$E$13+1,1))-AVERAGE(OFFSET($H$3,0,0,'Données projet'!$E$13+1,1))</f>
        <v>240.40157928925146</v>
      </c>
      <c r="CZ25" s="62">
        <f t="shared" si="42"/>
        <v>160.5013084380258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1.2</v>
      </c>
      <c r="DO25" s="13">
        <f>IF('Données projet'!$A$166&gt;35,DO24+DN25-DW24,IF(A25&lt;'Données projet'!$A$166,$DL$205^A25,IF(A25='Données projet'!$A$166,'Données projet'!$B$166,DO24+DN25-DW24)))</f>
        <v>19.946500129940819</v>
      </c>
      <c r="DP25" s="18">
        <f>DO25*VLOOKUP('Données projet'!$B$14,Paramètres!$A$1:$I$89,3,0)*VLOOKUP('Données projet'!$B$14,Paramètres!$A$1:$I$89,5,0)</f>
        <v>19.292254925678762</v>
      </c>
      <c r="DQ25" s="14">
        <f t="shared" si="43"/>
        <v>6.2996508020651527</v>
      </c>
      <c r="DR25" s="22">
        <f t="shared" si="16"/>
        <v>44.572569142487318</v>
      </c>
      <c r="DS25" s="62">
        <f t="shared" si="17"/>
        <v>265.7534830459557</v>
      </c>
      <c r="DT25" s="62">
        <f ca="1">AVERAGE(OFFSET($DS$3,0,0,'Données projet'!$E$14+1,1))-AVERAGE(OFFSET($H$3,0,0,'Données projet'!$E$14+1,1))</f>
        <v>398.93296311353788</v>
      </c>
      <c r="DU25" s="62">
        <f t="shared" si="44"/>
        <v>173.19148969173838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7.6</v>
      </c>
      <c r="EJ25" s="13">
        <f>IF('Données projet'!$A$192&gt;35,EJ24+EI25-ER24,IF(A25&lt;'Données projet'!$A$192,$EG$205^A25,IF(A25='Données projet'!$A$192,'Données projet'!$B$192,EJ24+EI25-ER24)))</f>
        <v>33.200000000000003</v>
      </c>
      <c r="EK25" s="18">
        <f>EJ25*VLOOKUP('Données projet'!$B$15,Paramètres!$A$1:$I$89,3,0)*VLOOKUP('Données projet'!$B$15,Paramètres!$A$1:$I$89,5,0)</f>
        <v>29.003520000000005</v>
      </c>
      <c r="EL25" s="14">
        <f t="shared" si="45"/>
        <v>9.0317833500167612</v>
      </c>
      <c r="EM25" s="22">
        <f t="shared" si="19"/>
        <v>66.244820001279194</v>
      </c>
      <c r="EN25" s="62">
        <f t="shared" si="20"/>
        <v>287.42573390474757</v>
      </c>
      <c r="EO25" s="62">
        <f ca="1">AVERAGE(OFFSET($EN$3,0,0,'Données projet'!$E$15+1,1))-AVERAGE(OFFSET($H$3,0,0,'Données projet'!$E$15+1,1))</f>
        <v>226.37420733783091</v>
      </c>
      <c r="EP25" s="62">
        <f t="shared" si="46"/>
        <v>204.10961748628714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6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9">
        <f t="shared" si="1"/>
        <v>183.33333333333334</v>
      </c>
      <c r="I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3.5</v>
      </c>
      <c r="N26" s="14">
        <f>IF('Données projet'!$A$36&gt;35,N25+M26-V25,IF(A26&lt;'Données projet'!$A$36,$K$205^A26,IF(A26='Données projet'!$A$36,'Données projet'!$B$36,N25+M26-V25)))</f>
        <v>35.446916532731848</v>
      </c>
      <c r="O26" s="14">
        <f>N26*VLOOKUP('Données projet'!$B$9,Paramètres!$A$1:$I$89,3,0)*VLOOKUP('Données projet'!$B$9,Paramètres!$A$1:$I$89,5,0)</f>
        <v>20.736446171648133</v>
      </c>
      <c r="P26" s="14">
        <f t="shared" si="33"/>
        <v>6.7145748232623443</v>
      </c>
      <c r="Q26" s="22">
        <f t="shared" si="2"/>
        <v>47.810528232802419</v>
      </c>
      <c r="R26" s="62">
        <f t="shared" si="0"/>
        <v>271.2957249423489</v>
      </c>
      <c r="S26" s="62">
        <f ca="1">AVERAGE(OFFSET($R$3,0,0,'Données projet'!$E$9+1,1))-AVERAGE(OFFSET($H$3,0,0,'Données projet'!$E$9+1,1))</f>
        <v>196.48726929442091</v>
      </c>
      <c r="T26" s="62">
        <f t="shared" si="34"/>
        <v>193.28400454669347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1.2</v>
      </c>
      <c r="AI26" s="14">
        <f>IF('Données projet'!$A$62&gt;35,AI25+AH26-AQ25,IF(A26&lt;'Données projet'!$A$62,$AF$205^A26,IF(A26='Données projet'!$A$62,'Données projet'!$B$62,AI25+AH26-AQ25)))</f>
        <v>22.853438584779923</v>
      </c>
      <c r="AJ26" s="14">
        <f>AI26*VLOOKUP('Données projet'!$B$10,Paramètres!$A$1:$I$89,3,0)*VLOOKUP('Données projet'!$B$10,Paramètres!$A$1:$I$89,5,0)</f>
        <v>23.173386724966843</v>
      </c>
      <c r="AK26" s="14">
        <f t="shared" si="35"/>
        <v>7.4072464638622444</v>
      </c>
      <c r="AL26" s="22">
        <f t="shared" si="4"/>
        <v>53.261269470543994</v>
      </c>
      <c r="AM26" s="62">
        <f t="shared" si="5"/>
        <v>276.74646618009047</v>
      </c>
      <c r="AN26" s="62">
        <f ca="1">AVERAGE(OFFSET($AM$3,0,0,'Données projet'!$E$10+1,1))-AVERAGE(OFFSET($H$3,0,0,'Données projet'!$E$10+1,1))</f>
        <v>414.29294334114661</v>
      </c>
      <c r="AO26" s="62">
        <f t="shared" si="36"/>
        <v>178.72086185623849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1.2</v>
      </c>
      <c r="BD26" s="13">
        <f>IF('Données projet'!$A$88&gt;35,BD25+BC26-BL25,IF(A26&lt;'Données projet'!$A$88,$BA$205^A26,IF(A26='Données projet'!$A$88,'Données projet'!$B$88,BD25+BC26-BL25)))</f>
        <v>22.853438584779923</v>
      </c>
      <c r="BE26" s="14">
        <f>BD26*VLOOKUP('Données projet'!$B$11,Paramètres!$A$1:$I$89,3,0)*VLOOKUP('Données projet'!$B$11,Paramètres!$A$1:$I$89,5,0)</f>
        <v>24.599441292657108</v>
      </c>
      <c r="BF26" s="14">
        <f t="shared" si="37"/>
        <v>7.808607795256683</v>
      </c>
      <c r="BG26" s="22">
        <f t="shared" si="7"/>
        <v>56.444018828116505</v>
      </c>
      <c r="BH26" s="62">
        <f t="shared" si="8"/>
        <v>279.92921553766303</v>
      </c>
      <c r="BI26" s="62">
        <f ca="1">AVERAGE(OFFSET($BH$3,0,0,'Données projet'!$E$11+1,1))-AVERAGE(OFFSET($H$3,0,0,'Données projet'!$E$11+1,1))</f>
        <v>434.74983403680108</v>
      </c>
      <c r="BJ26" s="62">
        <f t="shared" si="38"/>
        <v>186.0840067781198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5.1282051282051269</v>
      </c>
      <c r="BY26" s="13">
        <f>IF('Données projet'!$A$114&gt;35,BY25+BX26-CG25,IF(A26&lt;'Données projet'!$A$114,$BV$205^A26,IF(A26='Données projet'!$A$114,'Données projet'!$B$114,BY25+BX26-CG25)))</f>
        <v>48.076923076923066</v>
      </c>
      <c r="BZ26" s="14">
        <f>BY26*VLOOKUP('Données projet'!$B$12,Paramètres!$A$1:$I$89,3,0)*VLOOKUP('Données projet'!$B$12,Paramètres!$A$1:$I$89,5,0)</f>
        <v>41.25</v>
      </c>
      <c r="CA26" s="14">
        <f t="shared" si="39"/>
        <v>12.329363863337045</v>
      </c>
      <c r="CB26" s="22">
        <f t="shared" si="10"/>
        <v>93.31739206197868</v>
      </c>
      <c r="CC26" s="62">
        <f t="shared" si="11"/>
        <v>316.80258877152517</v>
      </c>
      <c r="CD26" s="62">
        <f ca="1">AVERAGE(OFFSET($CC$3,0,0,'Données projet'!$E$12+1,1))-AVERAGE(OFFSET($H$3,0,0,'Données projet'!$E$12+1,1))</f>
        <v>288.24759203983547</v>
      </c>
      <c r="CE26" s="62">
        <f t="shared" si="40"/>
        <v>188.86613033148794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5.1282051282051269</v>
      </c>
      <c r="CT26" s="13">
        <f>IF('Données projet'!$A$140&gt;35,CT25+CS26-DB25,IF(A26&lt;'Données projet'!$A$140,$CQ$205^A26,IF(A26='Données projet'!$A$140,'Données projet'!$B$140,CT25+CS26-DB25)))</f>
        <v>48.076923076923066</v>
      </c>
      <c r="CU26" s="18">
        <f>CT26*VLOOKUP('Données projet'!$B$13,Paramètres!$A$1:$I$89,3,0)*VLOOKUP('Données projet'!$B$13,Paramètres!$A$1:$I$89,5,0)</f>
        <v>32.249999999999993</v>
      </c>
      <c r="CV26" s="14">
        <f t="shared" si="41"/>
        <v>9.9194804209870817</v>
      </c>
      <c r="CW26" s="22">
        <f t="shared" si="13"/>
        <v>73.445178399885819</v>
      </c>
      <c r="CX26" s="62">
        <f t="shared" si="14"/>
        <v>296.9303751094323</v>
      </c>
      <c r="CY26" s="62">
        <f ca="1">AVERAGE(OFFSET($CX$3,0,0,'Données projet'!$E$13+1,1))-AVERAGE(OFFSET($H$3,0,0,'Données projet'!$E$13+1,1))</f>
        <v>240.40157928925146</v>
      </c>
      <c r="CZ26" s="62">
        <f t="shared" si="42"/>
        <v>160.5013084380258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1.2</v>
      </c>
      <c r="DO26" s="13">
        <f>IF('Données projet'!$A$166&gt;35,DO25+DN26-DW25,IF(A26&lt;'Données projet'!$A$166,$DL$205^A26,IF(A26='Données projet'!$A$166,'Données projet'!$B$166,DO25+DN26-DW25)))</f>
        <v>22.853438584779923</v>
      </c>
      <c r="DP26" s="18">
        <f>DO26*VLOOKUP('Données projet'!$B$14,Paramètres!$A$1:$I$89,3,0)*VLOOKUP('Données projet'!$B$14,Paramètres!$A$1:$I$89,5,0)</f>
        <v>22.103845799199142</v>
      </c>
      <c r="DQ26" s="14">
        <f t="shared" si="43"/>
        <v>7.1043418398123555</v>
      </c>
      <c r="DR26" s="22">
        <f t="shared" si="16"/>
        <v>50.870926804611692</v>
      </c>
      <c r="DS26" s="62">
        <f t="shared" si="17"/>
        <v>274.35612351415818</v>
      </c>
      <c r="DT26" s="62">
        <f ca="1">AVERAGE(OFFSET($DS$3,0,0,'Données projet'!$E$14+1,1))-AVERAGE(OFFSET($H$3,0,0,'Données projet'!$E$14+1,1))</f>
        <v>398.93296311353788</v>
      </c>
      <c r="DU26" s="62">
        <f t="shared" si="44"/>
        <v>173.19148969173838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7.6</v>
      </c>
      <c r="EJ26" s="13">
        <f>IF('Données projet'!$A$192&gt;35,EJ25+EI26-ER25,IF(A26&lt;'Données projet'!$A$192,$EG$205^A26,IF(A26='Données projet'!$A$192,'Données projet'!$B$192,EJ25+EI26-ER25)))</f>
        <v>40.800000000000004</v>
      </c>
      <c r="EK26" s="18">
        <f>EJ26*VLOOKUP('Données projet'!$B$15,Paramètres!$A$1:$I$89,3,0)*VLOOKUP('Données projet'!$B$15,Paramètres!$A$1:$I$89,5,0)</f>
        <v>35.642880000000012</v>
      </c>
      <c r="EL26" s="14">
        <f t="shared" si="45"/>
        <v>10.836155304531358</v>
      </c>
      <c r="EM26" s="22">
        <f t="shared" si="19"/>
        <v>80.950986488725476</v>
      </c>
      <c r="EN26" s="62">
        <f t="shared" si="20"/>
        <v>304.43618319827198</v>
      </c>
      <c r="EO26" s="62">
        <f ca="1">AVERAGE(OFFSET($EN$3,0,0,'Données projet'!$E$15+1,1))-AVERAGE(OFFSET($H$3,0,0,'Données projet'!$E$15+1,1))</f>
        <v>226.37420733783091</v>
      </c>
      <c r="EP26" s="62">
        <f t="shared" si="46"/>
        <v>204.10961748628714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6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9">
        <f t="shared" si="1"/>
        <v>183.33333333333334</v>
      </c>
      <c r="I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3.5</v>
      </c>
      <c r="N27" s="14">
        <f>IF('Données projet'!$A$36&gt;35,N26+M27-V26,IF(A27&lt;'Données projet'!$A$36,$K$205^A27,IF(A27='Données projet'!$A$36,'Données projet'!$B$36,N26+M27-V26)))</f>
        <v>41.395338593246414</v>
      </c>
      <c r="O27" s="14">
        <f>N27*VLOOKUP('Données projet'!$B$9,Paramètres!$A$1:$I$89,3,0)*VLOOKUP('Données projet'!$B$9,Paramètres!$A$1:$I$89,5,0)</f>
        <v>24.216273077049152</v>
      </c>
      <c r="P27" s="14">
        <f t="shared" si="33"/>
        <v>7.7010382391616119</v>
      </c>
      <c r="Q27" s="22">
        <f t="shared" si="2"/>
        <v>55.589317209067083</v>
      </c>
      <c r="R27" s="62">
        <f t="shared" si="0"/>
        <v>281.36002539268691</v>
      </c>
      <c r="S27" s="62">
        <f ca="1">AVERAGE(OFFSET($R$3,0,0,'Données projet'!$E$9+1,1))-AVERAGE(OFFSET($H$3,0,0,'Données projet'!$E$9+1,1))</f>
        <v>196.48726929442091</v>
      </c>
      <c r="T27" s="62">
        <f t="shared" si="34"/>
        <v>193.28400454669347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1.2</v>
      </c>
      <c r="AI27" s="14">
        <f>IF('Données projet'!$A$62&gt;35,AI26+AH27-AQ26,IF(A27&lt;'Données projet'!$A$62,$AF$205^A27,IF(A27='Données projet'!$A$62,'Données projet'!$B$62,AI26+AH27-AQ26)))</f>
        <v>26.184024853780567</v>
      </c>
      <c r="AJ27" s="14">
        <f>AI27*VLOOKUP('Données projet'!$B$10,Paramètres!$A$1:$I$89,3,0)*VLOOKUP('Données projet'!$B$10,Paramètres!$A$1:$I$89,5,0)</f>
        <v>26.550601201733496</v>
      </c>
      <c r="AK27" s="14">
        <f t="shared" si="35"/>
        <v>8.3534171376241328</v>
      </c>
      <c r="AL27" s="22">
        <f t="shared" si="4"/>
        <v>60.7911652743812</v>
      </c>
      <c r="AM27" s="62">
        <f t="shared" si="5"/>
        <v>286.561873458001</v>
      </c>
      <c r="AN27" s="62">
        <f ca="1">AVERAGE(OFFSET($AM$3,0,0,'Données projet'!$E$10+1,1))-AVERAGE(OFFSET($H$3,0,0,'Données projet'!$E$10+1,1))</f>
        <v>414.29294334114661</v>
      </c>
      <c r="AO27" s="62">
        <f t="shared" si="36"/>
        <v>178.72086185623849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1.2</v>
      </c>
      <c r="BD27" s="13">
        <f>IF('Données projet'!$A$88&gt;35,BD26+BC27-BL26,IF(A27&lt;'Données projet'!$A$88,$BA$205^A27,IF(A27='Données projet'!$A$88,'Données projet'!$B$88,BD26+BC27-BL26)))</f>
        <v>26.184024853780567</v>
      </c>
      <c r="BE27" s="14">
        <f>BD27*VLOOKUP('Données projet'!$B$11,Paramètres!$A$1:$I$89,3,0)*VLOOKUP('Données projet'!$B$11,Paramètres!$A$1:$I$89,5,0)</f>
        <v>28.184484352609399</v>
      </c>
      <c r="BF27" s="14">
        <f t="shared" si="37"/>
        <v>8.8060466863244411</v>
      </c>
      <c r="BG27" s="22">
        <f t="shared" si="7"/>
        <v>64.425174892809764</v>
      </c>
      <c r="BH27" s="62">
        <f t="shared" si="8"/>
        <v>290.1958830764296</v>
      </c>
      <c r="BI27" s="62">
        <f ca="1">AVERAGE(OFFSET($BH$3,0,0,'Données projet'!$E$11+1,1))-AVERAGE(OFFSET($H$3,0,0,'Données projet'!$E$11+1,1))</f>
        <v>434.74983403680108</v>
      </c>
      <c r="BJ27" s="62">
        <f t="shared" si="38"/>
        <v>186.0840067781198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5.1282051282051269</v>
      </c>
      <c r="BY27" s="13">
        <f>IF('Données projet'!$A$114&gt;35,BY26+BX27-CG26,IF(A27&lt;'Données projet'!$A$114,$BV$205^A27,IF(A27='Données projet'!$A$114,'Données projet'!$B$114,BY26+BX27-CG26)))</f>
        <v>53.20512820512819</v>
      </c>
      <c r="BZ27" s="14">
        <f>BY27*VLOOKUP('Données projet'!$B$12,Paramètres!$A$1:$I$89,3,0)*VLOOKUP('Données projet'!$B$12,Paramètres!$A$1:$I$89,5,0)</f>
        <v>45.649999999999991</v>
      </c>
      <c r="CA27" s="14">
        <f t="shared" si="39"/>
        <v>13.48447181084679</v>
      </c>
      <c r="CB27" s="22">
        <f t="shared" si="10"/>
        <v>102.99253840389149</v>
      </c>
      <c r="CC27" s="62">
        <f t="shared" si="11"/>
        <v>328.76324658751128</v>
      </c>
      <c r="CD27" s="62">
        <f ca="1">AVERAGE(OFFSET($CC$3,0,0,'Données projet'!$E$12+1,1))-AVERAGE(OFFSET($H$3,0,0,'Données projet'!$E$12+1,1))</f>
        <v>288.24759203983547</v>
      </c>
      <c r="CE27" s="62">
        <f t="shared" si="40"/>
        <v>188.86613033148794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5.1282051282051269</v>
      </c>
      <c r="CT27" s="13">
        <f>IF('Données projet'!$A$140&gt;35,CT26+CS27-DB26,IF(A27&lt;'Données projet'!$A$140,$CQ$205^A27,IF(A27='Données projet'!$A$140,'Données projet'!$B$140,CT26+CS27-DB26)))</f>
        <v>53.20512820512819</v>
      </c>
      <c r="CU27" s="18">
        <f>CT27*VLOOKUP('Données projet'!$B$13,Paramètres!$A$1:$I$89,3,0)*VLOOKUP('Données projet'!$B$13,Paramètres!$A$1:$I$89,5,0)</f>
        <v>35.689999999999991</v>
      </c>
      <c r="CV27" s="14">
        <f t="shared" si="41"/>
        <v>10.848812282424118</v>
      </c>
      <c r="CW27" s="22">
        <f t="shared" si="13"/>
        <v>81.055098058555316</v>
      </c>
      <c r="CX27" s="62">
        <f t="shared" si="14"/>
        <v>306.82580624217513</v>
      </c>
      <c r="CY27" s="62">
        <f ca="1">AVERAGE(OFFSET($CX$3,0,0,'Données projet'!$E$13+1,1))-AVERAGE(OFFSET($H$3,0,0,'Données projet'!$E$13+1,1))</f>
        <v>240.40157928925146</v>
      </c>
      <c r="CZ27" s="62">
        <f t="shared" si="42"/>
        <v>160.5013084380258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1.2</v>
      </c>
      <c r="DO27" s="13">
        <f>IF('Données projet'!$A$166&gt;35,DO26+DN27-DW26,IF(A27&lt;'Données projet'!$A$166,$DL$205^A27,IF(A27='Données projet'!$A$166,'Données projet'!$B$166,DO26+DN27-DW26)))</f>
        <v>26.184024853780567</v>
      </c>
      <c r="DP27" s="18">
        <f>DO27*VLOOKUP('Données projet'!$B$14,Paramètres!$A$1:$I$89,3,0)*VLOOKUP('Données projet'!$B$14,Paramètres!$A$1:$I$89,5,0)</f>
        <v>25.325188838576565</v>
      </c>
      <c r="DQ27" s="14">
        <f t="shared" si="43"/>
        <v>8.0118207441534324</v>
      </c>
      <c r="DR27" s="22">
        <f t="shared" si="16"/>
        <v>58.061958356588072</v>
      </c>
      <c r="DS27" s="62">
        <f t="shared" si="17"/>
        <v>283.83266654020787</v>
      </c>
      <c r="DT27" s="62">
        <f ca="1">AVERAGE(OFFSET($DS$3,0,0,'Données projet'!$E$14+1,1))-AVERAGE(OFFSET($H$3,0,0,'Données projet'!$E$14+1,1))</f>
        <v>398.93296311353788</v>
      </c>
      <c r="DU27" s="62">
        <f t="shared" si="44"/>
        <v>173.19148969173838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7.6</v>
      </c>
      <c r="EJ27" s="13">
        <f>IF('Données projet'!$A$192&gt;35,EJ26+EI27-ER26,IF(A27&lt;'Données projet'!$A$192,$EG$205^A27,IF(A27='Données projet'!$A$192,'Données projet'!$B$192,EJ26+EI27-ER26)))</f>
        <v>48.400000000000006</v>
      </c>
      <c r="EK27" s="18">
        <f>EJ27*VLOOKUP('Données projet'!$B$15,Paramètres!$A$1:$I$89,3,0)*VLOOKUP('Données projet'!$B$15,Paramètres!$A$1:$I$89,5,0)</f>
        <v>42.282240000000009</v>
      </c>
      <c r="EL27" s="14">
        <f t="shared" si="45"/>
        <v>12.60158758294113</v>
      </c>
      <c r="EM27" s="22">
        <f t="shared" si="19"/>
        <v>95.589333040289148</v>
      </c>
      <c r="EN27" s="62">
        <f t="shared" si="20"/>
        <v>321.36004122390898</v>
      </c>
      <c r="EO27" s="62">
        <f ca="1">AVERAGE(OFFSET($EN$3,0,0,'Données projet'!$E$15+1,1))-AVERAGE(OFFSET($H$3,0,0,'Données projet'!$E$15+1,1))</f>
        <v>226.37420733783091</v>
      </c>
      <c r="EP27" s="62">
        <f t="shared" si="46"/>
        <v>204.10961748628714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6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9">
        <f t="shared" si="1"/>
        <v>183.33333333333334</v>
      </c>
      <c r="I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3.5</v>
      </c>
      <c r="N28" s="14">
        <f>IF('Données projet'!$A$36&gt;35,N27+M28-V27,IF(A28&lt;'Données projet'!$A$36,$K$205^A28,IF(A28='Données projet'!$A$36,'Données projet'!$B$36,N27+M28-V27)))</f>
        <v>48.341977945167478</v>
      </c>
      <c r="O28" s="14">
        <f>N28*VLOOKUP('Données projet'!$B$9,Paramètres!$A$1:$I$89,3,0)*VLOOKUP('Données projet'!$B$9,Paramètres!$A$1:$I$89,5,0)</f>
        <v>28.280057097922978</v>
      </c>
      <c r="P28" s="14">
        <f t="shared" si="33"/>
        <v>8.8324267019210829</v>
      </c>
      <c r="Q28" s="22">
        <f t="shared" si="2"/>
        <v>64.637575951395064</v>
      </c>
      <c r="R28" s="62">
        <f t="shared" si="0"/>
        <v>292.6753499177272</v>
      </c>
      <c r="S28" s="62">
        <f ca="1">AVERAGE(OFFSET($R$3,0,0,'Données projet'!$E$9+1,1))-AVERAGE(OFFSET($H$3,0,0,'Données projet'!$E$9+1,1))</f>
        <v>196.48726929442091</v>
      </c>
      <c r="T28" s="62">
        <f t="shared" si="34"/>
        <v>193.28400454669347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30</v>
      </c>
      <c r="AG28" s="13">
        <f>VLOOKUP(A28,'Données projet'!$A$61:$I$81,9,0)</f>
        <v>1.2</v>
      </c>
      <c r="AH28" s="13">
        <f t="array" ref="AH28">INDEX(AG:AG,MIN(IF(ISNUMBER(AG28:AG224),ROW(AG28:AG224),"")))</f>
        <v>1.2</v>
      </c>
      <c r="AI28" s="14">
        <f>IF('Données projet'!$A$62&gt;35,AI27+AH28-AQ27,IF(A28&lt;'Données projet'!$A$62,$AF$205^A28,IF(A28='Données projet'!$A$62,'Données projet'!$B$62,AI27+AH28-AQ27)))</f>
        <v>30</v>
      </c>
      <c r="AJ28" s="14">
        <f>AI28*VLOOKUP('Données projet'!$B$10,Paramètres!$A$1:$I$89,3,0)*VLOOKUP('Données projet'!$B$10,Paramètres!$A$1:$I$89,5,0)</f>
        <v>30.42</v>
      </c>
      <c r="AK28" s="14">
        <f t="shared" si="35"/>
        <v>9.4204476947792024</v>
      </c>
      <c r="AL28" s="22">
        <f t="shared" si="4"/>
        <v>69.388779735073783</v>
      </c>
      <c r="AM28" s="62">
        <f t="shared" si="5"/>
        <v>297.42655370140591</v>
      </c>
      <c r="AN28" s="62">
        <f ca="1">AVERAGE(OFFSET($AM$3,0,0,'Données projet'!$E$10+1,1))-AVERAGE(OFFSET($H$3,0,0,'Données projet'!$E$10+1,1))</f>
        <v>414.29294334114661</v>
      </c>
      <c r="AO28" s="62">
        <f t="shared" si="36"/>
        <v>178.72086185623849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30</v>
      </c>
      <c r="BB28" s="13">
        <f>VLOOKUP(A28,'Données projet'!$A$87:$I$107,9,0)</f>
        <v>1.2</v>
      </c>
      <c r="BC28" s="13">
        <f t="array" ref="BC28">INDEX(BB:BB,MIN(IF(ISNUMBER(BB28:BB224),ROW(BB28:BB224),"")))</f>
        <v>1.2</v>
      </c>
      <c r="BD28" s="13">
        <f>IF('Données projet'!$A$88&gt;35,BD27+BC28-BL27,IF(A28&lt;'Données projet'!$A$88,$BA$205^A28,IF(A28='Données projet'!$A$88,'Données projet'!$B$88,BD27+BC28-BL27)))</f>
        <v>30</v>
      </c>
      <c r="BE28" s="14">
        <f>BD28*VLOOKUP('Données projet'!$B$11,Paramètres!$A$1:$I$89,3,0)*VLOOKUP('Données projet'!$B$11,Paramètres!$A$1:$I$89,5,0)</f>
        <v>32.292000000000002</v>
      </c>
      <c r="BF28" s="14">
        <f t="shared" si="37"/>
        <v>9.9308942483743401</v>
      </c>
      <c r="BG28" s="22">
        <f t="shared" si="7"/>
        <v>73.538207482585321</v>
      </c>
      <c r="BH28" s="62">
        <f t="shared" si="8"/>
        <v>301.57598144891745</v>
      </c>
      <c r="BI28" s="62">
        <f ca="1">AVERAGE(OFFSET($BH$3,0,0,'Données projet'!$E$11+1,1))-AVERAGE(OFFSET($H$3,0,0,'Données projet'!$E$11+1,1))</f>
        <v>434.74983403680108</v>
      </c>
      <c r="BJ28" s="62">
        <f t="shared" si="38"/>
        <v>186.0840067781198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58.333333333333329</v>
      </c>
      <c r="BW28" s="13">
        <f>VLOOKUP(A28,'Données projet'!$A$113:$I$133,9,0)</f>
        <v>5.1282051282051269</v>
      </c>
      <c r="BX28" s="13">
        <f t="array" ref="BX28">INDEX(BW:BW,MIN(IF(ISNUMBER(BW28:BW224),ROW(BW28:BW224),"")))</f>
        <v>5.1282051282051269</v>
      </c>
      <c r="BY28" s="13">
        <f>IF('Données projet'!$A$114&gt;35,BY27+BX28-CG27,IF(A28&lt;'Données projet'!$A$114,$BV$205^A28,IF(A28='Données projet'!$A$114,'Données projet'!$B$114,BY27+BX28-CG27)))</f>
        <v>58.333333333333314</v>
      </c>
      <c r="BZ28" s="14">
        <f>BY28*VLOOKUP('Données projet'!$B$12,Paramètres!$A$1:$I$89,3,0)*VLOOKUP('Données projet'!$B$12,Paramètres!$A$1:$I$89,5,0)</f>
        <v>50.05</v>
      </c>
      <c r="CA28" s="14">
        <f t="shared" si="39"/>
        <v>14.626671630251748</v>
      </c>
      <c r="CB28" s="22">
        <f t="shared" si="10"/>
        <v>112.64520308935512</v>
      </c>
      <c r="CC28" s="62">
        <f t="shared" si="11"/>
        <v>340.68297705568722</v>
      </c>
      <c r="CD28" s="62">
        <f ca="1">AVERAGE(OFFSET($CC$3,0,0,'Données projet'!$E$12+1,1))-AVERAGE(OFFSET($H$3,0,0,'Données projet'!$E$12+1,1))</f>
        <v>288.24759203983547</v>
      </c>
      <c r="CE28" s="62">
        <f t="shared" si="40"/>
        <v>188.86613033148794</v>
      </c>
      <c r="CF28" s="16">
        <f>IF(ISNA(VLOOKUP(A28,'Données projet'!$A$113:$I$133,3,0)),0,VLOOKUP(A28,'Données projet'!$A$113:$I$133,3,0))</f>
        <v>1</v>
      </c>
      <c r="CG28" s="16">
        <f>IF(ISNA(VLOOKUP(A28,'Données projet'!$A$113:$I$133,4,0)),0,VLOOKUP(A28,'Données projet'!$A$113:$I$133,4,0))</f>
        <v>16.025641025641026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58.333333333333329</v>
      </c>
      <c r="CR28" s="13">
        <f>VLOOKUP(A28,'Données projet'!$A$139:$I$159,9,0)</f>
        <v>5.1282051282051269</v>
      </c>
      <c r="CS28" s="13">
        <f t="array" ref="CS28">INDEX(CR:CR,MIN(IF(ISNUMBER(CR28:CR224),ROW(CR28:CR224),"")))</f>
        <v>5.1282051282051269</v>
      </c>
      <c r="CT28" s="13">
        <f>IF('Données projet'!$A$140&gt;35,CT27+CS28-DB27,IF(A28&lt;'Données projet'!$A$140,$CQ$205^A28,IF(A28='Données projet'!$A$140,'Données projet'!$B$140,CT27+CS28-DB27)))</f>
        <v>58.333333333333314</v>
      </c>
      <c r="CU28" s="18">
        <f>CT28*VLOOKUP('Données projet'!$B$13,Paramètres!$A$1:$I$89,3,0)*VLOOKUP('Données projet'!$B$13,Paramètres!$A$1:$I$89,5,0)</f>
        <v>39.129999999999988</v>
      </c>
      <c r="CV28" s="14">
        <f t="shared" si="41"/>
        <v>11.767759023799293</v>
      </c>
      <c r="CW28" s="22">
        <f t="shared" si="13"/>
        <v>88.646930299783762</v>
      </c>
      <c r="CX28" s="62">
        <f t="shared" si="14"/>
        <v>316.68470426611589</v>
      </c>
      <c r="CY28" s="62">
        <f ca="1">AVERAGE(OFFSET($CX$3,0,0,'Données projet'!$E$13+1,1))-AVERAGE(OFFSET($H$3,0,0,'Données projet'!$E$13+1,1))</f>
        <v>240.40157928925146</v>
      </c>
      <c r="CZ28" s="62">
        <f t="shared" si="42"/>
        <v>160.5013084380258</v>
      </c>
      <c r="DA28" s="16">
        <f>IF(ISNA(VLOOKUP(A28,'Données projet'!$A$139:$I$159,3,0)),0,VLOOKUP(A28,'Données projet'!$A$139:$I$159,3,0))</f>
        <v>1</v>
      </c>
      <c r="DB28" s="16">
        <f>IF(ISNA(VLOOKUP(A28,'Données projet'!$A$139:$I$159,4,0)),0,VLOOKUP(A28,'Données projet'!$A$139:$I$159,4,0))</f>
        <v>16.025641025641026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30</v>
      </c>
      <c r="DM28" s="13">
        <f>VLOOKUP(A28,'Données projet'!$A$165:$I$185,9,0)</f>
        <v>1.2</v>
      </c>
      <c r="DN28" s="13">
        <f t="array" ref="DN28">INDEX(DM:DM,MIN(IF(ISNUMBER(DM28:DM224),ROW(DM28:DM224),"")))</f>
        <v>1.2</v>
      </c>
      <c r="DO28" s="13">
        <f>IF('Données projet'!$A$166&gt;35,DO27+DN28-DW27,IF(A28&lt;'Données projet'!$A$166,$DL$205^A28,IF(A28='Données projet'!$A$166,'Données projet'!$B$166,DO27+DN28-DW27)))</f>
        <v>30</v>
      </c>
      <c r="DP28" s="18">
        <f>DO28*VLOOKUP('Données projet'!$B$14,Paramètres!$A$1:$I$89,3,0)*VLOOKUP('Données projet'!$B$14,Paramètres!$A$1:$I$89,5,0)</f>
        <v>29.016000000000002</v>
      </c>
      <c r="DQ28" s="14">
        <f t="shared" si="43"/>
        <v>9.0352172071357728</v>
      </c>
      <c r="DR28" s="22">
        <f t="shared" si="16"/>
        <v>66.272536635761469</v>
      </c>
      <c r="DS28" s="62">
        <f t="shared" si="17"/>
        <v>294.31031060209358</v>
      </c>
      <c r="DT28" s="62">
        <f ca="1">AVERAGE(OFFSET($DS$3,0,0,'Données projet'!$E$14+1,1))-AVERAGE(OFFSET($H$3,0,0,'Données projet'!$E$14+1,1))</f>
        <v>398.93296311353788</v>
      </c>
      <c r="DU28" s="62">
        <f t="shared" si="44"/>
        <v>173.19148969173838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56</v>
      </c>
      <c r="EH28" s="13">
        <f>VLOOKUP(A28,'Données projet'!$A$191:$I$211,9,0)</f>
        <v>7.6</v>
      </c>
      <c r="EI28" s="13">
        <f t="array" ref="EI28">INDEX(EH:EH,MIN(IF(ISNUMBER(EH28:EH224),ROW(EH28:EH224),"")))</f>
        <v>7.6</v>
      </c>
      <c r="EJ28" s="13">
        <f>IF('Données projet'!$A$192&gt;35,EJ27+EI28-ER27,IF(A28&lt;'Données projet'!$A$192,$EG$205^A28,IF(A28='Données projet'!$A$192,'Données projet'!$B$192,EJ27+EI28-ER27)))</f>
        <v>56.000000000000007</v>
      </c>
      <c r="EK28" s="18">
        <f>EJ28*VLOOKUP('Données projet'!$B$15,Paramètres!$A$1:$I$89,3,0)*VLOOKUP('Données projet'!$B$15,Paramètres!$A$1:$I$89,5,0)</f>
        <v>48.921600000000012</v>
      </c>
      <c r="EL28" s="14">
        <f t="shared" si="45"/>
        <v>14.334905731333873</v>
      </c>
      <c r="EM28" s="22">
        <f t="shared" si="19"/>
        <v>110.1717474820732</v>
      </c>
      <c r="EN28" s="62">
        <f t="shared" si="20"/>
        <v>338.20952144840533</v>
      </c>
      <c r="EO28" s="62">
        <f ca="1">AVERAGE(OFFSET($EN$3,0,0,'Données projet'!$E$15+1,1))-AVERAGE(OFFSET($H$3,0,0,'Données projet'!$E$15+1,1))</f>
        <v>226.37420733783091</v>
      </c>
      <c r="EP28" s="62">
        <f t="shared" si="46"/>
        <v>204.10961748628714</v>
      </c>
      <c r="EQ28" s="16">
        <f>IF(ISNA(VLOOKUP(A28,'Données projet'!$A$191:$I$211,3,0)),0,VLOOKUP(A28,'Données projet'!$A$191:$I$211,3,0))</f>
        <v>1</v>
      </c>
      <c r="ER28" s="16">
        <f>IF(ISNA(VLOOKUP(A28,'Données projet'!$A$191:$I$211,4,0)),0,VLOOKUP(A28,'Données projet'!$A$191:$I$211,4,0))</f>
        <v>17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6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9">
        <f t="shared" si="1"/>
        <v>183.33333333333334</v>
      </c>
      <c r="I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3.5</v>
      </c>
      <c r="N29" s="14">
        <f>IF('Données projet'!$A$36&gt;35,N28+M29-V28,IF(A29&lt;'Données projet'!$A$36,$K$205^A29,IF(A29='Données projet'!$A$36,'Données projet'!$B$36,N28+M29-V28)))</f>
        <v>56.45434754415389</v>
      </c>
      <c r="O29" s="14">
        <f>N29*VLOOKUP('Données projet'!$B$9,Paramètres!$A$1:$I$89,3,0)*VLOOKUP('Données projet'!$B$9,Paramètres!$A$1:$I$89,5,0)</f>
        <v>33.025793313330027</v>
      </c>
      <c r="P29" s="14">
        <f t="shared" si="33"/>
        <v>10.130031694700618</v>
      </c>
      <c r="Q29" s="22">
        <f t="shared" si="2"/>
        <v>75.163061888986704</v>
      </c>
      <c r="R29" s="62">
        <f t="shared" si="0"/>
        <v>305.44977593817691</v>
      </c>
      <c r="S29" s="62">
        <f ca="1">AVERAGE(OFFSET($R$3,0,0,'Données projet'!$E$9+1,1))-AVERAGE(OFFSET($H$3,0,0,'Données projet'!$E$9+1,1))</f>
        <v>196.48726929442091</v>
      </c>
      <c r="T29" s="62">
        <f t="shared" si="34"/>
        <v>193.28400454669347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4.8</v>
      </c>
      <c r="AI29" s="14">
        <f>IF('Données projet'!$A$62&gt;35,AI28+AH29-AQ28,IF(A29&lt;'Données projet'!$A$62,$AF$205^A29,IF(A29='Données projet'!$A$62,'Données projet'!$B$62,AI28+AH29-AQ28)))</f>
        <v>34.799999999999997</v>
      </c>
      <c r="AJ29" s="14">
        <f>AI29*VLOOKUP('Données projet'!$B$10,Paramètres!$A$1:$I$89,3,0)*VLOOKUP('Données projet'!$B$10,Paramètres!$A$1:$I$89,5,0)</f>
        <v>35.287199999999999</v>
      </c>
      <c r="AK29" s="14">
        <f t="shared" si="35"/>
        <v>10.740552489323523</v>
      </c>
      <c r="AL29" s="22">
        <f t="shared" si="4"/>
        <v>80.165002252238452</v>
      </c>
      <c r="AM29" s="62">
        <f t="shared" si="5"/>
        <v>310.45171630142863</v>
      </c>
      <c r="AN29" s="62">
        <f ca="1">AVERAGE(OFFSET($AM$3,0,0,'Données projet'!$E$10+1,1))-AVERAGE(OFFSET($H$3,0,0,'Données projet'!$E$10+1,1))</f>
        <v>414.29294334114661</v>
      </c>
      <c r="AO29" s="62">
        <f t="shared" si="36"/>
        <v>178.72086185623849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4.8</v>
      </c>
      <c r="BD29" s="13">
        <f>IF('Données projet'!$A$88&gt;35,BD28+BC29-BL28,IF(A29&lt;'Données projet'!$A$88,$BA$205^A29,IF(A29='Données projet'!$A$88,'Données projet'!$B$88,BD28+BC29-BL28)))</f>
        <v>34.799999999999997</v>
      </c>
      <c r="BE29" s="14">
        <f>BD29*VLOOKUP('Données projet'!$B$11,Paramètres!$A$1:$I$89,3,0)*VLOOKUP('Données projet'!$B$11,Paramètres!$A$1:$I$89,5,0)</f>
        <v>37.45872</v>
      </c>
      <c r="BF29" s="14">
        <f t="shared" si="37"/>
        <v>11.322528864493165</v>
      </c>
      <c r="BG29" s="22">
        <f t="shared" si="7"/>
        <v>84.960675105658922</v>
      </c>
      <c r="BH29" s="62">
        <f t="shared" si="8"/>
        <v>315.24738915484909</v>
      </c>
      <c r="BI29" s="62">
        <f ca="1">AVERAGE(OFFSET($BH$3,0,0,'Données projet'!$E$11+1,1))-AVERAGE(OFFSET($H$3,0,0,'Données projet'!$E$11+1,1))</f>
        <v>434.74983403680108</v>
      </c>
      <c r="BJ29" s="62">
        <f t="shared" si="38"/>
        <v>186.0840067781198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5.3846153846153841</v>
      </c>
      <c r="BY29" s="13">
        <f>IF('Données projet'!$A$114&gt;35,BY28+BX29-CG28,IF(A29&lt;'Données projet'!$A$114,$BV$205^A29,IF(A29='Données projet'!$A$114,'Données projet'!$B$114,BY28+BX29-CG28)))</f>
        <v>47.692307692307679</v>
      </c>
      <c r="BZ29" s="14">
        <f>BY29*VLOOKUP('Données projet'!$B$12,Paramètres!$A$1:$I$89,3,0)*VLOOKUP('Données projet'!$B$12,Paramètres!$A$1:$I$89,5,0)</f>
        <v>40.919999999999995</v>
      </c>
      <c r="CA29" s="14">
        <f t="shared" si="39"/>
        <v>12.242169355927473</v>
      </c>
      <c r="CB29" s="22">
        <f t="shared" si="10"/>
        <v>92.590778294907011</v>
      </c>
      <c r="CC29" s="62">
        <f t="shared" si="11"/>
        <v>322.87749234409716</v>
      </c>
      <c r="CD29" s="62">
        <f ca="1">AVERAGE(OFFSET($CC$3,0,0,'Données projet'!$E$12+1,1))-AVERAGE(OFFSET($H$3,0,0,'Données projet'!$E$12+1,1))</f>
        <v>288.24759203983547</v>
      </c>
      <c r="CE29" s="62">
        <f t="shared" si="40"/>
        <v>188.86613033148794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5.3846153846153841</v>
      </c>
      <c r="CT29" s="13">
        <f>IF('Données projet'!$A$140&gt;35,CT28+CS29-DB28,IF(A29&lt;'Données projet'!$A$140,$CQ$205^A29,IF(A29='Données projet'!$A$140,'Données projet'!$B$140,CT28+CS29-DB28)))</f>
        <v>47.692307692307679</v>
      </c>
      <c r="CU29" s="18">
        <f>CT29*VLOOKUP('Données projet'!$B$13,Paramètres!$A$1:$I$89,3,0)*VLOOKUP('Données projet'!$B$13,Paramètres!$A$1:$I$89,5,0)</f>
        <v>31.991999999999994</v>
      </c>
      <c r="CV29" s="14">
        <f t="shared" si="41"/>
        <v>9.849328852856404</v>
      </c>
      <c r="CW29" s="22">
        <f t="shared" si="13"/>
        <v>72.873647752058218</v>
      </c>
      <c r="CX29" s="62">
        <f t="shared" si="14"/>
        <v>303.16036180124843</v>
      </c>
      <c r="CY29" s="62">
        <f ca="1">AVERAGE(OFFSET($CX$3,0,0,'Données projet'!$E$13+1,1))-AVERAGE(OFFSET($H$3,0,0,'Données projet'!$E$13+1,1))</f>
        <v>240.40157928925146</v>
      </c>
      <c r="CZ29" s="62">
        <f t="shared" si="42"/>
        <v>160.5013084380258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4.8</v>
      </c>
      <c r="DO29" s="13">
        <f>IF('Données projet'!$A$166&gt;35,DO28+DN29-DW28,IF(A29&lt;'Données projet'!$A$166,$DL$205^A29,IF(A29='Données projet'!$A$166,'Données projet'!$B$166,DO28+DN29-DW28)))</f>
        <v>34.799999999999997</v>
      </c>
      <c r="DP29" s="18">
        <f>DO29*VLOOKUP('Données projet'!$B$14,Paramètres!$A$1:$I$89,3,0)*VLOOKUP('Données projet'!$B$14,Paramètres!$A$1:$I$89,5,0)</f>
        <v>33.658559999999994</v>
      </c>
      <c r="DQ29" s="14">
        <f t="shared" si="43"/>
        <v>10.301338939492439</v>
      </c>
      <c r="DR29" s="22">
        <f t="shared" si="16"/>
        <v>76.563490652949312</v>
      </c>
      <c r="DS29" s="62">
        <f t="shared" si="17"/>
        <v>306.85020470213948</v>
      </c>
      <c r="DT29" s="62">
        <f ca="1">AVERAGE(OFFSET($DS$3,0,0,'Données projet'!$E$14+1,1))-AVERAGE(OFFSET($H$3,0,0,'Données projet'!$E$14+1,1))</f>
        <v>398.93296311353788</v>
      </c>
      <c r="DU29" s="62">
        <f t="shared" si="44"/>
        <v>173.19148969173838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7.4</v>
      </c>
      <c r="EJ29" s="13">
        <f>IF('Données projet'!$A$192&gt;35,EJ28+EI29-ER28,IF(A29&lt;'Données projet'!$A$192,$EG$205^A29,IF(A29='Données projet'!$A$192,'Données projet'!$B$192,EJ28+EI29-ER28)))</f>
        <v>46.400000000000006</v>
      </c>
      <c r="EK29" s="18">
        <f>EJ29*VLOOKUP('Données projet'!$B$15,Paramètres!$A$1:$I$89,3,0)*VLOOKUP('Données projet'!$B$15,Paramètres!$A$1:$I$89,5,0)</f>
        <v>40.535040000000009</v>
      </c>
      <c r="EL29" s="14">
        <f t="shared" si="45"/>
        <v>12.140349464730924</v>
      </c>
      <c r="EM29" s="22">
        <f t="shared" si="19"/>
        <v>91.742969984406372</v>
      </c>
      <c r="EN29" s="62">
        <f t="shared" si="20"/>
        <v>322.02968403359654</v>
      </c>
      <c r="EO29" s="62">
        <f ca="1">AVERAGE(OFFSET($EN$3,0,0,'Données projet'!$E$15+1,1))-AVERAGE(OFFSET($H$3,0,0,'Données projet'!$E$15+1,1))</f>
        <v>226.37420733783091</v>
      </c>
      <c r="EP29" s="62">
        <f t="shared" si="46"/>
        <v>204.10961748628714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6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9">
        <f t="shared" si="1"/>
        <v>183.33333333333334</v>
      </c>
      <c r="I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3.5</v>
      </c>
      <c r="N30" s="14">
        <f>IF('Données projet'!$A$36&gt;35,N29+M30-V29,IF(A30&lt;'Données projet'!$A$36,$K$205^A30,IF(A30='Données projet'!$A$36,'Données projet'!$B$36,N29+M30-V29)))</f>
        <v>65.928071049370715</v>
      </c>
      <c r="O30" s="14">
        <f>N30*VLOOKUP('Données projet'!$B$9,Paramètres!$A$1:$I$89,3,0)*VLOOKUP('Données projet'!$B$9,Paramètres!$A$1:$I$89,5,0)</f>
        <v>38.567921563881868</v>
      </c>
      <c r="P30" s="14">
        <f t="shared" si="33"/>
        <v>11.618272712449384</v>
      </c>
      <c r="Q30" s="22">
        <f t="shared" si="2"/>
        <v>87.407621697943583</v>
      </c>
      <c r="R30" s="62">
        <f t="shared" si="0"/>
        <v>319.92546457050707</v>
      </c>
      <c r="S30" s="62">
        <f ca="1">AVERAGE(OFFSET($R$3,0,0,'Données projet'!$E$9+1,1))-AVERAGE(OFFSET($H$3,0,0,'Données projet'!$E$9+1,1))</f>
        <v>196.48726929442091</v>
      </c>
      <c r="T30" s="62">
        <f t="shared" si="34"/>
        <v>193.28400454669347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4.8</v>
      </c>
      <c r="AI30" s="14">
        <f>IF('Données projet'!$A$62&gt;35,AI29+AH30-AQ29,IF(A30&lt;'Données projet'!$A$62,$AF$205^A30,IF(A30='Données projet'!$A$62,'Données projet'!$B$62,AI29+AH30-AQ29)))</f>
        <v>39.599999999999994</v>
      </c>
      <c r="AJ30" s="14">
        <f>AI30*VLOOKUP('Données projet'!$B$10,Paramètres!$A$1:$I$89,3,0)*VLOOKUP('Données projet'!$B$10,Paramètres!$A$1:$I$89,5,0)</f>
        <v>40.154399999999995</v>
      </c>
      <c r="AK30" s="14">
        <f t="shared" si="35"/>
        <v>12.039561463286329</v>
      </c>
      <c r="AL30" s="22">
        <f t="shared" si="4"/>
        <v>90.90448288189036</v>
      </c>
      <c r="AM30" s="62">
        <f t="shared" si="5"/>
        <v>323.42232575445388</v>
      </c>
      <c r="AN30" s="62">
        <f ca="1">AVERAGE(OFFSET($AM$3,0,0,'Données projet'!$E$10+1,1))-AVERAGE(OFFSET($H$3,0,0,'Données projet'!$E$10+1,1))</f>
        <v>414.29294334114661</v>
      </c>
      <c r="AO30" s="62">
        <f t="shared" si="36"/>
        <v>178.72086185623849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4.8</v>
      </c>
      <c r="BD30" s="13">
        <f>IF('Données projet'!$A$88&gt;35,BD29+BC30-BL29,IF(A30&lt;'Données projet'!$A$88,$BA$205^A30,IF(A30='Données projet'!$A$88,'Données projet'!$B$88,BD29+BC30-BL29)))</f>
        <v>39.599999999999994</v>
      </c>
      <c r="BE30" s="14">
        <f>BD30*VLOOKUP('Données projet'!$B$11,Paramètres!$A$1:$I$89,3,0)*VLOOKUP('Données projet'!$B$11,Paramètres!$A$1:$I$89,5,0)</f>
        <v>42.62543999999999</v>
      </c>
      <c r="BF30" s="14">
        <f t="shared" si="37"/>
        <v>12.691924583898647</v>
      </c>
      <c r="BG30" s="22">
        <f t="shared" si="7"/>
        <v>96.34440998362345</v>
      </c>
      <c r="BH30" s="62">
        <f t="shared" si="8"/>
        <v>328.86225285618696</v>
      </c>
      <c r="BI30" s="62">
        <f ca="1">AVERAGE(OFFSET($BH$3,0,0,'Données projet'!$E$11+1,1))-AVERAGE(OFFSET($H$3,0,0,'Données projet'!$E$11+1,1))</f>
        <v>434.74983403680108</v>
      </c>
      <c r="BJ30" s="62">
        <f t="shared" si="38"/>
        <v>186.0840067781198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5.3846153846153841</v>
      </c>
      <c r="BY30" s="13">
        <f>IF('Données projet'!$A$114&gt;35,BY29+BX30-CG29,IF(A30&lt;'Données projet'!$A$114,$BV$205^A30,IF(A30='Données projet'!$A$114,'Données projet'!$B$114,BY29+BX30-CG29)))</f>
        <v>53.076923076923066</v>
      </c>
      <c r="BZ30" s="14">
        <f>BY30*VLOOKUP('Données projet'!$B$12,Paramètres!$A$1:$I$89,3,0)*VLOOKUP('Données projet'!$B$12,Paramètres!$A$1:$I$89,5,0)</f>
        <v>45.54</v>
      </c>
      <c r="CA30" s="14">
        <f t="shared" si="39"/>
        <v>13.455757228325131</v>
      </c>
      <c r="CB30" s="22">
        <f t="shared" si="10"/>
        <v>102.75094383933293</v>
      </c>
      <c r="CC30" s="62">
        <f t="shared" si="11"/>
        <v>335.26878671189644</v>
      </c>
      <c r="CD30" s="62">
        <f ca="1">AVERAGE(OFFSET($CC$3,0,0,'Données projet'!$E$12+1,1))-AVERAGE(OFFSET($H$3,0,0,'Données projet'!$E$12+1,1))</f>
        <v>288.24759203983547</v>
      </c>
      <c r="CE30" s="62">
        <f t="shared" si="40"/>
        <v>188.86613033148794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5.3846153846153841</v>
      </c>
      <c r="CT30" s="13">
        <f>IF('Données projet'!$A$140&gt;35,CT29+CS30-DB29,IF(A30&lt;'Données projet'!$A$140,$CQ$205^A30,IF(A30='Données projet'!$A$140,'Données projet'!$B$140,CT29+CS30-DB29)))</f>
        <v>53.076923076923066</v>
      </c>
      <c r="CU30" s="18">
        <f>CT30*VLOOKUP('Données projet'!$B$13,Paramètres!$A$1:$I$89,3,0)*VLOOKUP('Données projet'!$B$13,Paramètres!$A$1:$I$89,5,0)</f>
        <v>35.603999999999992</v>
      </c>
      <c r="CV30" s="14">
        <f t="shared" si="41"/>
        <v>10.825710219553912</v>
      </c>
      <c r="CW30" s="22">
        <f t="shared" si="13"/>
        <v>80.865078632389711</v>
      </c>
      <c r="CX30" s="62">
        <f t="shared" si="14"/>
        <v>313.38292150495323</v>
      </c>
      <c r="CY30" s="62">
        <f ca="1">AVERAGE(OFFSET($CX$3,0,0,'Données projet'!$E$13+1,1))-AVERAGE(OFFSET($H$3,0,0,'Données projet'!$E$13+1,1))</f>
        <v>240.40157928925146</v>
      </c>
      <c r="CZ30" s="62">
        <f t="shared" si="42"/>
        <v>160.5013084380258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4.8</v>
      </c>
      <c r="DO30" s="13">
        <f>IF('Données projet'!$A$166&gt;35,DO29+DN30-DW29,IF(A30&lt;'Données projet'!$A$166,$DL$205^A30,IF(A30='Données projet'!$A$166,'Données projet'!$B$166,DO29+DN30-DW29)))</f>
        <v>39.599999999999994</v>
      </c>
      <c r="DP30" s="18">
        <f>DO30*VLOOKUP('Données projet'!$B$14,Paramètres!$A$1:$I$89,3,0)*VLOOKUP('Données projet'!$B$14,Paramètres!$A$1:$I$89,5,0)</f>
        <v>38.301119999999997</v>
      </c>
      <c r="DQ30" s="14">
        <f t="shared" si="43"/>
        <v>11.547227522927502</v>
      </c>
      <c r="DR30" s="22">
        <f t="shared" si="16"/>
        <v>86.819205269098731</v>
      </c>
      <c r="DS30" s="62">
        <f t="shared" si="17"/>
        <v>319.33704814166225</v>
      </c>
      <c r="DT30" s="62">
        <f ca="1">AVERAGE(OFFSET($DS$3,0,0,'Données projet'!$E$14+1,1))-AVERAGE(OFFSET($H$3,0,0,'Données projet'!$E$14+1,1))</f>
        <v>398.93296311353788</v>
      </c>
      <c r="DU30" s="62">
        <f t="shared" si="44"/>
        <v>173.19148969173838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7.4</v>
      </c>
      <c r="EJ30" s="13">
        <f>IF('Données projet'!$A$192&gt;35,EJ29+EI30-ER29,IF(A30&lt;'Données projet'!$A$192,$EG$205^A30,IF(A30='Données projet'!$A$192,'Données projet'!$B$192,EJ29+EI30-ER29)))</f>
        <v>53.800000000000004</v>
      </c>
      <c r="EK30" s="18">
        <f>EJ30*VLOOKUP('Données projet'!$B$15,Paramètres!$A$1:$I$89,3,0)*VLOOKUP('Données projet'!$B$15,Paramètres!$A$1:$I$89,5,0)</f>
        <v>46.999680000000005</v>
      </c>
      <c r="EL30" s="14">
        <f t="shared" si="45"/>
        <v>13.836145469363998</v>
      </c>
      <c r="EM30" s="22">
        <f t="shared" si="19"/>
        <v>105.9557293591423</v>
      </c>
      <c r="EN30" s="62">
        <f t="shared" si="20"/>
        <v>338.47357223170582</v>
      </c>
      <c r="EO30" s="62">
        <f ca="1">AVERAGE(OFFSET($EN$3,0,0,'Données projet'!$E$15+1,1))-AVERAGE(OFFSET($H$3,0,0,'Données projet'!$E$15+1,1))</f>
        <v>226.37420733783091</v>
      </c>
      <c r="EP30" s="62">
        <f t="shared" si="46"/>
        <v>204.10961748628714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6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9">
        <f t="shared" si="1"/>
        <v>183.33333333333334</v>
      </c>
      <c r="I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3.5</v>
      </c>
      <c r="N31" s="14">
        <f>IF('Données projet'!$A$36&gt;35,N30+M31-V30,IF(A31&lt;'Données projet'!$A$36,$K$205^A31,IF(A31='Données projet'!$A$36,'Données projet'!$B$36,N30+M31-V30)))</f>
        <v>76.991600140120198</v>
      </c>
      <c r="O31" s="14">
        <f>N31*VLOOKUP('Données projet'!$B$9,Paramètres!$A$1:$I$89,3,0)*VLOOKUP('Données projet'!$B$9,Paramètres!$A$1:$I$89,5,0)</f>
        <v>45.040086081970315</v>
      </c>
      <c r="P31" s="14">
        <f t="shared" si="33"/>
        <v>13.3251568098707</v>
      </c>
      <c r="Q31" s="22">
        <f t="shared" si="2"/>
        <v>101.6527980366231</v>
      </c>
      <c r="R31" s="62">
        <f t="shared" si="0"/>
        <v>336.38426745860716</v>
      </c>
      <c r="S31" s="62">
        <f ca="1">AVERAGE(OFFSET($R$3,0,0,'Données projet'!$E$9+1,1))-AVERAGE(OFFSET($H$3,0,0,'Données projet'!$E$9+1,1))</f>
        <v>196.48726929442091</v>
      </c>
      <c r="T31" s="62">
        <f t="shared" si="34"/>
        <v>193.28400454669347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4.8</v>
      </c>
      <c r="AI31" s="14">
        <f>IF('Données projet'!$A$62&gt;35,AI30+AH31-AQ30,IF(A31&lt;'Données projet'!$A$62,$AF$205^A31,IF(A31='Données projet'!$A$62,'Données projet'!$B$62,AI30+AH31-AQ30)))</f>
        <v>44.399999999999991</v>
      </c>
      <c r="AJ31" s="14">
        <f>AI31*VLOOKUP('Données projet'!$B$10,Paramètres!$A$1:$I$89,3,0)*VLOOKUP('Données projet'!$B$10,Paramètres!$A$1:$I$89,5,0)</f>
        <v>45.021599999999992</v>
      </c>
      <c r="AK31" s="14">
        <f t="shared" si="35"/>
        <v>13.320324173992205</v>
      </c>
      <c r="AL31" s="22">
        <f t="shared" si="4"/>
        <v>101.6121846030364</v>
      </c>
      <c r="AM31" s="62">
        <f t="shared" si="5"/>
        <v>336.3436540250205</v>
      </c>
      <c r="AN31" s="62">
        <f ca="1">AVERAGE(OFFSET($AM$3,0,0,'Données projet'!$E$10+1,1))-AVERAGE(OFFSET($H$3,0,0,'Données projet'!$E$10+1,1))</f>
        <v>414.29294334114661</v>
      </c>
      <c r="AO31" s="62">
        <f t="shared" si="36"/>
        <v>178.72086185623849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4.8</v>
      </c>
      <c r="BD31" s="13">
        <f>IF('Données projet'!$A$88&gt;35,BD30+BC31-BL30,IF(A31&lt;'Données projet'!$A$88,$BA$205^A31,IF(A31='Données projet'!$A$88,'Données projet'!$B$88,BD30+BC31-BL30)))</f>
        <v>44.399999999999991</v>
      </c>
      <c r="BE31" s="14">
        <f>BD31*VLOOKUP('Données projet'!$B$11,Paramètres!$A$1:$I$89,3,0)*VLOOKUP('Données projet'!$B$11,Paramètres!$A$1:$I$89,5,0)</f>
        <v>47.792159999999988</v>
      </c>
      <c r="BF31" s="14">
        <f t="shared" si="37"/>
        <v>14.042085367056567</v>
      </c>
      <c r="BG31" s="22">
        <f t="shared" si="7"/>
        <v>107.69464401429015</v>
      </c>
      <c r="BH31" s="62">
        <f t="shared" si="8"/>
        <v>342.42611343627425</v>
      </c>
      <c r="BI31" s="62">
        <f ca="1">AVERAGE(OFFSET($BH$3,0,0,'Données projet'!$E$11+1,1))-AVERAGE(OFFSET($H$3,0,0,'Données projet'!$E$11+1,1))</f>
        <v>434.74983403680108</v>
      </c>
      <c r="BJ31" s="62">
        <f t="shared" si="38"/>
        <v>186.0840067781198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5.3846153846153841</v>
      </c>
      <c r="BY31" s="13">
        <f>IF('Données projet'!$A$114&gt;35,BY30+BX31-CG30,IF(A31&lt;'Données projet'!$A$114,$BV$205^A31,IF(A31='Données projet'!$A$114,'Données projet'!$B$114,BY30+BX31-CG30)))</f>
        <v>58.461538461538453</v>
      </c>
      <c r="BZ31" s="14">
        <f>BY31*VLOOKUP('Données projet'!$B$12,Paramètres!$A$1:$I$89,3,0)*VLOOKUP('Données projet'!$B$12,Paramètres!$A$1:$I$89,5,0)</f>
        <v>50.160000000000004</v>
      </c>
      <c r="CA31" s="14">
        <f t="shared" si="39"/>
        <v>14.655072674759261</v>
      </c>
      <c r="CB31" s="22">
        <f t="shared" si="10"/>
        <v>112.88625157520572</v>
      </c>
      <c r="CC31" s="62">
        <f t="shared" si="11"/>
        <v>347.61772099718979</v>
      </c>
      <c r="CD31" s="62">
        <f ca="1">AVERAGE(OFFSET($CC$3,0,0,'Données projet'!$E$12+1,1))-AVERAGE(OFFSET($H$3,0,0,'Données projet'!$E$12+1,1))</f>
        <v>288.24759203983547</v>
      </c>
      <c r="CE31" s="62">
        <f t="shared" si="40"/>
        <v>188.86613033148794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5.3846153846153841</v>
      </c>
      <c r="CT31" s="13">
        <f>IF('Données projet'!$A$140&gt;35,CT30+CS31-DB30,IF(A31&lt;'Données projet'!$A$140,$CQ$205^A31,IF(A31='Données projet'!$A$140,'Données projet'!$B$140,CT30+CS31-DB30)))</f>
        <v>58.461538461538453</v>
      </c>
      <c r="CU31" s="18">
        <f>CT31*VLOOKUP('Données projet'!$B$13,Paramètres!$A$1:$I$89,3,0)*VLOOKUP('Données projet'!$B$13,Paramètres!$A$1:$I$89,5,0)</f>
        <v>39.215999999999994</v>
      </c>
      <c r="CV31" s="14">
        <f t="shared" si="41"/>
        <v>11.790608832439103</v>
      </c>
      <c r="CW31" s="22">
        <f t="shared" si="13"/>
        <v>88.83651038316475</v>
      </c>
      <c r="CX31" s="62">
        <f t="shared" si="14"/>
        <v>323.56797980514887</v>
      </c>
      <c r="CY31" s="62">
        <f ca="1">AVERAGE(OFFSET($CX$3,0,0,'Données projet'!$E$13+1,1))-AVERAGE(OFFSET($H$3,0,0,'Données projet'!$E$13+1,1))</f>
        <v>240.40157928925146</v>
      </c>
      <c r="CZ31" s="62">
        <f t="shared" si="42"/>
        <v>160.5013084380258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4.8</v>
      </c>
      <c r="DO31" s="13">
        <f>IF('Données projet'!$A$166&gt;35,DO30+DN31-DW30,IF(A31&lt;'Données projet'!$A$166,$DL$205^A31,IF(A31='Données projet'!$A$166,'Données projet'!$B$166,DO30+DN31-DW30)))</f>
        <v>44.399999999999991</v>
      </c>
      <c r="DP31" s="18">
        <f>DO31*VLOOKUP('Données projet'!$B$14,Paramètres!$A$1:$I$89,3,0)*VLOOKUP('Données projet'!$B$14,Paramètres!$A$1:$I$89,5,0)</f>
        <v>42.943679999999993</v>
      </c>
      <c r="DQ31" s="14">
        <f t="shared" si="43"/>
        <v>12.775615987781539</v>
      </c>
      <c r="DR31" s="22">
        <f t="shared" si="16"/>
        <v>97.044440512052844</v>
      </c>
      <c r="DS31" s="62">
        <f t="shared" si="17"/>
        <v>331.77590993403692</v>
      </c>
      <c r="DT31" s="62">
        <f ca="1">AVERAGE(OFFSET($DS$3,0,0,'Données projet'!$E$14+1,1))-AVERAGE(OFFSET($H$3,0,0,'Données projet'!$E$14+1,1))</f>
        <v>398.93296311353788</v>
      </c>
      <c r="DU31" s="62">
        <f t="shared" si="44"/>
        <v>173.19148969173838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7.4</v>
      </c>
      <c r="EJ31" s="13">
        <f>IF('Données projet'!$A$192&gt;35,EJ30+EI31-ER30,IF(A31&lt;'Données projet'!$A$192,$EG$205^A31,IF(A31='Données projet'!$A$192,'Données projet'!$B$192,EJ30+EI31-ER30)))</f>
        <v>61.2</v>
      </c>
      <c r="EK31" s="18">
        <f>EJ31*VLOOKUP('Données projet'!$B$15,Paramètres!$A$1:$I$89,3,0)*VLOOKUP('Données projet'!$B$15,Paramètres!$A$1:$I$89,5,0)</f>
        <v>53.464320000000008</v>
      </c>
      <c r="EL31" s="14">
        <f t="shared" si="45"/>
        <v>15.504917410776137</v>
      </c>
      <c r="EM31" s="22">
        <f t="shared" si="19"/>
        <v>120.12142182376846</v>
      </c>
      <c r="EN31" s="62">
        <f t="shared" si="20"/>
        <v>354.85289124575252</v>
      </c>
      <c r="EO31" s="62">
        <f ca="1">AVERAGE(OFFSET($EN$3,0,0,'Données projet'!$E$15+1,1))-AVERAGE(OFFSET($H$3,0,0,'Données projet'!$E$15+1,1))</f>
        <v>226.37420733783091</v>
      </c>
      <c r="EP31" s="62">
        <f t="shared" si="46"/>
        <v>204.10961748628714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6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9">
        <f t="shared" si="1"/>
        <v>183.33333333333334</v>
      </c>
      <c r="I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3.5</v>
      </c>
      <c r="N32" s="14">
        <f>IF('Données projet'!$A$36&gt;35,N31+M32-V31,IF(A32&lt;'Données projet'!$A$36,$K$205^A32,IF(A32='Données projet'!$A$36,'Données projet'!$B$36,N31+M32-V31)))</f>
        <v>89.911723455357148</v>
      </c>
      <c r="O32" s="14">
        <f>N32*VLOOKUP('Données projet'!$B$9,Paramètres!$A$1:$I$89,3,0)*VLOOKUP('Données projet'!$B$9,Paramètres!$A$1:$I$89,5,0)</f>
        <v>52.598358221383933</v>
      </c>
      <c r="P32" s="14">
        <f t="shared" si="33"/>
        <v>15.282805663305018</v>
      </c>
      <c r="Q32" s="22">
        <f t="shared" si="2"/>
        <v>118.22636043249992</v>
      </c>
      <c r="R32" s="62">
        <f t="shared" si="0"/>
        <v>355.15425775527575</v>
      </c>
      <c r="S32" s="62">
        <f ca="1">AVERAGE(OFFSET($R$3,0,0,'Données projet'!$E$9+1,1))-AVERAGE(OFFSET($H$3,0,0,'Données projet'!$E$9+1,1))</f>
        <v>196.48726929442091</v>
      </c>
      <c r="T32" s="62">
        <f t="shared" si="34"/>
        <v>193.28400454669347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4.8</v>
      </c>
      <c r="AI32" s="14">
        <f>IF('Données projet'!$A$62&gt;35,AI31+AH32-AQ31,IF(A32&lt;'Données projet'!$A$62,$AF$205^A32,IF(A32='Données projet'!$A$62,'Données projet'!$B$62,AI31+AH32-AQ31)))</f>
        <v>49.199999999999989</v>
      </c>
      <c r="AJ32" s="14">
        <f>AI32*VLOOKUP('Données projet'!$B$10,Paramètres!$A$1:$I$89,3,0)*VLOOKUP('Données projet'!$B$10,Paramètres!$A$1:$I$89,5,0)</f>
        <v>49.888799999999989</v>
      </c>
      <c r="AK32" s="14">
        <f t="shared" si="35"/>
        <v>14.585038058304724</v>
      </c>
      <c r="AL32" s="22">
        <f t="shared" si="4"/>
        <v>112.29193461821403</v>
      </c>
      <c r="AM32" s="62">
        <f t="shared" si="5"/>
        <v>349.21983194098988</v>
      </c>
      <c r="AN32" s="62">
        <f ca="1">AVERAGE(OFFSET($AM$3,0,0,'Données projet'!$E$10+1,1))-AVERAGE(OFFSET($H$3,0,0,'Données projet'!$E$10+1,1))</f>
        <v>414.29294334114661</v>
      </c>
      <c r="AO32" s="62">
        <f t="shared" si="36"/>
        <v>178.72086185623849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4.8</v>
      </c>
      <c r="BD32" s="13">
        <f>IF('Données projet'!$A$88&gt;35,BD31+BC32-BL31,IF(A32&lt;'Données projet'!$A$88,$BA$205^A32,IF(A32='Données projet'!$A$88,'Données projet'!$B$88,BD31+BC32-BL31)))</f>
        <v>49.199999999999989</v>
      </c>
      <c r="BE32" s="14">
        <f>BD32*VLOOKUP('Données projet'!$B$11,Paramètres!$A$1:$I$89,3,0)*VLOOKUP('Données projet'!$B$11,Paramètres!$A$1:$I$89,5,0)</f>
        <v>52.958879999999979</v>
      </c>
      <c r="BF32" s="14">
        <f t="shared" si="37"/>
        <v>15.375327718852537</v>
      </c>
      <c r="BG32" s="22">
        <f t="shared" si="7"/>
        <v>119.01541177700146</v>
      </c>
      <c r="BH32" s="62">
        <f t="shared" si="8"/>
        <v>355.94330909977731</v>
      </c>
      <c r="BI32" s="62">
        <f ca="1">AVERAGE(OFFSET($BH$3,0,0,'Données projet'!$E$11+1,1))-AVERAGE(OFFSET($H$3,0,0,'Données projet'!$E$11+1,1))</f>
        <v>434.74983403680108</v>
      </c>
      <c r="BJ32" s="62">
        <f t="shared" si="38"/>
        <v>186.0840067781198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5.3846153846153841</v>
      </c>
      <c r="BY32" s="13">
        <f>IF('Données projet'!$A$114&gt;35,BY31+BX32-CG31,IF(A32&lt;'Données projet'!$A$114,$BV$205^A32,IF(A32='Données projet'!$A$114,'Données projet'!$B$114,BY31+BX32-CG31)))</f>
        <v>63.84615384615384</v>
      </c>
      <c r="BZ32" s="14">
        <f>BY32*VLOOKUP('Données projet'!$B$12,Paramètres!$A$1:$I$89,3,0)*VLOOKUP('Données projet'!$B$12,Paramètres!$A$1:$I$89,5,0)</f>
        <v>54.78</v>
      </c>
      <c r="CA32" s="14">
        <f t="shared" si="39"/>
        <v>15.841579776284695</v>
      </c>
      <c r="CB32" s="22">
        <f t="shared" si="10"/>
        <v>122.99925144369581</v>
      </c>
      <c r="CC32" s="62">
        <f t="shared" si="11"/>
        <v>359.92714876647165</v>
      </c>
      <c r="CD32" s="62">
        <f ca="1">AVERAGE(OFFSET($CC$3,0,0,'Données projet'!$E$12+1,1))-AVERAGE(OFFSET($H$3,0,0,'Données projet'!$E$12+1,1))</f>
        <v>288.24759203983547</v>
      </c>
      <c r="CE32" s="62">
        <f t="shared" si="40"/>
        <v>188.86613033148794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5.3846153846153841</v>
      </c>
      <c r="CT32" s="13">
        <f>IF('Données projet'!$A$140&gt;35,CT31+CS32-DB31,IF(A32&lt;'Données projet'!$A$140,$CQ$205^A32,IF(A32='Données projet'!$A$140,'Données projet'!$B$140,CT31+CS32-DB31)))</f>
        <v>63.84615384615384</v>
      </c>
      <c r="CU32" s="18">
        <f>CT32*VLOOKUP('Données projet'!$B$13,Paramètres!$A$1:$I$89,3,0)*VLOOKUP('Données projet'!$B$13,Paramètres!$A$1:$I$89,5,0)</f>
        <v>42.827999999999996</v>
      </c>
      <c r="CV32" s="14">
        <f t="shared" si="41"/>
        <v>12.745202604948473</v>
      </c>
      <c r="CW32" s="22">
        <f t="shared" si="13"/>
        <v>96.789994536951909</v>
      </c>
      <c r="CX32" s="62">
        <f t="shared" si="14"/>
        <v>333.71789185972773</v>
      </c>
      <c r="CY32" s="62">
        <f ca="1">AVERAGE(OFFSET($CX$3,0,0,'Données projet'!$E$13+1,1))-AVERAGE(OFFSET($H$3,0,0,'Données projet'!$E$13+1,1))</f>
        <v>240.40157928925146</v>
      </c>
      <c r="CZ32" s="62">
        <f t="shared" si="42"/>
        <v>160.5013084380258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4.8</v>
      </c>
      <c r="DO32" s="13">
        <f>IF('Données projet'!$A$166&gt;35,DO31+DN32-DW31,IF(A32&lt;'Données projet'!$A$166,$DL$205^A32,IF(A32='Données projet'!$A$166,'Données projet'!$B$166,DO31+DN32-DW31)))</f>
        <v>49.199999999999989</v>
      </c>
      <c r="DP32" s="18">
        <f>DO32*VLOOKUP('Données projet'!$B$14,Paramètres!$A$1:$I$89,3,0)*VLOOKUP('Données projet'!$B$14,Paramètres!$A$1:$I$89,5,0)</f>
        <v>47.586239999999989</v>
      </c>
      <c r="DQ32" s="14">
        <f t="shared" si="43"/>
        <v>13.98861191110446</v>
      </c>
      <c r="DR32" s="22">
        <f t="shared" si="16"/>
        <v>107.2428670785069</v>
      </c>
      <c r="DS32" s="62">
        <f t="shared" si="17"/>
        <v>344.17076440128272</v>
      </c>
      <c r="DT32" s="62">
        <f ca="1">AVERAGE(OFFSET($DS$3,0,0,'Données projet'!$E$14+1,1))-AVERAGE(OFFSET($H$3,0,0,'Données projet'!$E$14+1,1))</f>
        <v>398.93296311353788</v>
      </c>
      <c r="DU32" s="62">
        <f t="shared" si="44"/>
        <v>173.19148969173838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7.4</v>
      </c>
      <c r="EJ32" s="13">
        <f>IF('Données projet'!$A$192&gt;35,EJ31+EI32-ER31,IF(A32&lt;'Données projet'!$A$192,$EG$205^A32,IF(A32='Données projet'!$A$192,'Données projet'!$B$192,EJ31+EI32-ER31)))</f>
        <v>68.600000000000009</v>
      </c>
      <c r="EK32" s="18">
        <f>EJ32*VLOOKUP('Données projet'!$B$15,Paramètres!$A$1:$I$89,3,0)*VLOOKUP('Données projet'!$B$15,Paramètres!$A$1:$I$89,5,0)</f>
        <v>59.928960000000018</v>
      </c>
      <c r="EL32" s="14">
        <f t="shared" si="45"/>
        <v>17.150306633391633</v>
      </c>
      <c r="EM32" s="22">
        <f t="shared" si="19"/>
        <v>134.24638938649045</v>
      </c>
      <c r="EN32" s="62">
        <f t="shared" si="20"/>
        <v>371.17428670926631</v>
      </c>
      <c r="EO32" s="62">
        <f ca="1">AVERAGE(OFFSET($EN$3,0,0,'Données projet'!$E$15+1,1))-AVERAGE(OFFSET($H$3,0,0,'Données projet'!$E$15+1,1))</f>
        <v>226.37420733783091</v>
      </c>
      <c r="EP32" s="62">
        <f t="shared" si="46"/>
        <v>204.10961748628714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6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9">
        <f t="shared" si="1"/>
        <v>183.33333333333334</v>
      </c>
      <c r="I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105</v>
      </c>
      <c r="L33" s="13">
        <f>VLOOKUP(A33,'Données projet'!$A$35:$I$55,9,0)</f>
        <v>3.5</v>
      </c>
      <c r="M33" s="13">
        <f t="array" ref="M33">INDEX(L:L,MIN(IF(ISNUMBER(L33:L229),ROW(L33:L229),"")))</f>
        <v>3.5</v>
      </c>
      <c r="N33" s="14">
        <f>IF('Données projet'!$A$36&gt;35,N32+M33-V32,IF(A33&lt;'Données projet'!$A$36,$K$205^A33,IF(A33='Données projet'!$A$36,'Données projet'!$B$36,N32+M33-V32)))</f>
        <v>105</v>
      </c>
      <c r="O33" s="14">
        <f>N33*VLOOKUP('Données projet'!$B$9,Paramètres!$A$1:$I$89,3,0)*VLOOKUP('Données projet'!$B$9,Paramètres!$A$1:$I$89,5,0)</f>
        <v>61.425000000000004</v>
      </c>
      <c r="P33" s="14">
        <f t="shared" si="33"/>
        <v>17.52806006525444</v>
      </c>
      <c r="Q33" s="22">
        <f t="shared" si="2"/>
        <v>137.50991294698483</v>
      </c>
      <c r="R33" s="62">
        <f t="shared" si="0"/>
        <v>376.61733788002681</v>
      </c>
      <c r="S33" s="62">
        <f ca="1">AVERAGE(OFFSET($R$3,0,0,'Données projet'!$E$9+1,1))-AVERAGE(OFFSET($H$3,0,0,'Données projet'!$E$9+1,1))</f>
        <v>196.48726929442091</v>
      </c>
      <c r="T33" s="62">
        <f t="shared" si="34"/>
        <v>193.28400454669347</v>
      </c>
      <c r="U33" s="16">
        <f>IF(ISNA(VLOOKUP(A33,'Données projet'!$A$35:$I$55,3,0)),0,VLOOKUP(A33,'Données projet'!$A$35:$I$55,3,0))</f>
        <v>1</v>
      </c>
      <c r="V33" s="16">
        <f>IF(ISNA(VLOOKUP(A33,'Données projet'!$A$35:$I$55,4,0)),0,VLOOKUP(A33,'Données projet'!$A$35:$I$55,4,0))</f>
        <v>48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0.5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15.89654145727158</v>
      </c>
      <c r="AC33" s="24">
        <f t="shared" si="3"/>
        <v>15.89654145727158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54</v>
      </c>
      <c r="AG33" s="13">
        <f>VLOOKUP(A33,'Données projet'!$A$61:$I$81,9,0)</f>
        <v>4.8</v>
      </c>
      <c r="AH33" s="13">
        <f t="array" ref="AH33">INDEX(AG:AG,MIN(IF(ISNUMBER(AG33:AG229),ROW(AG33:AG229),"")))</f>
        <v>4.8</v>
      </c>
      <c r="AI33" s="14">
        <f>IF('Données projet'!$A$62&gt;35,AI32+AH33-AQ32,IF(A33&lt;'Données projet'!$A$62,$AF$205^A33,IF(A33='Données projet'!$A$62,'Données projet'!$B$62,AI32+AH33-AQ32)))</f>
        <v>53.999999999999986</v>
      </c>
      <c r="AJ33" s="14">
        <f>AI33*VLOOKUP('Données projet'!$B$10,Paramètres!$A$1:$I$89,3,0)*VLOOKUP('Données projet'!$B$10,Paramètres!$A$1:$I$89,5,0)</f>
        <v>54.755999999999993</v>
      </c>
      <c r="AK33" s="14">
        <f t="shared" si="35"/>
        <v>15.835447037242044</v>
      </c>
      <c r="AL33" s="22">
        <f t="shared" si="4"/>
        <v>122.94677025652987</v>
      </c>
      <c r="AM33" s="62">
        <f t="shared" si="5"/>
        <v>362.05419518957183</v>
      </c>
      <c r="AN33" s="62">
        <f ca="1">AVERAGE(OFFSET($AM$3,0,0,'Données projet'!$E$10+1,1))-AVERAGE(OFFSET($H$3,0,0,'Données projet'!$E$10+1,1))</f>
        <v>414.29294334114661</v>
      </c>
      <c r="AO33" s="62">
        <f t="shared" si="36"/>
        <v>178.72086185623849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54</v>
      </c>
      <c r="BB33" s="13">
        <f>VLOOKUP(A33,'Données projet'!$A$87:$I$107,9,0)</f>
        <v>4.8</v>
      </c>
      <c r="BC33" s="13">
        <f t="array" ref="BC33">INDEX(BB:BB,MIN(IF(ISNUMBER(BB33:BB229),ROW(BB33:BB229),"")))</f>
        <v>4.8</v>
      </c>
      <c r="BD33" s="13">
        <f>IF('Données projet'!$A$88&gt;35,BD32+BC33-BL32,IF(A33&lt;'Données projet'!$A$88,$BA$205^A33,IF(A33='Données projet'!$A$88,'Données projet'!$B$88,BD32+BC33-BL32)))</f>
        <v>53.999999999999986</v>
      </c>
      <c r="BE33" s="14">
        <f>BD33*VLOOKUP('Données projet'!$B$11,Paramètres!$A$1:$I$89,3,0)*VLOOKUP('Données projet'!$B$11,Paramètres!$A$1:$I$89,5,0)</f>
        <v>58.125599999999977</v>
      </c>
      <c r="BF33" s="14">
        <f t="shared" si="37"/>
        <v>16.693490054590161</v>
      </c>
      <c r="BG33" s="22">
        <f t="shared" si="7"/>
        <v>130.30991517841116</v>
      </c>
      <c r="BH33" s="62">
        <f t="shared" si="8"/>
        <v>369.41734011145314</v>
      </c>
      <c r="BI33" s="62">
        <f ca="1">AVERAGE(OFFSET($BH$3,0,0,'Données projet'!$E$11+1,1))-AVERAGE(OFFSET($H$3,0,0,'Données projet'!$E$11+1,1))</f>
        <v>434.74983403680108</v>
      </c>
      <c r="BJ33" s="62">
        <f t="shared" si="38"/>
        <v>186.0840067781198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69.230769230769226</v>
      </c>
      <c r="BW33" s="13">
        <f>VLOOKUP(A33,'Données projet'!$A$113:$I$133,9,0)</f>
        <v>5.3846153846153841</v>
      </c>
      <c r="BX33" s="13">
        <f t="array" ref="BX33">INDEX(BW:BW,MIN(IF(ISNUMBER(BW33:BW229),ROW(BW33:BW229),"")))</f>
        <v>5.3846153846153841</v>
      </c>
      <c r="BY33" s="13">
        <f>IF('Données projet'!$A$114&gt;35,BY32+BX33-CG32,IF(A33&lt;'Données projet'!$A$114,$BV$205^A33,IF(A33='Données projet'!$A$114,'Données projet'!$B$114,BY32+BX33-CG32)))</f>
        <v>69.230769230769226</v>
      </c>
      <c r="BZ33" s="14">
        <f>BY33*VLOOKUP('Données projet'!$B$12,Paramètres!$A$1:$I$89,3,0)*VLOOKUP('Données projet'!$B$12,Paramètres!$A$1:$I$89,5,0)</f>
        <v>59.400000000000006</v>
      </c>
      <c r="CA33" s="14">
        <f t="shared" si="39"/>
        <v>17.01648156848572</v>
      </c>
      <c r="CB33" s="22">
        <f t="shared" si="10"/>
        <v>133.0920387317793</v>
      </c>
      <c r="CC33" s="62">
        <f t="shared" si="11"/>
        <v>372.19946366482128</v>
      </c>
      <c r="CD33" s="62">
        <f ca="1">AVERAGE(OFFSET($CC$3,0,0,'Données projet'!$E$12+1,1))-AVERAGE(OFFSET($H$3,0,0,'Données projet'!$E$12+1,1))</f>
        <v>288.24759203983547</v>
      </c>
      <c r="CE33" s="62">
        <f t="shared" si="40"/>
        <v>188.86613033148794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69.230769230769226</v>
      </c>
      <c r="CR33" s="13">
        <f>VLOOKUP(A33,'Données projet'!$A$139:$I$159,9,0)</f>
        <v>5.3846153846153841</v>
      </c>
      <c r="CS33" s="13">
        <f t="array" ref="CS33">INDEX(CR:CR,MIN(IF(ISNUMBER(CR33:CR229),ROW(CR33:CR229),"")))</f>
        <v>5.3846153846153841</v>
      </c>
      <c r="CT33" s="13">
        <f>IF('Données projet'!$A$140&gt;35,CT32+CS33-DB32,IF(A33&lt;'Données projet'!$A$140,$CQ$205^A33,IF(A33='Données projet'!$A$140,'Données projet'!$B$140,CT32+CS33-DB32)))</f>
        <v>69.230769230769226</v>
      </c>
      <c r="CU33" s="18">
        <f>CT33*VLOOKUP('Données projet'!$B$13,Paramètres!$A$1:$I$89,3,0)*VLOOKUP('Données projet'!$B$13,Paramètres!$A$1:$I$89,5,0)</f>
        <v>46.44</v>
      </c>
      <c r="CV33" s="14">
        <f t="shared" si="41"/>
        <v>13.69045942869886</v>
      </c>
      <c r="CW33" s="22">
        <f t="shared" si="13"/>
        <v>104.72721683831718</v>
      </c>
      <c r="CX33" s="62">
        <f t="shared" si="14"/>
        <v>343.83464177135914</v>
      </c>
      <c r="CY33" s="62">
        <f ca="1">AVERAGE(OFFSET($CX$3,0,0,'Données projet'!$E$13+1,1))-AVERAGE(OFFSET($H$3,0,0,'Données projet'!$E$13+1,1))</f>
        <v>240.40157928925146</v>
      </c>
      <c r="CZ33" s="62">
        <f t="shared" si="42"/>
        <v>160.5013084380258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54</v>
      </c>
      <c r="DM33" s="13">
        <f>VLOOKUP(A33,'Données projet'!$A$165:$I$185,9,0)</f>
        <v>4.8</v>
      </c>
      <c r="DN33" s="13">
        <f t="array" ref="DN33">INDEX(DM:DM,MIN(IF(ISNUMBER(DM33:DM229),ROW(DM33:DM229),"")))</f>
        <v>4.8</v>
      </c>
      <c r="DO33" s="13">
        <f>IF('Données projet'!$A$166&gt;35,DO32+DN33-DW32,IF(A33&lt;'Données projet'!$A$166,$DL$205^A33,IF(A33='Données projet'!$A$166,'Données projet'!$B$166,DO32+DN33-DW32)))</f>
        <v>53.999999999999986</v>
      </c>
      <c r="DP33" s="18">
        <f>DO33*VLOOKUP('Données projet'!$B$14,Paramètres!$A$1:$I$89,3,0)*VLOOKUP('Données projet'!$B$14,Paramètres!$A$1:$I$89,5,0)</f>
        <v>52.228799999999985</v>
      </c>
      <c r="DQ33" s="14">
        <f t="shared" si="43"/>
        <v>15.187887899730002</v>
      </c>
      <c r="DR33" s="22">
        <f t="shared" si="16"/>
        <v>117.41739809202973</v>
      </c>
      <c r="DS33" s="62">
        <f t="shared" si="17"/>
        <v>356.52482302507173</v>
      </c>
      <c r="DT33" s="62">
        <f ca="1">AVERAGE(OFFSET($DS$3,0,0,'Données projet'!$E$14+1,1))-AVERAGE(OFFSET($H$3,0,0,'Données projet'!$E$14+1,1))</f>
        <v>398.93296311353788</v>
      </c>
      <c r="DU33" s="62">
        <f t="shared" si="44"/>
        <v>173.19148969173838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76</v>
      </c>
      <c r="EH33" s="13">
        <f>VLOOKUP(A33,'Données projet'!$A$191:$I$211,9,0)</f>
        <v>7.4</v>
      </c>
      <c r="EI33" s="13">
        <f t="array" ref="EI33">INDEX(EH:EH,MIN(IF(ISNUMBER(EH33:EH229),ROW(EH33:EH229),"")))</f>
        <v>7.4</v>
      </c>
      <c r="EJ33" s="13">
        <f>IF('Données projet'!$A$192&gt;35,EJ32+EI33-ER32,IF(A33&lt;'Données projet'!$A$192,$EG$205^A33,IF(A33='Données projet'!$A$192,'Données projet'!$B$192,EJ32+EI33-ER32)))</f>
        <v>76.000000000000014</v>
      </c>
      <c r="EK33" s="18">
        <f>EJ33*VLOOKUP('Données projet'!$B$15,Paramètres!$A$1:$I$89,3,0)*VLOOKUP('Données projet'!$B$15,Paramètres!$A$1:$I$89,5,0)</f>
        <v>66.393600000000021</v>
      </c>
      <c r="EL33" s="14">
        <f t="shared" si="45"/>
        <v>18.775122997078544</v>
      </c>
      <c r="EM33" s="22">
        <f t="shared" si="19"/>
        <v>148.33552588657849</v>
      </c>
      <c r="EN33" s="62">
        <f t="shared" si="20"/>
        <v>387.44295081962048</v>
      </c>
      <c r="EO33" s="62">
        <f ca="1">AVERAGE(OFFSET($EN$3,0,0,'Données projet'!$E$15+1,1))-AVERAGE(OFFSET($H$3,0,0,'Données projet'!$E$15+1,1))</f>
        <v>226.37420733783091</v>
      </c>
      <c r="EP33" s="62">
        <f t="shared" si="46"/>
        <v>204.10961748628714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6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9">
        <f t="shared" si="1"/>
        <v>183.33333333333334</v>
      </c>
      <c r="I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7.7333333333333334</v>
      </c>
      <c r="N34" s="14">
        <f>IF('Données projet'!$A$36&gt;35,N33+M34-V33,IF(A34&lt;'Données projet'!$A$36,$K$205^A34,IF(A34='Données projet'!$A$36,'Données projet'!$B$36,N33+M34-V33)))</f>
        <v>64.733333333333334</v>
      </c>
      <c r="O34" s="14">
        <f>N34*VLOOKUP('Données projet'!$B$9,Paramètres!$A$1:$I$89,3,0)*VLOOKUP('Données projet'!$B$9,Paramètres!$A$1:$I$89,5,0)</f>
        <v>37.869000000000007</v>
      </c>
      <c r="P34" s="14">
        <f t="shared" si="33"/>
        <v>11.432038100246546</v>
      </c>
      <c r="Q34" s="22">
        <f t="shared" si="2"/>
        <v>85.865974691262736</v>
      </c>
      <c r="R34" s="62">
        <f t="shared" si="0"/>
        <v>325.91409790408028</v>
      </c>
      <c r="S34" s="62">
        <f ca="1">AVERAGE(OFFSET($R$3,0,0,'Données projet'!$E$9+1,1))-AVERAGE(OFFSET($H$3,0,0,'Données projet'!$E$9+1,1))</f>
        <v>196.48726929442091</v>
      </c>
      <c r="T34" s="62">
        <f t="shared" si="34"/>
        <v>193.28400454669347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11.240552261849817</v>
      </c>
      <c r="AC34" s="24">
        <f t="shared" si="3"/>
        <v>11.240552261849817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5</v>
      </c>
      <c r="AI34" s="14">
        <f>IF('Données projet'!$A$62&gt;35,AI33+AH34-AQ33,IF(A34&lt;'Données projet'!$A$62,$AF$205^A34,IF(A34='Données projet'!$A$62,'Données projet'!$B$62,AI33+AH34-AQ33)))</f>
        <v>58.999999999999986</v>
      </c>
      <c r="AJ34" s="14">
        <f>AI34*VLOOKUP('Données projet'!$B$10,Paramètres!$A$1:$I$89,3,0)*VLOOKUP('Données projet'!$B$10,Paramètres!$A$1:$I$89,5,0)</f>
        <v>59.825999999999993</v>
      </c>
      <c r="AK34" s="14">
        <f t="shared" si="35"/>
        <v>17.124268920142534</v>
      </c>
      <c r="AL34" s="22">
        <f t="shared" si="4"/>
        <v>134.02171836924822</v>
      </c>
      <c r="AM34" s="62">
        <f t="shared" si="5"/>
        <v>374.06984158206581</v>
      </c>
      <c r="AN34" s="62">
        <f ca="1">AVERAGE(OFFSET($AM$3,0,0,'Données projet'!$E$10+1,1))-AVERAGE(OFFSET($H$3,0,0,'Données projet'!$E$10+1,1))</f>
        <v>414.29294334114661</v>
      </c>
      <c r="AO34" s="62">
        <f t="shared" si="36"/>
        <v>178.72086185623849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5</v>
      </c>
      <c r="BD34" s="13">
        <f>IF('Données projet'!$A$88&gt;35,BD33+BC34-BL33,IF(A34&lt;'Données projet'!$A$88,$BA$205^A34,IF(A34='Données projet'!$A$88,'Données projet'!$B$88,BD33+BC34-BL33)))</f>
        <v>58.999999999999986</v>
      </c>
      <c r="BE34" s="14">
        <f>BD34*VLOOKUP('Données projet'!$B$11,Paramètres!$A$1:$I$89,3,0)*VLOOKUP('Données projet'!$B$11,Paramètres!$A$1:$I$89,5,0)</f>
        <v>63.507599999999982</v>
      </c>
      <c r="BF34" s="14">
        <f t="shared" si="37"/>
        <v>18.052146695841799</v>
      </c>
      <c r="BG34" s="22">
        <f t="shared" si="7"/>
        <v>142.04989216192442</v>
      </c>
      <c r="BH34" s="62">
        <f t="shared" si="8"/>
        <v>382.09801537474198</v>
      </c>
      <c r="BI34" s="62">
        <f ca="1">AVERAGE(OFFSET($BH$3,0,0,'Données projet'!$E$11+1,1))-AVERAGE(OFFSET($H$3,0,0,'Données projet'!$E$11+1,1))</f>
        <v>434.74983403680108</v>
      </c>
      <c r="BJ34" s="62">
        <f t="shared" si="38"/>
        <v>186.0840067781198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5.2564102564102573</v>
      </c>
      <c r="BY34" s="13">
        <f>IF('Données projet'!$A$114&gt;35,BY33+BX34-CG33,IF(A34&lt;'Données projet'!$A$114,$BV$205^A34,IF(A34='Données projet'!$A$114,'Données projet'!$B$114,BY33+BX34-CG33)))</f>
        <v>74.487179487179489</v>
      </c>
      <c r="BZ34" s="14">
        <f>BY34*VLOOKUP('Données projet'!$B$12,Paramètres!$A$1:$I$89,3,0)*VLOOKUP('Données projet'!$B$12,Paramètres!$A$1:$I$89,5,0)</f>
        <v>63.910000000000011</v>
      </c>
      <c r="CA34" s="14">
        <f t="shared" si="39"/>
        <v>18.153178247934438</v>
      </c>
      <c r="CB34" s="22">
        <f t="shared" si="10"/>
        <v>142.92670211515249</v>
      </c>
      <c r="CC34" s="62">
        <f t="shared" si="11"/>
        <v>382.97482532797005</v>
      </c>
      <c r="CD34" s="62">
        <f ca="1">AVERAGE(OFFSET($CC$3,0,0,'Données projet'!$E$12+1,1))-AVERAGE(OFFSET($H$3,0,0,'Données projet'!$E$12+1,1))</f>
        <v>288.24759203983547</v>
      </c>
      <c r="CE34" s="62">
        <f t="shared" si="40"/>
        <v>188.86613033148794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5.2564102564102573</v>
      </c>
      <c r="CT34" s="13">
        <f>IF('Données projet'!$A$140&gt;35,CT33+CS34-DB33,IF(A34&lt;'Données projet'!$A$140,$CQ$205^A34,IF(A34='Données projet'!$A$140,'Données projet'!$B$140,CT33+CS34-DB33)))</f>
        <v>74.487179487179489</v>
      </c>
      <c r="CU34" s="18">
        <f>CT34*VLOOKUP('Données projet'!$B$13,Paramètres!$A$1:$I$89,3,0)*VLOOKUP('Données projet'!$B$13,Paramètres!$A$1:$I$89,5,0)</f>
        <v>49.965999999999994</v>
      </c>
      <c r="CV34" s="14">
        <f t="shared" si="41"/>
        <v>14.604978667596622</v>
      </c>
      <c r="CW34" s="22">
        <f t="shared" si="13"/>
        <v>112.46112117939744</v>
      </c>
      <c r="CX34" s="62">
        <f t="shared" si="14"/>
        <v>352.50924439221501</v>
      </c>
      <c r="CY34" s="62">
        <f ca="1">AVERAGE(OFFSET($CX$3,0,0,'Données projet'!$E$13+1,1))-AVERAGE(OFFSET($H$3,0,0,'Données projet'!$E$13+1,1))</f>
        <v>240.40157928925146</v>
      </c>
      <c r="CZ34" s="62">
        <f t="shared" si="42"/>
        <v>160.5013084380258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5</v>
      </c>
      <c r="DO34" s="13">
        <f>IF('Données projet'!$A$166&gt;35,DO33+DN34-DW33,IF(A34&lt;'Données projet'!$A$166,$DL$205^A34,IF(A34='Données projet'!$A$166,'Données projet'!$B$166,DO33+DN34-DW33)))</f>
        <v>58.999999999999986</v>
      </c>
      <c r="DP34" s="18">
        <f>DO34*VLOOKUP('Données projet'!$B$14,Paramètres!$A$1:$I$89,3,0)*VLOOKUP('Données projet'!$B$14,Paramètres!$A$1:$I$89,5,0)</f>
        <v>57.064799999999991</v>
      </c>
      <c r="DQ34" s="14">
        <f t="shared" si="43"/>
        <v>16.424005972947381</v>
      </c>
      <c r="DR34" s="22">
        <f t="shared" si="16"/>
        <v>127.99300373621668</v>
      </c>
      <c r="DS34" s="62">
        <f t="shared" si="17"/>
        <v>368.04112694903426</v>
      </c>
      <c r="DT34" s="62">
        <f ca="1">AVERAGE(OFFSET($DS$3,0,0,'Données projet'!$E$14+1,1))-AVERAGE(OFFSET($H$3,0,0,'Données projet'!$E$14+1,1))</f>
        <v>398.93296311353788</v>
      </c>
      <c r="DU34" s="62">
        <f t="shared" si="44"/>
        <v>173.19148969173838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6.6</v>
      </c>
      <c r="EJ34" s="13">
        <f>IF('Données projet'!$A$192&gt;35,EJ33+EI34-ER33,IF(A34&lt;'Données projet'!$A$192,$EG$205^A34,IF(A34='Données projet'!$A$192,'Données projet'!$B$192,EJ33+EI34-ER33)))</f>
        <v>82.600000000000009</v>
      </c>
      <c r="EK34" s="18">
        <f>EJ34*VLOOKUP('Données projet'!$B$15,Paramètres!$A$1:$I$89,3,0)*VLOOKUP('Données projet'!$B$15,Paramètres!$A$1:$I$89,5,0)</f>
        <v>72.159360000000021</v>
      </c>
      <c r="EL34" s="14">
        <f t="shared" si="45"/>
        <v>20.208750890014226</v>
      </c>
      <c r="EM34" s="22">
        <f t="shared" si="19"/>
        <v>160.87445980010816</v>
      </c>
      <c r="EN34" s="62">
        <f t="shared" si="20"/>
        <v>400.92258301292571</v>
      </c>
      <c r="EO34" s="62">
        <f ca="1">AVERAGE(OFFSET($EN$3,0,0,'Données projet'!$E$15+1,1))-AVERAGE(OFFSET($H$3,0,0,'Données projet'!$E$15+1,1))</f>
        <v>226.37420733783091</v>
      </c>
      <c r="EP34" s="62">
        <f t="shared" si="46"/>
        <v>204.10961748628714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6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9">
        <f t="shared" si="1"/>
        <v>183.33333333333334</v>
      </c>
      <c r="I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7.7333333333333334</v>
      </c>
      <c r="N35" s="14">
        <f>IF('Données projet'!$A$36&gt;35,N34+M35-V34,IF(A35&lt;'Données projet'!$A$36,$K$205^A35,IF(A35='Données projet'!$A$36,'Données projet'!$B$36,N34+M35-V34)))</f>
        <v>72.466666666666669</v>
      </c>
      <c r="O35" s="14">
        <f>N35*VLOOKUP('Données projet'!$B$9,Paramètres!$A$1:$I$89,3,0)*VLOOKUP('Données projet'!$B$9,Paramètres!$A$1:$I$89,5,0)</f>
        <v>42.393000000000001</v>
      </c>
      <c r="P35" s="14">
        <f t="shared" si="33"/>
        <v>12.630751091924642</v>
      </c>
      <c r="Q35" s="22">
        <f t="shared" ref="Q35:Q66" si="53">(O35+P35)*0.475*44/12</f>
        <v>95.833033151768745</v>
      </c>
      <c r="R35" s="62">
        <f t="shared" si="0"/>
        <v>336.8055356322941</v>
      </c>
      <c r="S35" s="62">
        <f ca="1">AVERAGE(OFFSET($R$3,0,0,'Données projet'!$E$9+1,1))-AVERAGE(OFFSET($H$3,0,0,'Données projet'!$E$9+1,1))</f>
        <v>196.48726929442091</v>
      </c>
      <c r="T35" s="62">
        <f t="shared" si="34"/>
        <v>193.28400454669347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7.9482707286357916</v>
      </c>
      <c r="AC35" s="24">
        <f t="shared" si="3"/>
        <v>7.9482707286357916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5</v>
      </c>
      <c r="AI35" s="14">
        <f>IF('Données projet'!$A$62&gt;35,AI34+AH35-AQ34,IF(A35&lt;'Données projet'!$A$62,$AF$205^A35,IF(A35='Données projet'!$A$62,'Données projet'!$B$62,AI34+AH35-AQ34)))</f>
        <v>63.999999999999986</v>
      </c>
      <c r="AJ35" s="14">
        <f>AI35*VLOOKUP('Données projet'!$B$10,Paramètres!$A$1:$I$89,3,0)*VLOOKUP('Données projet'!$B$10,Paramètres!$A$1:$I$89,5,0)</f>
        <v>64.895999999999987</v>
      </c>
      <c r="AK35" s="14">
        <f t="shared" si="35"/>
        <v>18.400423846102949</v>
      </c>
      <c r="AL35" s="22">
        <f t="shared" si="4"/>
        <v>145.07460486529592</v>
      </c>
      <c r="AM35" s="62">
        <f t="shared" si="5"/>
        <v>386.04710734582125</v>
      </c>
      <c r="AN35" s="62">
        <f ca="1">AVERAGE(OFFSET($AM$3,0,0,'Données projet'!$E$10+1,1))-AVERAGE(OFFSET($H$3,0,0,'Données projet'!$E$10+1,1))</f>
        <v>414.29294334114661</v>
      </c>
      <c r="AO35" s="62">
        <f t="shared" si="36"/>
        <v>178.72086185623849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5</v>
      </c>
      <c r="BD35" s="13">
        <f>IF('Données projet'!$A$88&gt;35,BD34+BC35-BL34,IF(A35&lt;'Données projet'!$A$88,$BA$205^A35,IF(A35='Données projet'!$A$88,'Données projet'!$B$88,BD34+BC35-BL34)))</f>
        <v>63.999999999999986</v>
      </c>
      <c r="BE35" s="14">
        <f>BD35*VLOOKUP('Données projet'!$B$11,Paramètres!$A$1:$I$89,3,0)*VLOOKUP('Données projet'!$B$11,Paramètres!$A$1:$I$89,5,0)</f>
        <v>68.889599999999987</v>
      </c>
      <c r="BF35" s="14">
        <f t="shared" si="37"/>
        <v>19.397450021635805</v>
      </c>
      <c r="BG35" s="22">
        <f t="shared" si="7"/>
        <v>153.76661212101567</v>
      </c>
      <c r="BH35" s="62">
        <f t="shared" si="8"/>
        <v>394.73911460154102</v>
      </c>
      <c r="BI35" s="62">
        <f ca="1">AVERAGE(OFFSET($BH$3,0,0,'Données projet'!$E$11+1,1))-AVERAGE(OFFSET($H$3,0,0,'Données projet'!$E$11+1,1))</f>
        <v>434.74983403680108</v>
      </c>
      <c r="BJ35" s="62">
        <f t="shared" si="38"/>
        <v>186.0840067781198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5.2564102564102573</v>
      </c>
      <c r="BY35" s="13">
        <f>IF('Données projet'!$A$114&gt;35,BY34+BX35-CG34,IF(A35&lt;'Données projet'!$A$114,$BV$205^A35,IF(A35='Données projet'!$A$114,'Données projet'!$B$114,BY34+BX35-CG34)))</f>
        <v>79.743589743589752</v>
      </c>
      <c r="BZ35" s="14">
        <f>BY35*VLOOKUP('Données projet'!$B$12,Paramètres!$A$1:$I$89,3,0)*VLOOKUP('Données projet'!$B$12,Paramètres!$A$1:$I$89,5,0)</f>
        <v>68.420000000000016</v>
      </c>
      <c r="CA35" s="14">
        <f t="shared" si="39"/>
        <v>19.280568064021978</v>
      </c>
      <c r="CB35" s="22">
        <f t="shared" si="10"/>
        <v>152.7451560448383</v>
      </c>
      <c r="CC35" s="62">
        <f t="shared" si="11"/>
        <v>393.71765852536362</v>
      </c>
      <c r="CD35" s="62">
        <f ca="1">AVERAGE(OFFSET($CC$3,0,0,'Données projet'!$E$12+1,1))-AVERAGE(OFFSET($H$3,0,0,'Données projet'!$E$12+1,1))</f>
        <v>288.24759203983547</v>
      </c>
      <c r="CE35" s="62">
        <f t="shared" si="40"/>
        <v>188.86613033148794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5.2564102564102573</v>
      </c>
      <c r="CT35" s="13">
        <f>IF('Données projet'!$A$140&gt;35,CT34+CS35-DB34,IF(A35&lt;'Données projet'!$A$140,$CQ$205^A35,IF(A35='Données projet'!$A$140,'Données projet'!$B$140,CT34+CS35-DB34)))</f>
        <v>79.743589743589752</v>
      </c>
      <c r="CU35" s="18">
        <f>CT35*VLOOKUP('Données projet'!$B$13,Paramètres!$A$1:$I$89,3,0)*VLOOKUP('Données projet'!$B$13,Paramètres!$A$1:$I$89,5,0)</f>
        <v>53.492000000000012</v>
      </c>
      <c r="CV35" s="14">
        <f t="shared" si="41"/>
        <v>15.512010152063965</v>
      </c>
      <c r="CW35" s="22">
        <f t="shared" si="13"/>
        <v>120.1819843481781</v>
      </c>
      <c r="CX35" s="62">
        <f t="shared" si="14"/>
        <v>361.1544868287034</v>
      </c>
      <c r="CY35" s="62">
        <f ca="1">AVERAGE(OFFSET($CX$3,0,0,'Données projet'!$E$13+1,1))-AVERAGE(OFFSET($H$3,0,0,'Données projet'!$E$13+1,1))</f>
        <v>240.40157928925146</v>
      </c>
      <c r="CZ35" s="62">
        <f t="shared" si="42"/>
        <v>160.5013084380258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5</v>
      </c>
      <c r="DO35" s="13">
        <f>IF('Données projet'!$A$166&gt;35,DO34+DN35-DW34,IF(A35&lt;'Données projet'!$A$166,$DL$205^A35,IF(A35='Données projet'!$A$166,'Données projet'!$B$166,DO34+DN35-DW34)))</f>
        <v>63.999999999999986</v>
      </c>
      <c r="DP35" s="18">
        <f>DO35*VLOOKUP('Données projet'!$B$14,Paramètres!$A$1:$I$89,3,0)*VLOOKUP('Données projet'!$B$14,Paramètres!$A$1:$I$89,5,0)</f>
        <v>61.90079999999999</v>
      </c>
      <c r="DQ35" s="14">
        <f t="shared" si="43"/>
        <v>17.647975079256284</v>
      </c>
      <c r="DR35" s="22">
        <f t="shared" si="16"/>
        <v>138.54744992970467</v>
      </c>
      <c r="DS35" s="62">
        <f t="shared" si="17"/>
        <v>379.51995241022996</v>
      </c>
      <c r="DT35" s="62">
        <f ca="1">AVERAGE(OFFSET($DS$3,0,0,'Données projet'!$E$14+1,1))-AVERAGE(OFFSET($H$3,0,0,'Données projet'!$E$14+1,1))</f>
        <v>398.93296311353788</v>
      </c>
      <c r="DU35" s="62">
        <f t="shared" si="44"/>
        <v>173.19148969173838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6.6</v>
      </c>
      <c r="EJ35" s="13">
        <f>IF('Données projet'!$A$192&gt;35,EJ34+EI35-ER34,IF(A35&lt;'Données projet'!$A$192,$EG$205^A35,IF(A35='Données projet'!$A$192,'Données projet'!$B$192,EJ34+EI35-ER34)))</f>
        <v>89.2</v>
      </c>
      <c r="EK35" s="18">
        <f>EJ35*VLOOKUP('Données projet'!$B$15,Paramètres!$A$1:$I$89,3,0)*VLOOKUP('Données projet'!$B$15,Paramètres!$A$1:$I$89,5,0)</f>
        <v>77.925120000000007</v>
      </c>
      <c r="EL35" s="14">
        <f t="shared" si="45"/>
        <v>21.629091902424182</v>
      </c>
      <c r="EM35" s="22">
        <f t="shared" si="19"/>
        <v>173.3902523967221</v>
      </c>
      <c r="EN35" s="62">
        <f t="shared" si="20"/>
        <v>414.36275487724743</v>
      </c>
      <c r="EO35" s="62">
        <f ca="1">AVERAGE(OFFSET($EN$3,0,0,'Données projet'!$E$15+1,1))-AVERAGE(OFFSET($H$3,0,0,'Données projet'!$E$15+1,1))</f>
        <v>226.37420733783091</v>
      </c>
      <c r="EP35" s="62">
        <f t="shared" si="46"/>
        <v>204.10961748628714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6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9">
        <f t="shared" si="1"/>
        <v>183.33333333333334</v>
      </c>
      <c r="I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7.7333333333333334</v>
      </c>
      <c r="N36" s="14">
        <f>IF('Données projet'!$A$36&gt;35,N35+M36-V35,IF(A36&lt;'Données projet'!$A$36,$K$205^A36,IF(A36='Données projet'!$A$36,'Données projet'!$B$36,N35+M36-V35)))</f>
        <v>80.2</v>
      </c>
      <c r="O36" s="14">
        <f>N36*VLOOKUP('Données projet'!$B$9,Paramètres!$A$1:$I$89,3,0)*VLOOKUP('Données projet'!$B$9,Paramètres!$A$1:$I$89,5,0)</f>
        <v>46.917000000000009</v>
      </c>
      <c r="P36" s="14">
        <f t="shared" si="33"/>
        <v>13.814636436415153</v>
      </c>
      <c r="Q36" s="22">
        <f t="shared" si="53"/>
        <v>105.77426679342307</v>
      </c>
      <c r="R36" s="62">
        <f t="shared" si="0"/>
        <v>347.65511262796383</v>
      </c>
      <c r="S36" s="62">
        <f ca="1">AVERAGE(OFFSET($R$3,0,0,'Données projet'!$E$9+1,1))-AVERAGE(OFFSET($H$3,0,0,'Données projet'!$E$9+1,1))</f>
        <v>196.48726929442091</v>
      </c>
      <c r="T36" s="62">
        <f t="shared" si="34"/>
        <v>193.28400454669347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5.6202761309249096</v>
      </c>
      <c r="AC36" s="24">
        <f t="shared" si="3"/>
        <v>5.6202761309249096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5</v>
      </c>
      <c r="AI36" s="14">
        <f>IF('Données projet'!$A$62&gt;35,AI35+AH36-AQ35,IF(A36&lt;'Données projet'!$A$62,$AF$205^A36,IF(A36='Données projet'!$A$62,'Données projet'!$B$62,AI35+AH36-AQ35)))</f>
        <v>68.999999999999986</v>
      </c>
      <c r="AJ36" s="14">
        <f>AI36*VLOOKUP('Données projet'!$B$10,Paramètres!$A$1:$I$89,3,0)*VLOOKUP('Données projet'!$B$10,Paramètres!$A$1:$I$89,5,0)</f>
        <v>69.965999999999994</v>
      </c>
      <c r="AK36" s="14">
        <f t="shared" si="35"/>
        <v>19.665013934342461</v>
      </c>
      <c r="AL36" s="22">
        <f t="shared" si="4"/>
        <v>156.10734926897979</v>
      </c>
      <c r="AM36" s="62">
        <f t="shared" si="5"/>
        <v>397.98819510352052</v>
      </c>
      <c r="AN36" s="62">
        <f ca="1">AVERAGE(OFFSET($AM$3,0,0,'Données projet'!$E$10+1,1))-AVERAGE(OFFSET($H$3,0,0,'Données projet'!$E$10+1,1))</f>
        <v>414.29294334114661</v>
      </c>
      <c r="AO36" s="62">
        <f t="shared" si="36"/>
        <v>178.72086185623849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5</v>
      </c>
      <c r="BD36" s="13">
        <f>IF('Données projet'!$A$88&gt;35,BD35+BC36-BL35,IF(A36&lt;'Données projet'!$A$88,$BA$205^A36,IF(A36='Données projet'!$A$88,'Données projet'!$B$88,BD35+BC36-BL35)))</f>
        <v>68.999999999999986</v>
      </c>
      <c r="BE36" s="14">
        <f>BD36*VLOOKUP('Données projet'!$B$11,Paramètres!$A$1:$I$89,3,0)*VLOOKUP('Données projet'!$B$11,Paramètres!$A$1:$I$89,5,0)</f>
        <v>74.271599999999978</v>
      </c>
      <c r="BF36" s="14">
        <f t="shared" si="37"/>
        <v>20.730561869473863</v>
      </c>
      <c r="BG36" s="22">
        <f t="shared" si="7"/>
        <v>165.46209858933358</v>
      </c>
      <c r="BH36" s="62">
        <f t="shared" si="8"/>
        <v>407.34294442387431</v>
      </c>
      <c r="BI36" s="62">
        <f ca="1">AVERAGE(OFFSET($BH$3,0,0,'Données projet'!$E$11+1,1))-AVERAGE(OFFSET($H$3,0,0,'Données projet'!$E$11+1,1))</f>
        <v>434.74983403680108</v>
      </c>
      <c r="BJ36" s="62">
        <f t="shared" si="38"/>
        <v>186.0840067781198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5.2564102564102573</v>
      </c>
      <c r="BY36" s="13">
        <f>IF('Données projet'!$A$114&gt;35,BY35+BX36-CG35,IF(A36&lt;'Données projet'!$A$114,$BV$205^A36,IF(A36='Données projet'!$A$114,'Données projet'!$B$114,BY35+BX36-CG35)))</f>
        <v>85.000000000000014</v>
      </c>
      <c r="BZ36" s="14">
        <f>BY36*VLOOKUP('Données projet'!$B$12,Paramètres!$A$1:$I$89,3,0)*VLOOKUP('Données projet'!$B$12,Paramètres!$A$1:$I$89,5,0)</f>
        <v>72.930000000000021</v>
      </c>
      <c r="CA36" s="14">
        <f t="shared" si="39"/>
        <v>20.39933430140773</v>
      </c>
      <c r="CB36" s="22">
        <f t="shared" si="10"/>
        <v>162.54859057495185</v>
      </c>
      <c r="CC36" s="62">
        <f t="shared" si="11"/>
        <v>404.42943640949261</v>
      </c>
      <c r="CD36" s="62">
        <f ca="1">AVERAGE(OFFSET($CC$3,0,0,'Données projet'!$E$12+1,1))-AVERAGE(OFFSET($H$3,0,0,'Données projet'!$E$12+1,1))</f>
        <v>288.24759203983547</v>
      </c>
      <c r="CE36" s="62">
        <f t="shared" si="40"/>
        <v>188.86613033148794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5.2564102564102573</v>
      </c>
      <c r="CT36" s="13">
        <f>IF('Données projet'!$A$140&gt;35,CT35+CS36-DB35,IF(A36&lt;'Données projet'!$A$140,$CQ$205^A36,IF(A36='Données projet'!$A$140,'Données projet'!$B$140,CT35+CS36-DB35)))</f>
        <v>85.000000000000014</v>
      </c>
      <c r="CU36" s="18">
        <f>CT36*VLOOKUP('Données projet'!$B$13,Paramètres!$A$1:$I$89,3,0)*VLOOKUP('Données projet'!$B$13,Paramètres!$A$1:$I$89,5,0)</f>
        <v>57.018000000000008</v>
      </c>
      <c r="CV36" s="14">
        <f t="shared" si="41"/>
        <v>16.412103612717626</v>
      </c>
      <c r="CW36" s="22">
        <f t="shared" si="13"/>
        <v>127.89076379214985</v>
      </c>
      <c r="CX36" s="62">
        <f t="shared" si="14"/>
        <v>369.77160962669058</v>
      </c>
      <c r="CY36" s="62">
        <f ca="1">AVERAGE(OFFSET($CX$3,0,0,'Données projet'!$E$13+1,1))-AVERAGE(OFFSET($H$3,0,0,'Données projet'!$E$13+1,1))</f>
        <v>240.40157928925146</v>
      </c>
      <c r="CZ36" s="62">
        <f t="shared" si="42"/>
        <v>160.5013084380258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5</v>
      </c>
      <c r="DO36" s="13">
        <f>IF('Données projet'!$A$166&gt;35,DO35+DN36-DW35,IF(A36&lt;'Données projet'!$A$166,$DL$205^A36,IF(A36='Données projet'!$A$166,'Données projet'!$B$166,DO35+DN36-DW35)))</f>
        <v>68.999999999999986</v>
      </c>
      <c r="DP36" s="18">
        <f>DO36*VLOOKUP('Données projet'!$B$14,Paramètres!$A$1:$I$89,3,0)*VLOOKUP('Données projet'!$B$14,Paramètres!$A$1:$I$89,5,0)</f>
        <v>66.736799999999988</v>
      </c>
      <c r="DQ36" s="14">
        <f t="shared" si="43"/>
        <v>18.860852268900583</v>
      </c>
      <c r="DR36" s="22">
        <f t="shared" si="16"/>
        <v>149.0825777016685</v>
      </c>
      <c r="DS36" s="62">
        <f t="shared" si="17"/>
        <v>390.96342353620923</v>
      </c>
      <c r="DT36" s="62">
        <f ca="1">AVERAGE(OFFSET($DS$3,0,0,'Données projet'!$E$14+1,1))-AVERAGE(OFFSET($H$3,0,0,'Données projet'!$E$14+1,1))</f>
        <v>398.93296311353788</v>
      </c>
      <c r="DU36" s="62">
        <f t="shared" si="44"/>
        <v>173.19148969173838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6.6</v>
      </c>
      <c r="EJ36" s="13">
        <f>IF('Données projet'!$A$192&gt;35,EJ35+EI36-ER35,IF(A36&lt;'Données projet'!$A$192,$EG$205^A36,IF(A36='Données projet'!$A$192,'Données projet'!$B$192,EJ35+EI36-ER35)))</f>
        <v>95.8</v>
      </c>
      <c r="EK36" s="18">
        <f>EJ36*VLOOKUP('Données projet'!$B$15,Paramètres!$A$1:$I$89,3,0)*VLOOKUP('Données projet'!$B$15,Paramètres!$A$1:$I$89,5,0)</f>
        <v>83.690880000000007</v>
      </c>
      <c r="EL36" s="14">
        <f t="shared" si="45"/>
        <v>23.037240938104041</v>
      </c>
      <c r="EM36" s="22">
        <f t="shared" si="19"/>
        <v>185.88481063386453</v>
      </c>
      <c r="EN36" s="62">
        <f t="shared" si="20"/>
        <v>427.76565646840527</v>
      </c>
      <c r="EO36" s="62">
        <f ca="1">AVERAGE(OFFSET($EN$3,0,0,'Données projet'!$E$15+1,1))-AVERAGE(OFFSET($H$3,0,0,'Données projet'!$E$15+1,1))</f>
        <v>226.37420733783091</v>
      </c>
      <c r="EP36" s="62">
        <f t="shared" si="46"/>
        <v>204.10961748628714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6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9">
        <f t="shared" si="1"/>
        <v>183.33333333333334</v>
      </c>
      <c r="I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7.7333333333333334</v>
      </c>
      <c r="N37" s="14">
        <f>IF('Données projet'!$A$36&gt;35,N36+M37-V36,IF(A37&lt;'Données projet'!$A$36,$K$205^A37,IF(A37='Données projet'!$A$36,'Données projet'!$B$36,N36+M37-V36)))</f>
        <v>87.933333333333337</v>
      </c>
      <c r="O37" s="14">
        <f>N37*VLOOKUP('Données projet'!$B$9,Paramètres!$A$1:$I$89,3,0)*VLOOKUP('Données projet'!$B$9,Paramètres!$A$1:$I$89,5,0)</f>
        <v>51.441000000000003</v>
      </c>
      <c r="P37" s="14">
        <f t="shared" si="33"/>
        <v>14.985286584630614</v>
      </c>
      <c r="Q37" s="22">
        <f t="shared" si="53"/>
        <v>115.69244913489831</v>
      </c>
      <c r="R37" s="62">
        <f t="shared" si="0"/>
        <v>358.46588059701389</v>
      </c>
      <c r="S37" s="62">
        <f ca="1">AVERAGE(OFFSET($R$3,0,0,'Données projet'!$E$9+1,1))-AVERAGE(OFFSET($H$3,0,0,'Données projet'!$E$9+1,1))</f>
        <v>196.48726929442091</v>
      </c>
      <c r="T37" s="62">
        <f t="shared" si="34"/>
        <v>193.28400454669347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3.9741353643178963</v>
      </c>
      <c r="AC37" s="24">
        <f t="shared" si="3"/>
        <v>3.9741353643178963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5</v>
      </c>
      <c r="AI37" s="14">
        <f>IF('Données projet'!$A$62&gt;35,AI36+AH37-AQ36,IF(A37&lt;'Données projet'!$A$62,$AF$205^A37,IF(A37='Données projet'!$A$62,'Données projet'!$B$62,AI36+AH37-AQ36)))</f>
        <v>73.999999999999986</v>
      </c>
      <c r="AJ37" s="14">
        <f>AI37*VLOOKUP('Données projet'!$B$10,Paramètres!$A$1:$I$89,3,0)*VLOOKUP('Données projet'!$B$10,Paramètres!$A$1:$I$89,5,0)</f>
        <v>75.035999999999987</v>
      </c>
      <c r="AK37" s="14">
        <f t="shared" si="35"/>
        <v>20.918972521981534</v>
      </c>
      <c r="AL37" s="22">
        <f t="shared" si="4"/>
        <v>167.12157714245114</v>
      </c>
      <c r="AM37" s="62">
        <f t="shared" si="5"/>
        <v>409.89500860456673</v>
      </c>
      <c r="AN37" s="62">
        <f ca="1">AVERAGE(OFFSET($AM$3,0,0,'Données projet'!$E$10+1,1))-AVERAGE(OFFSET($H$3,0,0,'Données projet'!$E$10+1,1))</f>
        <v>414.29294334114661</v>
      </c>
      <c r="AO37" s="62">
        <f t="shared" si="36"/>
        <v>178.72086185623849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5</v>
      </c>
      <c r="BD37" s="13">
        <f>IF('Données projet'!$A$88&gt;35,BD36+BC37-BL36,IF(A37&lt;'Données projet'!$A$88,$BA$205^A37,IF(A37='Données projet'!$A$88,'Données projet'!$B$88,BD36+BC37-BL36)))</f>
        <v>73.999999999999986</v>
      </c>
      <c r="BE37" s="14">
        <f>BD37*VLOOKUP('Données projet'!$B$11,Paramètres!$A$1:$I$89,3,0)*VLOOKUP('Données projet'!$B$11,Paramètres!$A$1:$I$89,5,0)</f>
        <v>79.653599999999983</v>
      </c>
      <c r="BF37" s="14">
        <f t="shared" si="37"/>
        <v>22.052466149308238</v>
      </c>
      <c r="BG37" s="22">
        <f t="shared" si="7"/>
        <v>177.13806521004514</v>
      </c>
      <c r="BH37" s="62">
        <f t="shared" si="8"/>
        <v>419.91149667216075</v>
      </c>
      <c r="BI37" s="62">
        <f ca="1">AVERAGE(OFFSET($BH$3,0,0,'Données projet'!$E$11+1,1))-AVERAGE(OFFSET($H$3,0,0,'Données projet'!$E$11+1,1))</f>
        <v>434.74983403680108</v>
      </c>
      <c r="BJ37" s="62">
        <f t="shared" si="38"/>
        <v>186.0840067781198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5.2564102564102573</v>
      </c>
      <c r="BY37" s="13">
        <f>IF('Données projet'!$A$114&gt;35,BY36+BX37-CG36,IF(A37&lt;'Données projet'!$A$114,$BV$205^A37,IF(A37='Données projet'!$A$114,'Données projet'!$B$114,BY36+BX37-CG36)))</f>
        <v>90.256410256410277</v>
      </c>
      <c r="BZ37" s="14">
        <f>BY37*VLOOKUP('Données projet'!$B$12,Paramètres!$A$1:$I$89,3,0)*VLOOKUP('Données projet'!$B$12,Paramètres!$A$1:$I$89,5,0)</f>
        <v>77.440000000000026</v>
      </c>
      <c r="CA37" s="14">
        <f t="shared" si="39"/>
        <v>21.510070960040487</v>
      </c>
      <c r="CB37" s="22">
        <f t="shared" si="10"/>
        <v>172.33804025540385</v>
      </c>
      <c r="CC37" s="62">
        <f t="shared" si="11"/>
        <v>415.11147171751941</v>
      </c>
      <c r="CD37" s="62">
        <f ca="1">AVERAGE(OFFSET($CC$3,0,0,'Données projet'!$E$12+1,1))-AVERAGE(OFFSET($H$3,0,0,'Données projet'!$E$12+1,1))</f>
        <v>288.24759203983547</v>
      </c>
      <c r="CE37" s="62">
        <f t="shared" si="40"/>
        <v>188.86613033148794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5.2564102564102573</v>
      </c>
      <c r="CT37" s="13">
        <f>IF('Données projet'!$A$140&gt;35,CT36+CS37-DB36,IF(A37&lt;'Données projet'!$A$140,$CQ$205^A37,IF(A37='Données projet'!$A$140,'Données projet'!$B$140,CT36+CS37-DB36)))</f>
        <v>90.256410256410277</v>
      </c>
      <c r="CU37" s="18">
        <f>CT37*VLOOKUP('Données projet'!$B$13,Paramètres!$A$1:$I$89,3,0)*VLOOKUP('Données projet'!$B$13,Paramètres!$A$1:$I$89,5,0)</f>
        <v>60.544000000000018</v>
      </c>
      <c r="CV37" s="14">
        <f t="shared" si="41"/>
        <v>17.305736946951818</v>
      </c>
      <c r="CW37" s="22">
        <f t="shared" si="13"/>
        <v>135.58829184927444</v>
      </c>
      <c r="CX37" s="62">
        <f t="shared" si="14"/>
        <v>378.36172331139005</v>
      </c>
      <c r="CY37" s="62">
        <f ca="1">AVERAGE(OFFSET($CX$3,0,0,'Données projet'!$E$13+1,1))-AVERAGE(OFFSET($H$3,0,0,'Données projet'!$E$13+1,1))</f>
        <v>240.40157928925146</v>
      </c>
      <c r="CZ37" s="62">
        <f t="shared" si="42"/>
        <v>160.5013084380258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5</v>
      </c>
      <c r="DO37" s="13">
        <f>IF('Données projet'!$A$166&gt;35,DO36+DN37-DW36,IF(A37&lt;'Données projet'!$A$166,$DL$205^A37,IF(A37='Données projet'!$A$166,'Données projet'!$B$166,DO36+DN37-DW36)))</f>
        <v>73.999999999999986</v>
      </c>
      <c r="DP37" s="18">
        <f>DO37*VLOOKUP('Données projet'!$B$14,Paramètres!$A$1:$I$89,3,0)*VLOOKUP('Données projet'!$B$14,Paramètres!$A$1:$I$89,5,0)</f>
        <v>71.572799999999987</v>
      </c>
      <c r="DQ37" s="14">
        <f t="shared" si="43"/>
        <v>20.063532712034</v>
      </c>
      <c r="DR37" s="22">
        <f t="shared" si="16"/>
        <v>159.59994614012587</v>
      </c>
      <c r="DS37" s="62">
        <f t="shared" si="17"/>
        <v>402.37337760224148</v>
      </c>
      <c r="DT37" s="62">
        <f ca="1">AVERAGE(OFFSET($DS$3,0,0,'Données projet'!$E$14+1,1))-AVERAGE(OFFSET($H$3,0,0,'Données projet'!$E$14+1,1))</f>
        <v>398.93296311353788</v>
      </c>
      <c r="DU37" s="62">
        <f t="shared" si="44"/>
        <v>173.19148969173838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6.6</v>
      </c>
      <c r="EJ37" s="13">
        <f>IF('Données projet'!$A$192&gt;35,EJ36+EI37-ER36,IF(A37&lt;'Données projet'!$A$192,$EG$205^A37,IF(A37='Données projet'!$A$192,'Données projet'!$B$192,EJ36+EI37-ER36)))</f>
        <v>102.39999999999999</v>
      </c>
      <c r="EK37" s="18">
        <f>EJ37*VLOOKUP('Données projet'!$B$15,Paramètres!$A$1:$I$89,3,0)*VLOOKUP('Données projet'!$B$15,Paramètres!$A$1:$I$89,5,0)</f>
        <v>89.456640000000007</v>
      </c>
      <c r="EL37" s="14">
        <f t="shared" si="45"/>
        <v>24.434133496437113</v>
      </c>
      <c r="EM37" s="22">
        <f t="shared" si="19"/>
        <v>198.35976383962796</v>
      </c>
      <c r="EN37" s="62">
        <f t="shared" si="20"/>
        <v>441.13319530174351</v>
      </c>
      <c r="EO37" s="62">
        <f ca="1">AVERAGE(OFFSET($EN$3,0,0,'Données projet'!$E$15+1,1))-AVERAGE(OFFSET($H$3,0,0,'Données projet'!$E$15+1,1))</f>
        <v>226.37420733783091</v>
      </c>
      <c r="EP37" s="62">
        <f t="shared" si="46"/>
        <v>204.10961748628714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6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9">
        <f t="shared" si="1"/>
        <v>183.33333333333334</v>
      </c>
      <c r="I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7.7333333333333334</v>
      </c>
      <c r="N38" s="14">
        <f>IF('Données projet'!$A$36&gt;35,N37+M38-V37,IF(A38&lt;'Données projet'!$A$36,$K$205^A38,IF(A38='Données projet'!$A$36,'Données projet'!$B$36,N37+M38-V37)))</f>
        <v>95.666666666666671</v>
      </c>
      <c r="O38" s="14">
        <f>N38*VLOOKUP('Données projet'!$B$9,Paramètres!$A$1:$I$89,3,0)*VLOOKUP('Données projet'!$B$9,Paramètres!$A$1:$I$89,5,0)</f>
        <v>55.965000000000011</v>
      </c>
      <c r="P38" s="14">
        <f t="shared" si="33"/>
        <v>16.143997863701088</v>
      </c>
      <c r="Q38" s="22">
        <f t="shared" si="53"/>
        <v>125.58983794594606</v>
      </c>
      <c r="R38" s="62">
        <f t="shared" si="0"/>
        <v>369.24037067052058</v>
      </c>
      <c r="S38" s="62">
        <f ca="1">AVERAGE(OFFSET($R$3,0,0,'Données projet'!$E$9+1,1))-AVERAGE(OFFSET($H$3,0,0,'Données projet'!$E$9+1,1))</f>
        <v>196.48726929442091</v>
      </c>
      <c r="T38" s="62">
        <f t="shared" si="34"/>
        <v>193.28400454669347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2.8101380654624553</v>
      </c>
      <c r="AC38" s="24">
        <f t="shared" si="3"/>
        <v>2.8101380654624553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79</v>
      </c>
      <c r="AG38" s="13">
        <f>VLOOKUP(A38,'Données projet'!$A$61:$I$81,9,0)</f>
        <v>5</v>
      </c>
      <c r="AH38" s="13">
        <f t="array" ref="AH38">INDEX(AG:AG,MIN(IF(ISNUMBER(AG38:AG234),ROW(AG38:AG234),"")))</f>
        <v>5</v>
      </c>
      <c r="AI38" s="14">
        <f>IF('Données projet'!$A$62&gt;35,AI37+AH38-AQ37,IF(A38&lt;'Données projet'!$A$62,$AF$205^A38,IF(A38='Données projet'!$A$62,'Données projet'!$B$62,AI37+AH38-AQ37)))</f>
        <v>78.999999999999986</v>
      </c>
      <c r="AJ38" s="14">
        <f>AI38*VLOOKUP('Données projet'!$B$10,Paramètres!$A$1:$I$89,3,0)*VLOOKUP('Données projet'!$B$10,Paramètres!$A$1:$I$89,5,0)</f>
        <v>80.105999999999995</v>
      </c>
      <c r="AK38" s="14">
        <f t="shared" si="35"/>
        <v>22.163099682076496</v>
      </c>
      <c r="AL38" s="22">
        <f t="shared" si="4"/>
        <v>178.11868194628323</v>
      </c>
      <c r="AM38" s="62">
        <f t="shared" si="5"/>
        <v>421.76921467085776</v>
      </c>
      <c r="AN38" s="62">
        <f ca="1">AVERAGE(OFFSET($AM$3,0,0,'Données projet'!$E$10+1,1))-AVERAGE(OFFSET($H$3,0,0,'Données projet'!$E$10+1,1))</f>
        <v>414.29294334114661</v>
      </c>
      <c r="AO38" s="62">
        <f t="shared" si="36"/>
        <v>178.72086185623849</v>
      </c>
      <c r="AP38" s="16">
        <f>IF(ISNA(VLOOKUP(A38,'Données projet'!$A$61:$I$81,3,0)),0,VLOOKUP(A38,'Données projet'!$A$61:$I$81,3,0))</f>
        <v>1</v>
      </c>
      <c r="AQ38" s="16">
        <f>IF(ISNA(VLOOKUP(A38,'Données projet'!$A$61:$I$81,4,0)),0,VLOOKUP(A38,'Données projet'!$A$61:$I$81,4,0))</f>
        <v>13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79</v>
      </c>
      <c r="BB38" s="13">
        <f>VLOOKUP(A38,'Données projet'!$A$87:$I$107,9,0)</f>
        <v>5</v>
      </c>
      <c r="BC38" s="13">
        <f t="array" ref="BC38">INDEX(BB:BB,MIN(IF(ISNUMBER(BB38:BB234),ROW(BB38:BB234),"")))</f>
        <v>5</v>
      </c>
      <c r="BD38" s="13">
        <f>IF('Données projet'!$A$88&gt;35,BD37+BC38-BL37,IF(A38&lt;'Données projet'!$A$88,$BA$205^A38,IF(A38='Données projet'!$A$88,'Données projet'!$B$88,BD37+BC38-BL37)))</f>
        <v>78.999999999999986</v>
      </c>
      <c r="BE38" s="14">
        <f>BD38*VLOOKUP('Données projet'!$B$11,Paramètres!$A$1:$I$89,3,0)*VLOOKUP('Données projet'!$B$11,Paramètres!$A$1:$I$89,5,0)</f>
        <v>85.035599999999974</v>
      </c>
      <c r="BF38" s="14">
        <f t="shared" si="37"/>
        <v>23.364006286119412</v>
      </c>
      <c r="BG38" s="22">
        <f t="shared" si="7"/>
        <v>188.79598094832463</v>
      </c>
      <c r="BH38" s="62">
        <f t="shared" si="8"/>
        <v>432.44651367289913</v>
      </c>
      <c r="BI38" s="62">
        <f ca="1">AVERAGE(OFFSET($BH$3,0,0,'Données projet'!$E$11+1,1))-AVERAGE(OFFSET($H$3,0,0,'Données projet'!$E$11+1,1))</f>
        <v>434.74983403680108</v>
      </c>
      <c r="BJ38" s="62">
        <f t="shared" si="38"/>
        <v>186.0840067781198</v>
      </c>
      <c r="BK38" s="16">
        <f>IF(ISNA(VLOOKUP(A38,'Données projet'!$A$87:$I$107,3,0)),0,VLOOKUP(A38,'Données projet'!$A$87:$I$107,3,0))</f>
        <v>1</v>
      </c>
      <c r="BL38" s="16">
        <f>IF(ISNA(VLOOKUP(A38,'Données projet'!$A$87:$I$107,4,0)),0,VLOOKUP(A38,'Données projet'!$A$87:$I$107,4,0))</f>
        <v>13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95.512820512820511</v>
      </c>
      <c r="BW38" s="13">
        <f>VLOOKUP(A38,'Données projet'!$A$113:$I$133,9,0)</f>
        <v>5.2564102564102573</v>
      </c>
      <c r="BX38" s="13">
        <f t="array" ref="BX38">INDEX(BW:BW,MIN(IF(ISNUMBER(BW38:BW234),ROW(BW38:BW234),"")))</f>
        <v>5.2564102564102573</v>
      </c>
      <c r="BY38" s="13">
        <f>IF('Données projet'!$A$114&gt;35,BY37+BX38-CG37,IF(A38&lt;'Données projet'!$A$114,$BV$205^A38,IF(A38='Données projet'!$A$114,'Données projet'!$B$114,BY37+BX38-CG37)))</f>
        <v>95.512820512820539</v>
      </c>
      <c r="BZ38" s="14">
        <f>BY38*VLOOKUP('Données projet'!$B$12,Paramètres!$A$1:$I$89,3,0)*VLOOKUP('Données projet'!$B$12,Paramètres!$A$1:$I$89,5,0)</f>
        <v>81.950000000000031</v>
      </c>
      <c r="CA38" s="14">
        <f t="shared" si="39"/>
        <v>22.61329894413743</v>
      </c>
      <c r="CB38" s="22">
        <f t="shared" si="10"/>
        <v>182.11441232770608</v>
      </c>
      <c r="CC38" s="62">
        <f t="shared" si="11"/>
        <v>425.76494505228061</v>
      </c>
      <c r="CD38" s="62">
        <f ca="1">AVERAGE(OFFSET($CC$3,0,0,'Données projet'!$E$12+1,1))-AVERAGE(OFFSET($H$3,0,0,'Données projet'!$E$12+1,1))</f>
        <v>288.24759203983547</v>
      </c>
      <c r="CE38" s="62">
        <f t="shared" si="40"/>
        <v>188.86613033148794</v>
      </c>
      <c r="CF38" s="16">
        <f>IF(ISNA(VLOOKUP(A38,'Données projet'!$A$113:$I$133,3,0)),0,VLOOKUP(A38,'Données projet'!$A$113:$I$133,3,0))</f>
        <v>2</v>
      </c>
      <c r="CG38" s="16">
        <f>IF(ISNA(VLOOKUP(A38,'Données projet'!$A$113:$I$133,4,0)),0,VLOOKUP(A38,'Données projet'!$A$113:$I$133,4,0))</f>
        <v>21.153846153846153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95.512820512820511</v>
      </c>
      <c r="CR38" s="13">
        <f>VLOOKUP(A38,'Données projet'!$A$139:$I$159,9,0)</f>
        <v>5.2564102564102573</v>
      </c>
      <c r="CS38" s="13">
        <f t="array" ref="CS38">INDEX(CR:CR,MIN(IF(ISNUMBER(CR38:CR234),ROW(CR38:CR234),"")))</f>
        <v>5.2564102564102573</v>
      </c>
      <c r="CT38" s="13">
        <f>IF('Données projet'!$A$140&gt;35,CT37+CS38-DB37,IF(A38&lt;'Données projet'!$A$140,$CQ$205^A38,IF(A38='Données projet'!$A$140,'Données projet'!$B$140,CT37+CS38-DB37)))</f>
        <v>95.512820512820539</v>
      </c>
      <c r="CU38" s="18">
        <f>CT38*VLOOKUP('Données projet'!$B$13,Paramètres!$A$1:$I$89,3,0)*VLOOKUP('Données projet'!$B$13,Paramètres!$A$1:$I$89,5,0)</f>
        <v>64.070000000000022</v>
      </c>
      <c r="CV38" s="14">
        <f t="shared" si="41"/>
        <v>18.193329243637638</v>
      </c>
      <c r="CW38" s="22">
        <f t="shared" si="13"/>
        <v>143.27529843266893</v>
      </c>
      <c r="CX38" s="62">
        <f t="shared" si="14"/>
        <v>386.92583115724346</v>
      </c>
      <c r="CY38" s="62">
        <f ca="1">AVERAGE(OFFSET($CX$3,0,0,'Données projet'!$E$13+1,1))-AVERAGE(OFFSET($H$3,0,0,'Données projet'!$E$13+1,1))</f>
        <v>240.40157928925146</v>
      </c>
      <c r="CZ38" s="62">
        <f t="shared" si="42"/>
        <v>160.5013084380258</v>
      </c>
      <c r="DA38" s="16">
        <f>IF(ISNA(VLOOKUP(A38,'Données projet'!$A$139:$I$159,3,0)),0,VLOOKUP(A38,'Données projet'!$A$139:$I$159,3,0))</f>
        <v>2</v>
      </c>
      <c r="DB38" s="16">
        <f>IF(ISNA(VLOOKUP(A38,'Données projet'!$A$139:$I$159,4,0)),0,VLOOKUP(A38,'Données projet'!$A$139:$I$159,4,0))</f>
        <v>21.153846153846153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79</v>
      </c>
      <c r="DM38" s="13">
        <f>VLOOKUP(A38,'Données projet'!$A$165:$I$185,9,0)</f>
        <v>5</v>
      </c>
      <c r="DN38" s="13">
        <f t="array" ref="DN38">INDEX(DM:DM,MIN(IF(ISNUMBER(DM38:DM234),ROW(DM38:DM234),"")))</f>
        <v>5</v>
      </c>
      <c r="DO38" s="13">
        <f>IF('Données projet'!$A$166&gt;35,DO37+DN38-DW37,IF(A38&lt;'Données projet'!$A$166,$DL$205^A38,IF(A38='Données projet'!$A$166,'Données projet'!$B$166,DO37+DN38-DW37)))</f>
        <v>78.999999999999986</v>
      </c>
      <c r="DP38" s="18">
        <f>DO38*VLOOKUP('Données projet'!$B$14,Paramètres!$A$1:$I$89,3,0)*VLOOKUP('Données projet'!$B$14,Paramètres!$A$1:$I$89,5,0)</f>
        <v>76.408799999999985</v>
      </c>
      <c r="DQ38" s="14">
        <f t="shared" si="43"/>
        <v>21.256783764315173</v>
      </c>
      <c r="DR38" s="22">
        <f t="shared" si="16"/>
        <v>170.1008917228489</v>
      </c>
      <c r="DS38" s="62">
        <f t="shared" si="17"/>
        <v>413.7514244474234</v>
      </c>
      <c r="DT38" s="62">
        <f ca="1">AVERAGE(OFFSET($DS$3,0,0,'Données projet'!$E$14+1,1))-AVERAGE(OFFSET($H$3,0,0,'Données projet'!$E$14+1,1))</f>
        <v>398.93296311353788</v>
      </c>
      <c r="DU38" s="62">
        <f t="shared" si="44"/>
        <v>173.19148969173838</v>
      </c>
      <c r="DV38" s="16">
        <f>IF(ISNA(VLOOKUP(A38,'Données projet'!$A$165:$I$185,3,0)),0,VLOOKUP(A38,'Données projet'!$A$165:$I$185,3,0))</f>
        <v>1</v>
      </c>
      <c r="DW38" s="16">
        <f>IF(ISNA(VLOOKUP(A38,'Données projet'!$A$165:$I$185,4,0)),0,VLOOKUP(A38,'Données projet'!$A$165:$I$185,4,0))</f>
        <v>13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109</v>
      </c>
      <c r="EH38" s="13">
        <f>VLOOKUP(A38,'Données projet'!$A$191:$I$211,9,0)</f>
        <v>6.6</v>
      </c>
      <c r="EI38" s="13">
        <f t="array" ref="EI38">INDEX(EH:EH,MIN(IF(ISNUMBER(EH38:EH234),ROW(EH38:EH234),"")))</f>
        <v>6.6</v>
      </c>
      <c r="EJ38" s="13">
        <f>IF('Données projet'!$A$192&gt;35,EJ37+EI38-ER37,IF(A38&lt;'Données projet'!$A$192,$EG$205^A38,IF(A38='Données projet'!$A$192,'Données projet'!$B$192,EJ37+EI38-ER37)))</f>
        <v>108.99999999999999</v>
      </c>
      <c r="EK38" s="18">
        <f>EJ38*VLOOKUP('Données projet'!$B$15,Paramètres!$A$1:$I$89,3,0)*VLOOKUP('Données projet'!$B$15,Paramètres!$A$1:$I$89,5,0)</f>
        <v>95.222400000000007</v>
      </c>
      <c r="EL38" s="14">
        <f t="shared" si="45"/>
        <v>25.82057766648499</v>
      </c>
      <c r="EM38" s="22">
        <f t="shared" si="19"/>
        <v>210.8165194357947</v>
      </c>
      <c r="EN38" s="62">
        <f t="shared" si="20"/>
        <v>454.46705216036924</v>
      </c>
      <c r="EO38" s="62">
        <f ca="1">AVERAGE(OFFSET($EN$3,0,0,'Données projet'!$E$15+1,1))-AVERAGE(OFFSET($H$3,0,0,'Données projet'!$E$15+1,1))</f>
        <v>226.37420733783091</v>
      </c>
      <c r="EP38" s="62">
        <f t="shared" si="46"/>
        <v>204.10961748628714</v>
      </c>
      <c r="EQ38" s="16">
        <f>IF(ISNA(VLOOKUP(A38,'Données projet'!$A$191:$I$211,3,0)),0,VLOOKUP(A38,'Données projet'!$A$191:$I$211,3,0))</f>
        <v>2</v>
      </c>
      <c r="ER38" s="16">
        <f>IF(ISNA(VLOOKUP(A38,'Données projet'!$A$191:$I$211,4,0)),0,VLOOKUP(A38,'Données projet'!$A$191:$I$211,4,0))</f>
        <v>28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6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9">
        <f t="shared" si="1"/>
        <v>183.33333333333334</v>
      </c>
      <c r="I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7.7333333333333334</v>
      </c>
      <c r="N39" s="14">
        <f>IF('Données projet'!$A$36&gt;35,N38+M39-V38,IF(A39&lt;'Données projet'!$A$36,$K$205^A39,IF(A39='Données projet'!$A$36,'Données projet'!$B$36,N38+M39-V38)))</f>
        <v>103.4</v>
      </c>
      <c r="O39" s="14">
        <f>N39*VLOOKUP('Données projet'!$B$9,Paramètres!$A$1:$I$89,3,0)*VLOOKUP('Données projet'!$B$9,Paramètres!$A$1:$I$89,5,0)</f>
        <v>60.489000000000004</v>
      </c>
      <c r="P39" s="14">
        <f t="shared" si="33"/>
        <v>17.291845088391515</v>
      </c>
      <c r="Q39" s="22">
        <f t="shared" si="53"/>
        <v>135.46830519561522</v>
      </c>
      <c r="R39" s="62">
        <f t="shared" si="0"/>
        <v>379.98072343664967</v>
      </c>
      <c r="S39" s="62">
        <f ca="1">AVERAGE(OFFSET($R$3,0,0,'Données projet'!$E$9+1,1))-AVERAGE(OFFSET($H$3,0,0,'Données projet'!$E$9+1,1))</f>
        <v>196.48726929442091</v>
      </c>
      <c r="T39" s="62">
        <f t="shared" si="34"/>
        <v>193.28400454669347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1.9870676821589484</v>
      </c>
      <c r="AC39" s="24">
        <f t="shared" si="3"/>
        <v>1.9870676821589484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5.4</v>
      </c>
      <c r="AI39" s="14">
        <f>IF('Données projet'!$A$62&gt;35,AI38+AH39-AQ38,IF(A39&lt;'Données projet'!$A$62,$AF$205^A39,IF(A39='Données projet'!$A$62,'Données projet'!$B$62,AI38+AH39-AQ38)))</f>
        <v>71.399999999999991</v>
      </c>
      <c r="AJ39" s="14">
        <f>AI39*VLOOKUP('Données projet'!$B$10,Paramètres!$A$1:$I$89,3,0)*VLOOKUP('Données projet'!$B$10,Paramètres!$A$1:$I$89,5,0)</f>
        <v>72.399599999999992</v>
      </c>
      <c r="AK39" s="14">
        <f t="shared" si="35"/>
        <v>20.268188832715463</v>
      </c>
      <c r="AL39" s="22">
        <f t="shared" si="4"/>
        <v>161.3963988836461</v>
      </c>
      <c r="AM39" s="62">
        <f t="shared" si="5"/>
        <v>405.90881712468052</v>
      </c>
      <c r="AN39" s="62">
        <f ca="1">AVERAGE(OFFSET($AM$3,0,0,'Données projet'!$E$10+1,1))-AVERAGE(OFFSET($H$3,0,0,'Données projet'!$E$10+1,1))</f>
        <v>414.29294334114661</v>
      </c>
      <c r="AO39" s="62">
        <f t="shared" si="36"/>
        <v>178.72086185623849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5.4</v>
      </c>
      <c r="BD39" s="13">
        <f>IF('Données projet'!$A$88&gt;35,BD38+BC39-BL38,IF(A39&lt;'Données projet'!$A$88,$BA$205^A39,IF(A39='Données projet'!$A$88,'Données projet'!$B$88,BD38+BC39-BL38)))</f>
        <v>71.399999999999991</v>
      </c>
      <c r="BE39" s="14">
        <f>BD39*VLOOKUP('Données projet'!$B$11,Paramètres!$A$1:$I$89,3,0)*VLOOKUP('Données projet'!$B$11,Paramètres!$A$1:$I$89,5,0)</f>
        <v>76.854959999999991</v>
      </c>
      <c r="BF39" s="14">
        <f t="shared" si="37"/>
        <v>21.366419773799993</v>
      </c>
      <c r="BG39" s="22">
        <f t="shared" si="7"/>
        <v>171.06890310603498</v>
      </c>
      <c r="BH39" s="62">
        <f t="shared" si="8"/>
        <v>415.58132134706943</v>
      </c>
      <c r="BI39" s="62">
        <f ca="1">AVERAGE(OFFSET($BH$3,0,0,'Données projet'!$E$11+1,1))-AVERAGE(OFFSET($H$3,0,0,'Données projet'!$E$11+1,1))</f>
        <v>434.74983403680108</v>
      </c>
      <c r="BJ39" s="62">
        <f t="shared" si="38"/>
        <v>186.0840067781198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5.1282051282051269</v>
      </c>
      <c r="BY39" s="13">
        <f>IF('Données projet'!$A$114&gt;35,BY38+BX39-CG38,IF(A39&lt;'Données projet'!$A$114,$BV$205^A39,IF(A39='Données projet'!$A$114,'Données projet'!$B$114,BY38+BX39-CG38)))</f>
        <v>79.487179487179503</v>
      </c>
      <c r="BZ39" s="14">
        <f>BY39*VLOOKUP('Données projet'!$B$12,Paramètres!$A$1:$I$89,3,0)*VLOOKUP('Données projet'!$B$12,Paramètres!$A$1:$I$89,5,0)</f>
        <v>68.200000000000017</v>
      </c>
      <c r="CA39" s="14">
        <f t="shared" si="39"/>
        <v>19.225778668818833</v>
      </c>
      <c r="CB39" s="22">
        <f t="shared" si="10"/>
        <v>152.26656451485948</v>
      </c>
      <c r="CC39" s="62">
        <f t="shared" si="11"/>
        <v>396.77898275589394</v>
      </c>
      <c r="CD39" s="62">
        <f ca="1">AVERAGE(OFFSET($CC$3,0,0,'Données projet'!$E$12+1,1))-AVERAGE(OFFSET($H$3,0,0,'Données projet'!$E$12+1,1))</f>
        <v>288.24759203983547</v>
      </c>
      <c r="CE39" s="62">
        <f t="shared" si="40"/>
        <v>188.86613033148794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5.1282051282051269</v>
      </c>
      <c r="CT39" s="13">
        <f>IF('Données projet'!$A$140&gt;35,CT38+CS39-DB38,IF(A39&lt;'Données projet'!$A$140,$CQ$205^A39,IF(A39='Données projet'!$A$140,'Données projet'!$B$140,CT38+CS39-DB38)))</f>
        <v>79.487179487179503</v>
      </c>
      <c r="CU39" s="18">
        <f>CT39*VLOOKUP('Données projet'!$B$13,Paramètres!$A$1:$I$89,3,0)*VLOOKUP('Données projet'!$B$13,Paramètres!$A$1:$I$89,5,0)</f>
        <v>53.320000000000007</v>
      </c>
      <c r="CV39" s="14">
        <f t="shared" si="41"/>
        <v>15.467929829752174</v>
      </c>
      <c r="CW39" s="22">
        <f t="shared" si="13"/>
        <v>119.80564445348506</v>
      </c>
      <c r="CX39" s="62">
        <f t="shared" si="14"/>
        <v>364.31806269451948</v>
      </c>
      <c r="CY39" s="62">
        <f ca="1">AVERAGE(OFFSET($CX$3,0,0,'Données projet'!$E$13+1,1))-AVERAGE(OFFSET($H$3,0,0,'Données projet'!$E$13+1,1))</f>
        <v>240.40157928925146</v>
      </c>
      <c r="CZ39" s="62">
        <f t="shared" si="42"/>
        <v>160.5013084380258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5.4</v>
      </c>
      <c r="DO39" s="13">
        <f>IF('Données projet'!$A$166&gt;35,DO38+DN39-DW38,IF(A39&lt;'Données projet'!$A$166,$DL$205^A39,IF(A39='Données projet'!$A$166,'Données projet'!$B$166,DO38+DN39-DW38)))</f>
        <v>71.399999999999991</v>
      </c>
      <c r="DP39" s="18">
        <f>DO39*VLOOKUP('Données projet'!$B$14,Paramètres!$A$1:$I$89,3,0)*VLOOKUP('Données projet'!$B$14,Paramètres!$A$1:$I$89,5,0)</f>
        <v>69.05807999999999</v>
      </c>
      <c r="DQ39" s="14">
        <f t="shared" si="43"/>
        <v>19.439361528467131</v>
      </c>
      <c r="DR39" s="22">
        <f t="shared" si="16"/>
        <v>154.13304399541357</v>
      </c>
      <c r="DS39" s="62">
        <f t="shared" si="17"/>
        <v>398.645462236448</v>
      </c>
      <c r="DT39" s="62">
        <f ca="1">AVERAGE(OFFSET($DS$3,0,0,'Données projet'!$E$14+1,1))-AVERAGE(OFFSET($H$3,0,0,'Données projet'!$E$14+1,1))</f>
        <v>398.93296311353788</v>
      </c>
      <c r="DU39" s="62">
        <f t="shared" si="44"/>
        <v>173.19148969173838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5.6</v>
      </c>
      <c r="EJ39" s="13">
        <f>IF('Données projet'!$A$192&gt;35,EJ38+EI39-ER38,IF(A39&lt;'Données projet'!$A$192,$EG$205^A39,IF(A39='Données projet'!$A$192,'Données projet'!$B$192,EJ38+EI39-ER38)))</f>
        <v>86.59999999999998</v>
      </c>
      <c r="EK39" s="18">
        <f>EJ39*VLOOKUP('Données projet'!$B$15,Paramètres!$A$1:$I$89,3,0)*VLOOKUP('Données projet'!$B$15,Paramètres!$A$1:$I$89,5,0)</f>
        <v>75.653759999999991</v>
      </c>
      <c r="EL39" s="14">
        <f t="shared" si="45"/>
        <v>21.071075829664714</v>
      </c>
      <c r="EM39" s="22">
        <f t="shared" si="19"/>
        <v>168.46242240333265</v>
      </c>
      <c r="EN39" s="62">
        <f t="shared" si="20"/>
        <v>412.97484064436708</v>
      </c>
      <c r="EO39" s="62">
        <f ca="1">AVERAGE(OFFSET($EN$3,0,0,'Données projet'!$E$15+1,1))-AVERAGE(OFFSET($H$3,0,0,'Données projet'!$E$15+1,1))</f>
        <v>226.37420733783091</v>
      </c>
      <c r="EP39" s="62">
        <f t="shared" si="46"/>
        <v>204.10961748628714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6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9">
        <f t="shared" si="1"/>
        <v>183.33333333333334</v>
      </c>
      <c r="I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7.7333333333333334</v>
      </c>
      <c r="N40" s="14">
        <f>IF('Données projet'!$A$36&gt;35,N39+M40-V39,IF(A40&lt;'Données projet'!$A$36,$K$205^A40,IF(A40='Données projet'!$A$36,'Données projet'!$B$36,N39+M40-V39)))</f>
        <v>111.13333333333334</v>
      </c>
      <c r="O40" s="14">
        <f>N40*VLOOKUP('Données projet'!$B$9,Paramètres!$A$1:$I$89,3,0)*VLOOKUP('Données projet'!$B$9,Paramètres!$A$1:$I$89,5,0)</f>
        <v>65.013000000000005</v>
      </c>
      <c r="P40" s="14">
        <f t="shared" si="33"/>
        <v>18.429733178444067</v>
      </c>
      <c r="Q40" s="22">
        <f t="shared" si="53"/>
        <v>145.32942695245674</v>
      </c>
      <c r="R40" s="62">
        <f t="shared" si="0"/>
        <v>390.68877892312787</v>
      </c>
      <c r="S40" s="62">
        <f ca="1">AVERAGE(OFFSET($R$3,0,0,'Données projet'!$E$9+1,1))-AVERAGE(OFFSET($H$3,0,0,'Données projet'!$E$9+1,1))</f>
        <v>196.48726929442091</v>
      </c>
      <c r="T40" s="62">
        <f t="shared" si="34"/>
        <v>193.28400454669347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1.4050690327312279</v>
      </c>
      <c r="AC40" s="24">
        <f t="shared" si="3"/>
        <v>1.4050690327312279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5.4</v>
      </c>
      <c r="AI40" s="14">
        <f>IF('Données projet'!$A$62&gt;35,AI39+AH40-AQ39,IF(A40&lt;'Données projet'!$A$62,$AF$205^A40,IF(A40='Données projet'!$A$62,'Données projet'!$B$62,AI39+AH40-AQ39)))</f>
        <v>76.8</v>
      </c>
      <c r="AJ40" s="14">
        <f>AI40*VLOOKUP('Données projet'!$B$10,Paramètres!$A$1:$I$89,3,0)*VLOOKUP('Données projet'!$B$10,Paramètres!$A$1:$I$89,5,0)</f>
        <v>77.875200000000007</v>
      </c>
      <c r="AK40" s="14">
        <f t="shared" si="35"/>
        <v>21.616848354491538</v>
      </c>
      <c r="AL40" s="22">
        <f t="shared" si="4"/>
        <v>173.28198421740612</v>
      </c>
      <c r="AM40" s="62">
        <f t="shared" si="5"/>
        <v>418.64133618807722</v>
      </c>
      <c r="AN40" s="62">
        <f ca="1">AVERAGE(OFFSET($AM$3,0,0,'Données projet'!$E$10+1,1))-AVERAGE(OFFSET($H$3,0,0,'Données projet'!$E$10+1,1))</f>
        <v>414.29294334114661</v>
      </c>
      <c r="AO40" s="62">
        <f t="shared" si="36"/>
        <v>178.72086185623849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5.4</v>
      </c>
      <c r="BD40" s="13">
        <f>IF('Données projet'!$A$88&gt;35,BD39+BC40-BL39,IF(A40&lt;'Données projet'!$A$88,$BA$205^A40,IF(A40='Données projet'!$A$88,'Données projet'!$B$88,BD39+BC40-BL39)))</f>
        <v>76.8</v>
      </c>
      <c r="BE40" s="14">
        <f>BD40*VLOOKUP('Données projet'!$B$11,Paramètres!$A$1:$I$89,3,0)*VLOOKUP('Données projet'!$B$11,Paramètres!$A$1:$I$89,5,0)</f>
        <v>82.667519999999996</v>
      </c>
      <c r="BF40" s="14">
        <f t="shared" si="37"/>
        <v>22.788156353818806</v>
      </c>
      <c r="BG40" s="22">
        <f t="shared" si="7"/>
        <v>183.6686363162344</v>
      </c>
      <c r="BH40" s="62">
        <f t="shared" si="8"/>
        <v>429.0279882869055</v>
      </c>
      <c r="BI40" s="62">
        <f ca="1">AVERAGE(OFFSET($BH$3,0,0,'Données projet'!$E$11+1,1))-AVERAGE(OFFSET($H$3,0,0,'Données projet'!$E$11+1,1))</f>
        <v>434.74983403680108</v>
      </c>
      <c r="BJ40" s="62">
        <f t="shared" si="38"/>
        <v>186.0840067781198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5.1282051282051269</v>
      </c>
      <c r="BY40" s="13">
        <f>IF('Données projet'!$A$114&gt;35,BY39+BX40-CG39,IF(A40&lt;'Données projet'!$A$114,$BV$205^A40,IF(A40='Données projet'!$A$114,'Données projet'!$B$114,BY39+BX40-CG39)))</f>
        <v>84.615384615384627</v>
      </c>
      <c r="BZ40" s="14">
        <f>BY40*VLOOKUP('Données projet'!$B$12,Paramètres!$A$1:$I$89,3,0)*VLOOKUP('Données projet'!$B$12,Paramètres!$A$1:$I$89,5,0)</f>
        <v>72.600000000000023</v>
      </c>
      <c r="CA40" s="14">
        <f t="shared" si="39"/>
        <v>20.317752371013761</v>
      </c>
      <c r="CB40" s="22">
        <f t="shared" si="10"/>
        <v>161.83175204618234</v>
      </c>
      <c r="CC40" s="62">
        <f t="shared" si="11"/>
        <v>407.19110401685344</v>
      </c>
      <c r="CD40" s="62">
        <f ca="1">AVERAGE(OFFSET($CC$3,0,0,'Données projet'!$E$12+1,1))-AVERAGE(OFFSET($H$3,0,0,'Données projet'!$E$12+1,1))</f>
        <v>288.24759203983547</v>
      </c>
      <c r="CE40" s="62">
        <f t="shared" si="40"/>
        <v>188.86613033148794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5.1282051282051269</v>
      </c>
      <c r="CT40" s="13">
        <f>IF('Données projet'!$A$140&gt;35,CT39+CS40-DB39,IF(A40&lt;'Données projet'!$A$140,$CQ$205^A40,IF(A40='Données projet'!$A$140,'Données projet'!$B$140,CT39+CS40-DB39)))</f>
        <v>84.615384615384627</v>
      </c>
      <c r="CU40" s="18">
        <f>CT40*VLOOKUP('Données projet'!$B$13,Paramètres!$A$1:$I$89,3,0)*VLOOKUP('Données projet'!$B$13,Paramètres!$A$1:$I$89,5,0)</f>
        <v>56.760000000000005</v>
      </c>
      <c r="CV40" s="14">
        <f t="shared" si="41"/>
        <v>16.346467593680529</v>
      </c>
      <c r="CW40" s="22">
        <f t="shared" si="13"/>
        <v>127.32709772566024</v>
      </c>
      <c r="CX40" s="62">
        <f t="shared" si="14"/>
        <v>372.68644969633135</v>
      </c>
      <c r="CY40" s="62">
        <f ca="1">AVERAGE(OFFSET($CX$3,0,0,'Données projet'!$E$13+1,1))-AVERAGE(OFFSET($H$3,0,0,'Données projet'!$E$13+1,1))</f>
        <v>240.40157928925146</v>
      </c>
      <c r="CZ40" s="62">
        <f t="shared" si="42"/>
        <v>160.5013084380258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5.4</v>
      </c>
      <c r="DO40" s="13">
        <f>IF('Données projet'!$A$166&gt;35,DO39+DN40-DW39,IF(A40&lt;'Données projet'!$A$166,$DL$205^A40,IF(A40='Données projet'!$A$166,'Données projet'!$B$166,DO39+DN40-DW39)))</f>
        <v>76.8</v>
      </c>
      <c r="DP40" s="18">
        <f>DO40*VLOOKUP('Données projet'!$B$14,Paramètres!$A$1:$I$89,3,0)*VLOOKUP('Données projet'!$B$14,Paramètres!$A$1:$I$89,5,0)</f>
        <v>74.280960000000007</v>
      </c>
      <c r="DQ40" s="14">
        <f t="shared" si="43"/>
        <v>20.732870299230971</v>
      </c>
      <c r="DR40" s="22">
        <f t="shared" si="16"/>
        <v>165.48242110449394</v>
      </c>
      <c r="DS40" s="62">
        <f t="shared" si="17"/>
        <v>410.84177307516507</v>
      </c>
      <c r="DT40" s="62">
        <f ca="1">AVERAGE(OFFSET($DS$3,0,0,'Données projet'!$E$14+1,1))-AVERAGE(OFFSET($H$3,0,0,'Données projet'!$E$14+1,1))</f>
        <v>398.93296311353788</v>
      </c>
      <c r="DU40" s="62">
        <f t="shared" si="44"/>
        <v>173.19148969173838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5.6</v>
      </c>
      <c r="EJ40" s="13">
        <f>IF('Données projet'!$A$192&gt;35,EJ39+EI40-ER39,IF(A40&lt;'Données projet'!$A$192,$EG$205^A40,IF(A40='Données projet'!$A$192,'Données projet'!$B$192,EJ39+EI40-ER39)))</f>
        <v>92.199999999999974</v>
      </c>
      <c r="EK40" s="18">
        <f>EJ40*VLOOKUP('Données projet'!$B$15,Paramètres!$A$1:$I$89,3,0)*VLOOKUP('Données projet'!$B$15,Paramètres!$A$1:$I$89,5,0)</f>
        <v>80.545919999999995</v>
      </c>
      <c r="EL40" s="14">
        <f t="shared" si="45"/>
        <v>22.270611528274312</v>
      </c>
      <c r="EM40" s="22">
        <f t="shared" si="19"/>
        <v>179.07212574507776</v>
      </c>
      <c r="EN40" s="62">
        <f t="shared" si="20"/>
        <v>424.43147771574888</v>
      </c>
      <c r="EO40" s="62">
        <f ca="1">AVERAGE(OFFSET($EN$3,0,0,'Données projet'!$E$15+1,1))-AVERAGE(OFFSET($H$3,0,0,'Données projet'!$E$15+1,1))</f>
        <v>226.37420733783091</v>
      </c>
      <c r="EP40" s="62">
        <f t="shared" si="46"/>
        <v>204.10961748628714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6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9">
        <f t="shared" si="1"/>
        <v>183.33333333333334</v>
      </c>
      <c r="I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7.7333333333333334</v>
      </c>
      <c r="N41" s="14">
        <f>IF('Données projet'!$A$36&gt;35,N40+M41-V40,IF(A41&lt;'Données projet'!$A$36,$K$205^A41,IF(A41='Données projet'!$A$36,'Données projet'!$B$36,N40+M41-V40)))</f>
        <v>118.86666666666667</v>
      </c>
      <c r="O41" s="14">
        <f>N41*VLOOKUP('Données projet'!$B$9,Paramètres!$A$1:$I$89,3,0)*VLOOKUP('Données projet'!$B$9,Paramètres!$A$1:$I$89,5,0)</f>
        <v>69.537000000000006</v>
      </c>
      <c r="P41" s="14">
        <f t="shared" si="33"/>
        <v>19.558433982466116</v>
      </c>
      <c r="Q41" s="22">
        <f t="shared" si="53"/>
        <v>155.17454751946181</v>
      </c>
      <c r="R41" s="62">
        <f t="shared" si="0"/>
        <v>401.36614081302054</v>
      </c>
      <c r="S41" s="62">
        <f ca="1">AVERAGE(OFFSET($R$3,0,0,'Données projet'!$E$9+1,1))-AVERAGE(OFFSET($H$3,0,0,'Données projet'!$E$9+1,1))</f>
        <v>196.48726929442091</v>
      </c>
      <c r="T41" s="62">
        <f t="shared" si="34"/>
        <v>193.28400454669347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0.9935338410794744</v>
      </c>
      <c r="AC41" s="24">
        <f t="shared" si="3"/>
        <v>0.9935338410794744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5.4</v>
      </c>
      <c r="AI41" s="14">
        <f>IF('Données projet'!$A$62&gt;35,AI40+AH41-AQ40,IF(A41&lt;'Données projet'!$A$62,$AF$205^A41,IF(A41='Données projet'!$A$62,'Données projet'!$B$62,AI40+AH41-AQ40)))</f>
        <v>82.2</v>
      </c>
      <c r="AJ41" s="14">
        <f>AI41*VLOOKUP('Données projet'!$B$10,Paramètres!$A$1:$I$89,3,0)*VLOOKUP('Données projet'!$B$10,Paramètres!$A$1:$I$89,5,0)</f>
        <v>83.350800000000007</v>
      </c>
      <c r="AK41" s="14">
        <f t="shared" si="35"/>
        <v>22.954505421678146</v>
      </c>
      <c r="AL41" s="22">
        <f t="shared" si="4"/>
        <v>185.14840694275611</v>
      </c>
      <c r="AM41" s="62">
        <f t="shared" si="5"/>
        <v>431.34000023631484</v>
      </c>
      <c r="AN41" s="62">
        <f ca="1">AVERAGE(OFFSET($AM$3,0,0,'Données projet'!$E$10+1,1))-AVERAGE(OFFSET($H$3,0,0,'Données projet'!$E$10+1,1))</f>
        <v>414.29294334114661</v>
      </c>
      <c r="AO41" s="62">
        <f t="shared" si="36"/>
        <v>178.72086185623849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5.4</v>
      </c>
      <c r="BD41" s="13">
        <f>IF('Données projet'!$A$88&gt;35,BD40+BC41-BL40,IF(A41&lt;'Données projet'!$A$88,$BA$205^A41,IF(A41='Données projet'!$A$88,'Données projet'!$B$88,BD40+BC41-BL40)))</f>
        <v>82.2</v>
      </c>
      <c r="BE41" s="14">
        <f>BD41*VLOOKUP('Données projet'!$B$11,Paramètres!$A$1:$I$89,3,0)*VLOOKUP('Données projet'!$B$11,Paramètres!$A$1:$I$89,5,0)</f>
        <v>88.480080000000001</v>
      </c>
      <c r="BF41" s="14">
        <f t="shared" si="37"/>
        <v>24.1982943117189</v>
      </c>
      <c r="BG41" s="22">
        <f t="shared" si="7"/>
        <v>196.24816859291039</v>
      </c>
      <c r="BH41" s="62">
        <f t="shared" si="8"/>
        <v>442.43976188646911</v>
      </c>
      <c r="BI41" s="62">
        <f ca="1">AVERAGE(OFFSET($BH$3,0,0,'Données projet'!$E$11+1,1))-AVERAGE(OFFSET($H$3,0,0,'Données projet'!$E$11+1,1))</f>
        <v>434.74983403680108</v>
      </c>
      <c r="BJ41" s="62">
        <f t="shared" si="38"/>
        <v>186.0840067781198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5.1282051282051269</v>
      </c>
      <c r="BY41" s="13">
        <f>IF('Données projet'!$A$114&gt;35,BY40+BX41-CG40,IF(A41&lt;'Données projet'!$A$114,$BV$205^A41,IF(A41='Données projet'!$A$114,'Données projet'!$B$114,BY40+BX41-CG40)))</f>
        <v>89.743589743589752</v>
      </c>
      <c r="BZ41" s="14">
        <f>BY41*VLOOKUP('Données projet'!$B$12,Paramètres!$A$1:$I$89,3,0)*VLOOKUP('Données projet'!$B$12,Paramètres!$A$1:$I$89,5,0)</f>
        <v>77.000000000000014</v>
      </c>
      <c r="CA41" s="14">
        <f t="shared" si="39"/>
        <v>21.402044840342526</v>
      </c>
      <c r="CB41" s="22">
        <f t="shared" si="10"/>
        <v>171.38356143026326</v>
      </c>
      <c r="CC41" s="62">
        <f t="shared" si="11"/>
        <v>417.57515472382198</v>
      </c>
      <c r="CD41" s="62">
        <f ca="1">AVERAGE(OFFSET($CC$3,0,0,'Données projet'!$E$12+1,1))-AVERAGE(OFFSET($H$3,0,0,'Données projet'!$E$12+1,1))</f>
        <v>288.24759203983547</v>
      </c>
      <c r="CE41" s="62">
        <f t="shared" si="40"/>
        <v>188.86613033148794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5.1282051282051269</v>
      </c>
      <c r="CT41" s="13">
        <f>IF('Données projet'!$A$140&gt;35,CT40+CS41-DB40,IF(A41&lt;'Données projet'!$A$140,$CQ$205^A41,IF(A41='Données projet'!$A$140,'Données projet'!$B$140,CT40+CS41-DB40)))</f>
        <v>89.743589743589752</v>
      </c>
      <c r="CU41" s="18">
        <f>CT41*VLOOKUP('Données projet'!$B$13,Paramètres!$A$1:$I$89,3,0)*VLOOKUP('Données projet'!$B$13,Paramètres!$A$1:$I$89,5,0)</f>
        <v>60.2</v>
      </c>
      <c r="CV41" s="14">
        <f t="shared" si="41"/>
        <v>17.218825489785274</v>
      </c>
      <c r="CW41" s="22">
        <f t="shared" si="13"/>
        <v>134.83778772804268</v>
      </c>
      <c r="CX41" s="62">
        <f t="shared" si="14"/>
        <v>381.02938102160141</v>
      </c>
      <c r="CY41" s="62">
        <f ca="1">AVERAGE(OFFSET($CX$3,0,0,'Données projet'!$E$13+1,1))-AVERAGE(OFFSET($H$3,0,0,'Données projet'!$E$13+1,1))</f>
        <v>240.40157928925146</v>
      </c>
      <c r="CZ41" s="62">
        <f t="shared" si="42"/>
        <v>160.5013084380258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5.4</v>
      </c>
      <c r="DO41" s="13">
        <f>IF('Données projet'!$A$166&gt;35,DO40+DN41-DW40,IF(A41&lt;'Données projet'!$A$166,$DL$205^A41,IF(A41='Données projet'!$A$166,'Données projet'!$B$166,DO40+DN41-DW40)))</f>
        <v>82.2</v>
      </c>
      <c r="DP41" s="18">
        <f>DO41*VLOOKUP('Données projet'!$B$14,Paramètres!$A$1:$I$89,3,0)*VLOOKUP('Données projet'!$B$14,Paramètres!$A$1:$I$89,5,0)</f>
        <v>79.503839999999997</v>
      </c>
      <c r="DQ41" s="14">
        <f t="shared" si="43"/>
        <v>22.015826538921051</v>
      </c>
      <c r="DR41" s="22">
        <f t="shared" si="16"/>
        <v>176.81341922195415</v>
      </c>
      <c r="DS41" s="62">
        <f t="shared" si="17"/>
        <v>423.00501251551287</v>
      </c>
      <c r="DT41" s="62">
        <f ca="1">AVERAGE(OFFSET($DS$3,0,0,'Données projet'!$E$14+1,1))-AVERAGE(OFFSET($H$3,0,0,'Données projet'!$E$14+1,1))</f>
        <v>398.93296311353788</v>
      </c>
      <c r="DU41" s="62">
        <f t="shared" si="44"/>
        <v>173.19148969173838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5.6</v>
      </c>
      <c r="EJ41" s="13">
        <f>IF('Données projet'!$A$192&gt;35,EJ40+EI41-ER40,IF(A41&lt;'Données projet'!$A$192,$EG$205^A41,IF(A41='Données projet'!$A$192,'Données projet'!$B$192,EJ40+EI41-ER40)))</f>
        <v>97.799999999999969</v>
      </c>
      <c r="EK41" s="18">
        <f>EJ41*VLOOKUP('Données projet'!$B$15,Paramètres!$A$1:$I$89,3,0)*VLOOKUP('Données projet'!$B$15,Paramètres!$A$1:$I$89,5,0)</f>
        <v>85.438079999999985</v>
      </c>
      <c r="EL41" s="14">
        <f t="shared" si="45"/>
        <v>23.46169111191827</v>
      </c>
      <c r="EM41" s="22">
        <f t="shared" si="19"/>
        <v>189.66710135325764</v>
      </c>
      <c r="EN41" s="62">
        <f t="shared" si="20"/>
        <v>435.85869464681639</v>
      </c>
      <c r="EO41" s="62">
        <f ca="1">AVERAGE(OFFSET($EN$3,0,0,'Données projet'!$E$15+1,1))-AVERAGE(OFFSET($H$3,0,0,'Données projet'!$E$15+1,1))</f>
        <v>226.37420733783091</v>
      </c>
      <c r="EP41" s="62">
        <f t="shared" si="46"/>
        <v>204.10961748628714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6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9">
        <f t="shared" si="1"/>
        <v>183.33333333333334</v>
      </c>
      <c r="I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7.7333333333333334</v>
      </c>
      <c r="N42" s="14">
        <f>IF('Données projet'!$A$36&gt;35,N41+M42-V41,IF(A42&lt;'Données projet'!$A$36,$K$205^A42,IF(A42='Données projet'!$A$36,'Données projet'!$B$36,N41+M42-V41)))</f>
        <v>126.60000000000001</v>
      </c>
      <c r="O42" s="14">
        <f>N42*VLOOKUP('Données projet'!$B$9,Paramètres!$A$1:$I$89,3,0)*VLOOKUP('Données projet'!$B$9,Paramètres!$A$1:$I$89,5,0)</f>
        <v>74.061000000000007</v>
      </c>
      <c r="P42" s="14">
        <f t="shared" si="33"/>
        <v>20.678613238358448</v>
      </c>
      <c r="Q42" s="22">
        <f t="shared" si="53"/>
        <v>165.00482639014098</v>
      </c>
      <c r="R42" s="62">
        <f t="shared" si="0"/>
        <v>412.01422348024812</v>
      </c>
      <c r="S42" s="62">
        <f ca="1">AVERAGE(OFFSET($R$3,0,0,'Données projet'!$E$9+1,1))-AVERAGE(OFFSET($H$3,0,0,'Données projet'!$E$9+1,1))</f>
        <v>196.48726929442091</v>
      </c>
      <c r="T42" s="62">
        <f t="shared" si="34"/>
        <v>193.28400454669347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0.70253451636561404</v>
      </c>
      <c r="AC42" s="24">
        <f t="shared" si="3"/>
        <v>0.70253451636561404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5.4</v>
      </c>
      <c r="AI42" s="14">
        <f>IF('Données projet'!$A$62&gt;35,AI41+AH42-AQ41,IF(A42&lt;'Données projet'!$A$62,$AF$205^A42,IF(A42='Données projet'!$A$62,'Données projet'!$B$62,AI41+AH42-AQ41)))</f>
        <v>87.600000000000009</v>
      </c>
      <c r="AJ42" s="14">
        <f>AI42*VLOOKUP('Données projet'!$B$10,Paramètres!$A$1:$I$89,3,0)*VLOOKUP('Données projet'!$B$10,Paramètres!$A$1:$I$89,5,0)</f>
        <v>88.826400000000007</v>
      </c>
      <c r="AK42" s="14">
        <f t="shared" si="35"/>
        <v>24.28196507443278</v>
      </c>
      <c r="AL42" s="22">
        <f t="shared" si="4"/>
        <v>196.99706917130376</v>
      </c>
      <c r="AM42" s="62">
        <f t="shared" si="5"/>
        <v>444.00646626141088</v>
      </c>
      <c r="AN42" s="62">
        <f ca="1">AVERAGE(OFFSET($AM$3,0,0,'Données projet'!$E$10+1,1))-AVERAGE(OFFSET($H$3,0,0,'Données projet'!$E$10+1,1))</f>
        <v>414.29294334114661</v>
      </c>
      <c r="AO42" s="62">
        <f t="shared" si="36"/>
        <v>178.72086185623849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5.4</v>
      </c>
      <c r="BD42" s="13">
        <f>IF('Données projet'!$A$88&gt;35,BD41+BC42-BL41,IF(A42&lt;'Données projet'!$A$88,$BA$205^A42,IF(A42='Données projet'!$A$88,'Données projet'!$B$88,BD41+BC42-BL41)))</f>
        <v>87.600000000000009</v>
      </c>
      <c r="BE42" s="14">
        <f>BD42*VLOOKUP('Données projet'!$B$11,Paramètres!$A$1:$I$89,3,0)*VLOOKUP('Données projet'!$B$11,Paramètres!$A$1:$I$89,5,0)</f>
        <v>94.292640000000006</v>
      </c>
      <c r="BF42" s="14">
        <f t="shared" si="37"/>
        <v>25.597682308724192</v>
      </c>
      <c r="BG42" s="22">
        <f t="shared" si="7"/>
        <v>208.80897802102797</v>
      </c>
      <c r="BH42" s="62">
        <f t="shared" si="8"/>
        <v>455.81837511113508</v>
      </c>
      <c r="BI42" s="62">
        <f ca="1">AVERAGE(OFFSET($BH$3,0,0,'Données projet'!$E$11+1,1))-AVERAGE(OFFSET($H$3,0,0,'Données projet'!$E$11+1,1))</f>
        <v>434.74983403680108</v>
      </c>
      <c r="BJ42" s="62">
        <f t="shared" si="38"/>
        <v>186.0840067781198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5.1282051282051269</v>
      </c>
      <c r="BY42" s="13">
        <f>IF('Données projet'!$A$114&gt;35,BY41+BX42-CG41,IF(A42&lt;'Données projet'!$A$114,$BV$205^A42,IF(A42='Données projet'!$A$114,'Données projet'!$B$114,BY41+BX42-CG41)))</f>
        <v>94.871794871794876</v>
      </c>
      <c r="BZ42" s="14">
        <f>BY42*VLOOKUP('Données projet'!$B$12,Paramètres!$A$1:$I$89,3,0)*VLOOKUP('Données projet'!$B$12,Paramètres!$A$1:$I$89,5,0)</f>
        <v>81.400000000000006</v>
      </c>
      <c r="CA42" s="14">
        <f t="shared" si="39"/>
        <v>22.479145016543498</v>
      </c>
      <c r="CB42" s="22">
        <f t="shared" si="10"/>
        <v>180.92284423714659</v>
      </c>
      <c r="CC42" s="62">
        <f t="shared" si="11"/>
        <v>427.93224132725368</v>
      </c>
      <c r="CD42" s="62">
        <f ca="1">AVERAGE(OFFSET($CC$3,0,0,'Données projet'!$E$12+1,1))-AVERAGE(OFFSET($H$3,0,0,'Données projet'!$E$12+1,1))</f>
        <v>288.24759203983547</v>
      </c>
      <c r="CE42" s="62">
        <f t="shared" si="40"/>
        <v>188.86613033148794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5.1282051282051269</v>
      </c>
      <c r="CT42" s="13">
        <f>IF('Données projet'!$A$140&gt;35,CT41+CS42-DB41,IF(A42&lt;'Données projet'!$A$140,$CQ$205^A42,IF(A42='Données projet'!$A$140,'Données projet'!$B$140,CT41+CS42-DB41)))</f>
        <v>94.871794871794876</v>
      </c>
      <c r="CU42" s="18">
        <f>CT42*VLOOKUP('Données projet'!$B$13,Paramètres!$A$1:$I$89,3,0)*VLOOKUP('Données projet'!$B$13,Paramètres!$A$1:$I$89,5,0)</f>
        <v>63.64</v>
      </c>
      <c r="CV42" s="14">
        <f t="shared" si="41"/>
        <v>18.085396890199384</v>
      </c>
      <c r="CW42" s="22">
        <f t="shared" si="13"/>
        <v>142.33839958376393</v>
      </c>
      <c r="CX42" s="62">
        <f t="shared" si="14"/>
        <v>389.34779667387102</v>
      </c>
      <c r="CY42" s="62">
        <f ca="1">AVERAGE(OFFSET($CX$3,0,0,'Données projet'!$E$13+1,1))-AVERAGE(OFFSET($H$3,0,0,'Données projet'!$E$13+1,1))</f>
        <v>240.40157928925146</v>
      </c>
      <c r="CZ42" s="62">
        <f t="shared" si="42"/>
        <v>160.5013084380258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5.4</v>
      </c>
      <c r="DO42" s="13">
        <f>IF('Données projet'!$A$166&gt;35,DO41+DN42-DW41,IF(A42&lt;'Données projet'!$A$166,$DL$205^A42,IF(A42='Données projet'!$A$166,'Données projet'!$B$166,DO41+DN42-DW41)))</f>
        <v>87.600000000000009</v>
      </c>
      <c r="DP42" s="18">
        <f>DO42*VLOOKUP('Données projet'!$B$14,Paramètres!$A$1:$I$89,3,0)*VLOOKUP('Données projet'!$B$14,Paramètres!$A$1:$I$89,5,0)</f>
        <v>84.726720000000014</v>
      </c>
      <c r="DQ42" s="14">
        <f t="shared" si="43"/>
        <v>23.289002367177517</v>
      </c>
      <c r="DR42" s="22">
        <f t="shared" si="16"/>
        <v>188.1273831228342</v>
      </c>
      <c r="DS42" s="62">
        <f t="shared" si="17"/>
        <v>435.13678021294129</v>
      </c>
      <c r="DT42" s="62">
        <f ca="1">AVERAGE(OFFSET($DS$3,0,0,'Données projet'!$E$14+1,1))-AVERAGE(OFFSET($H$3,0,0,'Données projet'!$E$14+1,1))</f>
        <v>398.93296311353788</v>
      </c>
      <c r="DU42" s="62">
        <f t="shared" si="44"/>
        <v>173.19148969173838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5.6</v>
      </c>
      <c r="EJ42" s="13">
        <f>IF('Données projet'!$A$192&gt;35,EJ41+EI42-ER41,IF(A42&lt;'Données projet'!$A$192,$EG$205^A42,IF(A42='Données projet'!$A$192,'Données projet'!$B$192,EJ41+EI42-ER41)))</f>
        <v>103.39999999999996</v>
      </c>
      <c r="EK42" s="18">
        <f>EJ42*VLOOKUP('Données projet'!$B$15,Paramètres!$A$1:$I$89,3,0)*VLOOKUP('Données projet'!$B$15,Paramètres!$A$1:$I$89,5,0)</f>
        <v>90.330239999999975</v>
      </c>
      <c r="EL42" s="14">
        <f t="shared" si="45"/>
        <v>24.644853944123636</v>
      </c>
      <c r="EM42" s="22">
        <f t="shared" si="19"/>
        <v>200.24828861934861</v>
      </c>
      <c r="EN42" s="62">
        <f t="shared" si="20"/>
        <v>447.2576857094557</v>
      </c>
      <c r="EO42" s="62">
        <f ca="1">AVERAGE(OFFSET($EN$3,0,0,'Données projet'!$E$15+1,1))-AVERAGE(OFFSET($H$3,0,0,'Données projet'!$E$15+1,1))</f>
        <v>226.37420733783091</v>
      </c>
      <c r="EP42" s="62">
        <f t="shared" si="46"/>
        <v>204.10961748628714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6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9">
        <f t="shared" si="1"/>
        <v>183.33333333333334</v>
      </c>
      <c r="I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7.7333333333333334</v>
      </c>
      <c r="N43" s="14">
        <f>IF('Données projet'!$A$36&gt;35,N42+M43-V42,IF(A43&lt;'Données projet'!$A$36,$K$205^A43,IF(A43='Données projet'!$A$36,'Données projet'!$B$36,N42+M43-V42)))</f>
        <v>134.33333333333334</v>
      </c>
      <c r="O43" s="14">
        <f>N43*VLOOKUP('Données projet'!$B$9,Paramètres!$A$1:$I$89,3,0)*VLOOKUP('Données projet'!$B$9,Paramètres!$A$1:$I$89,5,0)</f>
        <v>78.585000000000008</v>
      </c>
      <c r="P43" s="14">
        <f t="shared" si="33"/>
        <v>21.790850755251157</v>
      </c>
      <c r="Q43" s="22">
        <f t="shared" si="53"/>
        <v>174.82127339872909</v>
      </c>
      <c r="R43" s="62">
        <f t="shared" si="0"/>
        <v>422.63428721784987</v>
      </c>
      <c r="S43" s="62">
        <f ca="1">AVERAGE(OFFSET($R$3,0,0,'Données projet'!$E$9+1,1))-AVERAGE(OFFSET($H$3,0,0,'Données projet'!$E$9+1,1))</f>
        <v>196.48726929442091</v>
      </c>
      <c r="T43" s="62">
        <f t="shared" si="34"/>
        <v>193.28400454669347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0.49676692053973726</v>
      </c>
      <c r="AC43" s="24">
        <f t="shared" si="3"/>
        <v>0.49676692053973726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93</v>
      </c>
      <c r="AG43" s="13">
        <f>VLOOKUP(A43,'Données projet'!$A$61:$I$81,9,0)</f>
        <v>5.4</v>
      </c>
      <c r="AH43" s="13">
        <f t="array" ref="AH43">INDEX(AG:AG,MIN(IF(ISNUMBER(AG43:AG239),ROW(AG43:AG239),"")))</f>
        <v>5.4</v>
      </c>
      <c r="AI43" s="14">
        <f>IF('Données projet'!$A$62&gt;35,AI42+AH43-AQ42,IF(A43&lt;'Données projet'!$A$62,$AF$205^A43,IF(A43='Données projet'!$A$62,'Données projet'!$B$62,AI42+AH43-AQ42)))</f>
        <v>93.000000000000014</v>
      </c>
      <c r="AJ43" s="14">
        <f>AI43*VLOOKUP('Données projet'!$B$10,Paramètres!$A$1:$I$89,3,0)*VLOOKUP('Données projet'!$B$10,Paramètres!$A$1:$I$89,5,0)</f>
        <v>94.302000000000021</v>
      </c>
      <c r="AK43" s="14">
        <f t="shared" si="35"/>
        <v>25.599927492506424</v>
      </c>
      <c r="AL43" s="22">
        <f t="shared" si="4"/>
        <v>208.82919038278203</v>
      </c>
      <c r="AM43" s="62">
        <f t="shared" si="5"/>
        <v>456.64220420190281</v>
      </c>
      <c r="AN43" s="62">
        <f ca="1">AVERAGE(OFFSET($AM$3,0,0,'Données projet'!$E$10+1,1))-AVERAGE(OFFSET($H$3,0,0,'Données projet'!$E$10+1,1))</f>
        <v>414.29294334114661</v>
      </c>
      <c r="AO43" s="62">
        <f t="shared" si="36"/>
        <v>178.72086185623849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93</v>
      </c>
      <c r="BB43" s="13">
        <f>VLOOKUP(A43,'Données projet'!$A$87:$I$107,9,0)</f>
        <v>5.4</v>
      </c>
      <c r="BC43" s="13">
        <f t="array" ref="BC43">INDEX(BB:BB,MIN(IF(ISNUMBER(BB43:BB239),ROW(BB43:BB239),"")))</f>
        <v>5.4</v>
      </c>
      <c r="BD43" s="13">
        <f>IF('Données projet'!$A$88&gt;35,BD42+BC43-BL42,IF(A43&lt;'Données projet'!$A$88,$BA$205^A43,IF(A43='Données projet'!$A$88,'Données projet'!$B$88,BD42+BC43-BL42)))</f>
        <v>93.000000000000014</v>
      </c>
      <c r="BE43" s="14">
        <f>BD43*VLOOKUP('Données projet'!$B$11,Paramètres!$A$1:$I$89,3,0)*VLOOKUP('Données projet'!$B$11,Paramètres!$A$1:$I$89,5,0)</f>
        <v>100.10520000000001</v>
      </c>
      <c r="BF43" s="14">
        <f t="shared" si="37"/>
        <v>26.987058463795307</v>
      </c>
      <c r="BG43" s="22">
        <f t="shared" si="7"/>
        <v>221.35235015777684</v>
      </c>
      <c r="BH43" s="62">
        <f t="shared" si="8"/>
        <v>469.16536397689765</v>
      </c>
      <c r="BI43" s="62">
        <f ca="1">AVERAGE(OFFSET($BH$3,0,0,'Données projet'!$E$11+1,1))-AVERAGE(OFFSET($H$3,0,0,'Données projet'!$E$11+1,1))</f>
        <v>434.74983403680108</v>
      </c>
      <c r="BJ43" s="62">
        <f t="shared" si="38"/>
        <v>186.0840067781198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100</v>
      </c>
      <c r="BW43" s="13">
        <f>VLOOKUP(A43,'Données projet'!$A$113:$I$133,9,0)</f>
        <v>5.1282051282051269</v>
      </c>
      <c r="BX43" s="13">
        <f t="array" ref="BX43">INDEX(BW:BW,MIN(IF(ISNUMBER(BW43:BW239),ROW(BW43:BW239),"")))</f>
        <v>5.1282051282051269</v>
      </c>
      <c r="BY43" s="13">
        <f>IF('Données projet'!$A$114&gt;35,BY42+BX43-CG42,IF(A43&lt;'Données projet'!$A$114,$BV$205^A43,IF(A43='Données projet'!$A$114,'Données projet'!$B$114,BY42+BX43-CG42)))</f>
        <v>100</v>
      </c>
      <c r="BZ43" s="14">
        <f>BY43*VLOOKUP('Données projet'!$B$12,Paramètres!$A$1:$I$89,3,0)*VLOOKUP('Données projet'!$B$12,Paramètres!$A$1:$I$89,5,0)</f>
        <v>85.800000000000011</v>
      </c>
      <c r="CA43" s="14">
        <f t="shared" si="39"/>
        <v>23.549485995669766</v>
      </c>
      <c r="CB43" s="22">
        <f t="shared" si="10"/>
        <v>190.45035477579154</v>
      </c>
      <c r="CC43" s="62">
        <f t="shared" si="11"/>
        <v>438.26336859491232</v>
      </c>
      <c r="CD43" s="62">
        <f ca="1">AVERAGE(OFFSET($CC$3,0,0,'Données projet'!$E$12+1,1))-AVERAGE(OFFSET($H$3,0,0,'Données projet'!$E$12+1,1))</f>
        <v>288.24759203983547</v>
      </c>
      <c r="CE43" s="62">
        <f t="shared" si="40"/>
        <v>188.86613033148794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100</v>
      </c>
      <c r="CR43" s="13">
        <f>VLOOKUP(A43,'Données projet'!$A$139:$I$159,9,0)</f>
        <v>5.1282051282051269</v>
      </c>
      <c r="CS43" s="13">
        <f t="array" ref="CS43">INDEX(CR:CR,MIN(IF(ISNUMBER(CR43:CR239),ROW(CR43:CR239),"")))</f>
        <v>5.1282051282051269</v>
      </c>
      <c r="CT43" s="13">
        <f>IF('Données projet'!$A$140&gt;35,CT42+CS43-DB42,IF(A43&lt;'Données projet'!$A$140,$CQ$205^A43,IF(A43='Données projet'!$A$140,'Données projet'!$B$140,CT42+CS43-DB42)))</f>
        <v>100</v>
      </c>
      <c r="CU43" s="18">
        <f>CT43*VLOOKUP('Données projet'!$B$13,Paramètres!$A$1:$I$89,3,0)*VLOOKUP('Données projet'!$B$13,Paramètres!$A$1:$I$89,5,0)</f>
        <v>67.08</v>
      </c>
      <c r="CV43" s="14">
        <f t="shared" si="41"/>
        <v>18.946530238513894</v>
      </c>
      <c r="CW43" s="22">
        <f t="shared" si="13"/>
        <v>149.82954016541169</v>
      </c>
      <c r="CX43" s="62">
        <f t="shared" si="14"/>
        <v>397.64255398453247</v>
      </c>
      <c r="CY43" s="62">
        <f ca="1">AVERAGE(OFFSET($CX$3,0,0,'Données projet'!$E$13+1,1))-AVERAGE(OFFSET($H$3,0,0,'Données projet'!$E$13+1,1))</f>
        <v>240.40157928925146</v>
      </c>
      <c r="CZ43" s="62">
        <f t="shared" si="42"/>
        <v>160.5013084380258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93</v>
      </c>
      <c r="DM43" s="13">
        <f>VLOOKUP(A43,'Données projet'!$A$165:$I$185,9,0)</f>
        <v>5.4</v>
      </c>
      <c r="DN43" s="13">
        <f t="array" ref="DN43">INDEX(DM:DM,MIN(IF(ISNUMBER(DM43:DM239),ROW(DM43:DM239),"")))</f>
        <v>5.4</v>
      </c>
      <c r="DO43" s="13">
        <f>IF('Données projet'!$A$166&gt;35,DO42+DN43-DW42,IF(A43&lt;'Données projet'!$A$166,$DL$205^A43,IF(A43='Données projet'!$A$166,'Données projet'!$B$166,DO42+DN43-DW42)))</f>
        <v>93.000000000000014</v>
      </c>
      <c r="DP43" s="18">
        <f>DO43*VLOOKUP('Données projet'!$B$14,Paramètres!$A$1:$I$89,3,0)*VLOOKUP('Données projet'!$B$14,Paramètres!$A$1:$I$89,5,0)</f>
        <v>89.949600000000018</v>
      </c>
      <c r="DQ43" s="14">
        <f t="shared" si="43"/>
        <v>24.553069331291834</v>
      </c>
      <c r="DR43" s="22">
        <f t="shared" si="16"/>
        <v>199.42548241866663</v>
      </c>
      <c r="DS43" s="62">
        <f t="shared" si="17"/>
        <v>447.23849623778744</v>
      </c>
      <c r="DT43" s="62">
        <f ca="1">AVERAGE(OFFSET($DS$3,0,0,'Données projet'!$E$14+1,1))-AVERAGE(OFFSET($H$3,0,0,'Données projet'!$E$14+1,1))</f>
        <v>398.93296311353788</v>
      </c>
      <c r="DU43" s="62">
        <f t="shared" si="44"/>
        <v>173.19148969173838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109</v>
      </c>
      <c r="EH43" s="13">
        <f>VLOOKUP(A43,'Données projet'!$A$191:$I$211,9,0)</f>
        <v>5.6</v>
      </c>
      <c r="EI43" s="13">
        <f t="array" ref="EI43">INDEX(EH:EH,MIN(IF(ISNUMBER(EH43:EH239),ROW(EH43:EH239),"")))</f>
        <v>5.6</v>
      </c>
      <c r="EJ43" s="13">
        <f>IF('Données projet'!$A$192&gt;35,EJ42+EI43-ER42,IF(A43&lt;'Données projet'!$A$192,$EG$205^A43,IF(A43='Données projet'!$A$192,'Données projet'!$B$192,EJ42+EI43-ER42)))</f>
        <v>108.99999999999996</v>
      </c>
      <c r="EK43" s="18">
        <f>EJ43*VLOOKUP('Données projet'!$B$15,Paramètres!$A$1:$I$89,3,0)*VLOOKUP('Données projet'!$B$15,Paramètres!$A$1:$I$89,5,0)</f>
        <v>95.222399999999979</v>
      </c>
      <c r="EL43" s="14">
        <f t="shared" si="45"/>
        <v>25.820577666484969</v>
      </c>
      <c r="EM43" s="22">
        <f t="shared" si="19"/>
        <v>210.81651943579459</v>
      </c>
      <c r="EN43" s="62">
        <f t="shared" si="20"/>
        <v>458.62953325491537</v>
      </c>
      <c r="EO43" s="62">
        <f ca="1">AVERAGE(OFFSET($EN$3,0,0,'Données projet'!$E$15+1,1))-AVERAGE(OFFSET($H$3,0,0,'Données projet'!$E$15+1,1))</f>
        <v>226.37420733783091</v>
      </c>
      <c r="EP43" s="62">
        <f t="shared" si="46"/>
        <v>204.10961748628714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6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9">
        <f t="shared" si="1"/>
        <v>183.33333333333334</v>
      </c>
      <c r="I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7.7333333333333334</v>
      </c>
      <c r="N44" s="14">
        <f>IF('Données projet'!$A$36&gt;35,N43+M44-V43,IF(A44&lt;'Données projet'!$A$36,$K$205^A44,IF(A44='Données projet'!$A$36,'Données projet'!$B$36,N43+M44-V43)))</f>
        <v>142.06666666666666</v>
      </c>
      <c r="O44" s="14">
        <f>N44*VLOOKUP('Données projet'!$B$9,Paramètres!$A$1:$I$89,3,0)*VLOOKUP('Données projet'!$B$9,Paramètres!$A$1:$I$89,5,0)</f>
        <v>83.109000000000009</v>
      </c>
      <c r="P44" s="14">
        <f t="shared" si="33"/>
        <v>22.89565581434076</v>
      </c>
      <c r="Q44" s="22">
        <f t="shared" si="53"/>
        <v>184.62477554331016</v>
      </c>
      <c r="R44" s="62">
        <f t="shared" si="0"/>
        <v>433.22746513781414</v>
      </c>
      <c r="S44" s="62">
        <f ca="1">AVERAGE(OFFSET($R$3,0,0,'Données projet'!$E$9+1,1))-AVERAGE(OFFSET($H$3,0,0,'Données projet'!$E$9+1,1))</f>
        <v>196.48726929442091</v>
      </c>
      <c r="T44" s="62">
        <f t="shared" si="34"/>
        <v>193.28400454669347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0.35126725818280707</v>
      </c>
      <c r="AC44" s="24">
        <f t="shared" si="3"/>
        <v>0.35126725818280707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5.6</v>
      </c>
      <c r="AI44" s="14">
        <f>IF('Données projet'!$A$62&gt;35,AI43+AH44-AQ43,IF(A44&lt;'Données projet'!$A$62,$AF$205^A44,IF(A44='Données projet'!$A$62,'Données projet'!$B$62,AI43+AH44-AQ43)))</f>
        <v>98.600000000000009</v>
      </c>
      <c r="AJ44" s="14">
        <f>AI44*VLOOKUP('Données projet'!$B$10,Paramètres!$A$1:$I$89,3,0)*VLOOKUP('Données projet'!$B$10,Paramètres!$A$1:$I$89,5,0)</f>
        <v>99.980400000000003</v>
      </c>
      <c r="AK44" s="14">
        <f t="shared" si="35"/>
        <v>26.957328065359373</v>
      </c>
      <c r="AL44" s="22">
        <f t="shared" si="4"/>
        <v>221.08320971383424</v>
      </c>
      <c r="AM44" s="62">
        <f t="shared" si="5"/>
        <v>469.68589930833821</v>
      </c>
      <c r="AN44" s="62">
        <f ca="1">AVERAGE(OFFSET($AM$3,0,0,'Données projet'!$E$10+1,1))-AVERAGE(OFFSET($H$3,0,0,'Données projet'!$E$10+1,1))</f>
        <v>414.29294334114661</v>
      </c>
      <c r="AO44" s="62">
        <f t="shared" si="36"/>
        <v>178.72086185623849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5.6</v>
      </c>
      <c r="BD44" s="13">
        <f>IF('Données projet'!$A$88&gt;35,BD43+BC44-BL43,IF(A44&lt;'Données projet'!$A$88,$BA$205^A44,IF(A44='Données projet'!$A$88,'Données projet'!$B$88,BD43+BC44-BL43)))</f>
        <v>98.600000000000009</v>
      </c>
      <c r="BE44" s="14">
        <f>BD44*VLOOKUP('Données projet'!$B$11,Paramètres!$A$1:$I$89,3,0)*VLOOKUP('Données projet'!$B$11,Paramètres!$A$1:$I$89,5,0)</f>
        <v>106.13304000000001</v>
      </c>
      <c r="BF44" s="14">
        <f t="shared" si="37"/>
        <v>28.418009728368016</v>
      </c>
      <c r="BG44" s="22">
        <f t="shared" si="7"/>
        <v>234.34307827690762</v>
      </c>
      <c r="BH44" s="62">
        <f t="shared" si="8"/>
        <v>482.94576787141159</v>
      </c>
      <c r="BI44" s="62">
        <f ca="1">AVERAGE(OFFSET($BH$3,0,0,'Données projet'!$E$11+1,1))-AVERAGE(OFFSET($H$3,0,0,'Données projet'!$E$11+1,1))</f>
        <v>434.74983403680108</v>
      </c>
      <c r="BJ44" s="62">
        <f t="shared" si="38"/>
        <v>186.0840067781198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4.8717948717948705</v>
      </c>
      <c r="BY44" s="13">
        <f>IF('Données projet'!$A$114&gt;35,BY43+BX44-CG43,IF(A44&lt;'Données projet'!$A$114,$BV$205^A44,IF(A44='Données projet'!$A$114,'Données projet'!$B$114,BY43+BX44-CG43)))</f>
        <v>104.87179487179488</v>
      </c>
      <c r="BZ44" s="14">
        <f>BY44*VLOOKUP('Données projet'!$B$12,Paramètres!$A$1:$I$89,3,0)*VLOOKUP('Données projet'!$B$12,Paramètres!$A$1:$I$89,5,0)</f>
        <v>89.980000000000018</v>
      </c>
      <c r="CA44" s="14">
        <f t="shared" si="39"/>
        <v>24.560401413119088</v>
      </c>
      <c r="CB44" s="22">
        <f t="shared" si="10"/>
        <v>199.49119912784909</v>
      </c>
      <c r="CC44" s="62">
        <f t="shared" si="11"/>
        <v>448.09388872235309</v>
      </c>
      <c r="CD44" s="62">
        <f ca="1">AVERAGE(OFFSET($CC$3,0,0,'Données projet'!$E$12+1,1))-AVERAGE(OFFSET($H$3,0,0,'Données projet'!$E$12+1,1))</f>
        <v>288.24759203983547</v>
      </c>
      <c r="CE44" s="62">
        <f t="shared" si="40"/>
        <v>188.86613033148794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4.8717948717948705</v>
      </c>
      <c r="CT44" s="13">
        <f>IF('Données projet'!$A$140&gt;35,CT43+CS44-DB43,IF(A44&lt;'Données projet'!$A$140,$CQ$205^A44,IF(A44='Données projet'!$A$140,'Données projet'!$B$140,CT43+CS44-DB43)))</f>
        <v>104.87179487179488</v>
      </c>
      <c r="CU44" s="18">
        <f>CT44*VLOOKUP('Données projet'!$B$13,Paramètres!$A$1:$I$89,3,0)*VLOOKUP('Données projet'!$B$13,Paramètres!$A$1:$I$89,5,0)</f>
        <v>70.347999999999999</v>
      </c>
      <c r="CV44" s="14">
        <f t="shared" si="41"/>
        <v>19.75985327787048</v>
      </c>
      <c r="CW44" s="22">
        <f t="shared" si="13"/>
        <v>156.93784445895773</v>
      </c>
      <c r="CX44" s="62">
        <f t="shared" si="14"/>
        <v>405.54053405346167</v>
      </c>
      <c r="CY44" s="62">
        <f ca="1">AVERAGE(OFFSET($CX$3,0,0,'Données projet'!$E$13+1,1))-AVERAGE(OFFSET($H$3,0,0,'Données projet'!$E$13+1,1))</f>
        <v>240.40157928925146</v>
      </c>
      <c r="CZ44" s="62">
        <f t="shared" si="42"/>
        <v>160.5013084380258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5.6</v>
      </c>
      <c r="DO44" s="13">
        <f>IF('Données projet'!$A$166&gt;35,DO43+DN44-DW43,IF(A44&lt;'Données projet'!$A$166,$DL$205^A44,IF(A44='Données projet'!$A$166,'Données projet'!$B$166,DO43+DN44-DW43)))</f>
        <v>98.600000000000009</v>
      </c>
      <c r="DP44" s="18">
        <f>DO44*VLOOKUP('Données projet'!$B$14,Paramètres!$A$1:$I$89,3,0)*VLOOKUP('Données projet'!$B$14,Paramètres!$A$1:$I$89,5,0)</f>
        <v>95.365920000000017</v>
      </c>
      <c r="DQ44" s="14">
        <f t="shared" si="43"/>
        <v>25.854961705219438</v>
      </c>
      <c r="DR44" s="22">
        <f t="shared" si="16"/>
        <v>211.12636896992387</v>
      </c>
      <c r="DS44" s="62">
        <f t="shared" si="17"/>
        <v>459.72905856442787</v>
      </c>
      <c r="DT44" s="62">
        <f ca="1">AVERAGE(OFFSET($DS$3,0,0,'Données projet'!$E$14+1,1))-AVERAGE(OFFSET($H$3,0,0,'Données projet'!$E$14+1,1))</f>
        <v>398.93296311353788</v>
      </c>
      <c r="DU44" s="62">
        <f t="shared" si="44"/>
        <v>173.19148969173838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5</v>
      </c>
      <c r="EJ44" s="13">
        <f>IF('Données projet'!$A$192&gt;35,EJ43+EI44-ER43,IF(A44&lt;'Données projet'!$A$192,$EG$205^A44,IF(A44='Données projet'!$A$192,'Données projet'!$B$192,EJ43+EI44-ER43)))</f>
        <v>113.99999999999996</v>
      </c>
      <c r="EK44" s="18">
        <f>EJ44*VLOOKUP('Données projet'!$B$15,Paramètres!$A$1:$I$89,3,0)*VLOOKUP('Données projet'!$B$15,Paramètres!$A$1:$I$89,5,0)</f>
        <v>99.590399999999974</v>
      </c>
      <c r="EL44" s="14">
        <f t="shared" si="45"/>
        <v>26.864392698869324</v>
      </c>
      <c r="EM44" s="22">
        <f t="shared" si="19"/>
        <v>220.24209728386401</v>
      </c>
      <c r="EN44" s="62">
        <f t="shared" si="20"/>
        <v>468.84478687836798</v>
      </c>
      <c r="EO44" s="62">
        <f ca="1">AVERAGE(OFFSET($EN$3,0,0,'Données projet'!$E$15+1,1))-AVERAGE(OFFSET($H$3,0,0,'Données projet'!$E$15+1,1))</f>
        <v>226.37420733783091</v>
      </c>
      <c r="EP44" s="62">
        <f t="shared" si="46"/>
        <v>204.10961748628714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6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9">
        <f t="shared" si="1"/>
        <v>183.33333333333334</v>
      </c>
      <c r="I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7.7333333333333334</v>
      </c>
      <c r="N45" s="14">
        <f>IF('Données projet'!$A$36&gt;35,N44+M45-V44,IF(A45&lt;'Données projet'!$A$36,$K$205^A45,IF(A45='Données projet'!$A$36,'Données projet'!$B$36,N44+M45-V44)))</f>
        <v>149.79999999999998</v>
      </c>
      <c r="O45" s="14">
        <f>N45*VLOOKUP('Données projet'!$B$9,Paramètres!$A$1:$I$89,3,0)*VLOOKUP('Données projet'!$B$9,Paramètres!$A$1:$I$89,5,0)</f>
        <v>87.632999999999996</v>
      </c>
      <c r="P45" s="14">
        <f t="shared" si="33"/>
        <v>23.993479120430013</v>
      </c>
      <c r="Q45" s="22">
        <f t="shared" si="53"/>
        <v>194.41611780141557</v>
      </c>
      <c r="R45" s="62">
        <f t="shared" si="0"/>
        <v>443.79478406205033</v>
      </c>
      <c r="S45" s="62">
        <f ca="1">AVERAGE(OFFSET($R$3,0,0,'Données projet'!$E$9+1,1))-AVERAGE(OFFSET($H$3,0,0,'Données projet'!$E$9+1,1))</f>
        <v>196.48726929442091</v>
      </c>
      <c r="T45" s="62">
        <f t="shared" si="34"/>
        <v>193.28400454669347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0.24838346026986868</v>
      </c>
      <c r="AC45" s="24">
        <f t="shared" si="3"/>
        <v>0.24838346026986868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5.6</v>
      </c>
      <c r="AI45" s="14">
        <f>IF('Données projet'!$A$62&gt;35,AI44+AH45-AQ44,IF(A45&lt;'Données projet'!$A$62,$AF$205^A45,IF(A45='Données projet'!$A$62,'Données projet'!$B$62,AI44+AH45-AQ44)))</f>
        <v>104.2</v>
      </c>
      <c r="AJ45" s="14">
        <f>AI45*VLOOKUP('Données projet'!$B$10,Paramètres!$A$1:$I$89,3,0)*VLOOKUP('Données projet'!$B$10,Paramètres!$A$1:$I$89,5,0)</f>
        <v>105.65880000000001</v>
      </c>
      <c r="AK45" s="14">
        <f t="shared" si="35"/>
        <v>28.305779445097876</v>
      </c>
      <c r="AL45" s="22">
        <f t="shared" si="4"/>
        <v>233.32164253354549</v>
      </c>
      <c r="AM45" s="62">
        <f t="shared" si="5"/>
        <v>482.70030879418022</v>
      </c>
      <c r="AN45" s="62">
        <f ca="1">AVERAGE(OFFSET($AM$3,0,0,'Données projet'!$E$10+1,1))-AVERAGE(OFFSET($H$3,0,0,'Données projet'!$E$10+1,1))</f>
        <v>414.29294334114661</v>
      </c>
      <c r="AO45" s="62">
        <f t="shared" si="36"/>
        <v>178.72086185623849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5.6</v>
      </c>
      <c r="BD45" s="13">
        <f>IF('Données projet'!$A$88&gt;35,BD44+BC45-BL44,IF(A45&lt;'Données projet'!$A$88,$BA$205^A45,IF(A45='Données projet'!$A$88,'Données projet'!$B$88,BD44+BC45-BL44)))</f>
        <v>104.2</v>
      </c>
      <c r="BE45" s="14">
        <f>BD45*VLOOKUP('Données projet'!$B$11,Paramètres!$A$1:$I$89,3,0)*VLOOKUP('Données projet'!$B$11,Paramètres!$A$1:$I$89,5,0)</f>
        <v>112.16087999999999</v>
      </c>
      <c r="BF45" s="14">
        <f t="shared" si="37"/>
        <v>29.839526888181876</v>
      </c>
      <c r="BG45" s="22">
        <f t="shared" si="7"/>
        <v>247.31737533025003</v>
      </c>
      <c r="BH45" s="62">
        <f t="shared" si="8"/>
        <v>496.69604159088476</v>
      </c>
      <c r="BI45" s="62">
        <f ca="1">AVERAGE(OFFSET($BH$3,0,0,'Données projet'!$E$11+1,1))-AVERAGE(OFFSET($H$3,0,0,'Données projet'!$E$11+1,1))</f>
        <v>434.74983403680108</v>
      </c>
      <c r="BJ45" s="62">
        <f t="shared" si="38"/>
        <v>186.0840067781198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4.8717948717948705</v>
      </c>
      <c r="BY45" s="13">
        <f>IF('Données projet'!$A$114&gt;35,BY44+BX45-CG44,IF(A45&lt;'Données projet'!$A$114,$BV$205^A45,IF(A45='Données projet'!$A$114,'Données projet'!$B$114,BY44+BX45-CG44)))</f>
        <v>109.74358974358975</v>
      </c>
      <c r="BZ45" s="14">
        <f>BY45*VLOOKUP('Données projet'!$B$12,Paramètres!$A$1:$I$89,3,0)*VLOOKUP('Données projet'!$B$12,Paramètres!$A$1:$I$89,5,0)</f>
        <v>94.160000000000011</v>
      </c>
      <c r="CA45" s="14">
        <f t="shared" si="39"/>
        <v>25.565863153712979</v>
      </c>
      <c r="CB45" s="22">
        <f t="shared" si="10"/>
        <v>208.5225449927168</v>
      </c>
      <c r="CC45" s="62">
        <f t="shared" si="11"/>
        <v>457.90121125335156</v>
      </c>
      <c r="CD45" s="62">
        <f ca="1">AVERAGE(OFFSET($CC$3,0,0,'Données projet'!$E$12+1,1))-AVERAGE(OFFSET($H$3,0,0,'Données projet'!$E$12+1,1))</f>
        <v>288.24759203983547</v>
      </c>
      <c r="CE45" s="62">
        <f t="shared" si="40"/>
        <v>188.86613033148794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4.8717948717948705</v>
      </c>
      <c r="CT45" s="13">
        <f>IF('Données projet'!$A$140&gt;35,CT44+CS45-DB44,IF(A45&lt;'Données projet'!$A$140,$CQ$205^A45,IF(A45='Données projet'!$A$140,'Données projet'!$B$140,CT44+CS45-DB44)))</f>
        <v>109.74358974358975</v>
      </c>
      <c r="CU45" s="18">
        <f>CT45*VLOOKUP('Données projet'!$B$13,Paramètres!$A$1:$I$89,3,0)*VLOOKUP('Données projet'!$B$13,Paramètres!$A$1:$I$89,5,0)</f>
        <v>73.616000000000014</v>
      </c>
      <c r="CV45" s="14">
        <f t="shared" si="41"/>
        <v>20.568788609849012</v>
      </c>
      <c r="CW45" s="22">
        <f t="shared" si="13"/>
        <v>164.03850682882037</v>
      </c>
      <c r="CX45" s="62">
        <f t="shared" si="14"/>
        <v>413.4171730894551</v>
      </c>
      <c r="CY45" s="62">
        <f ca="1">AVERAGE(OFFSET($CX$3,0,0,'Données projet'!$E$13+1,1))-AVERAGE(OFFSET($H$3,0,0,'Données projet'!$E$13+1,1))</f>
        <v>240.40157928925146</v>
      </c>
      <c r="CZ45" s="62">
        <f t="shared" si="42"/>
        <v>160.5013084380258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5.6</v>
      </c>
      <c r="DO45" s="13">
        <f>IF('Données projet'!$A$166&gt;35,DO44+DN45-DW44,IF(A45&lt;'Données projet'!$A$166,$DL$205^A45,IF(A45='Données projet'!$A$166,'Données projet'!$B$166,DO44+DN45-DW44)))</f>
        <v>104.2</v>
      </c>
      <c r="DP45" s="18">
        <f>DO45*VLOOKUP('Données projet'!$B$14,Paramètres!$A$1:$I$89,3,0)*VLOOKUP('Données projet'!$B$14,Paramètres!$A$1:$I$89,5,0)</f>
        <v>100.78224</v>
      </c>
      <c r="DQ45" s="14">
        <f t="shared" si="43"/>
        <v>27.148270845500655</v>
      </c>
      <c r="DR45" s="22">
        <f t="shared" si="16"/>
        <v>222.81230638924697</v>
      </c>
      <c r="DS45" s="62">
        <f t="shared" si="17"/>
        <v>472.1909726498817</v>
      </c>
      <c r="DT45" s="62">
        <f ca="1">AVERAGE(OFFSET($DS$3,0,0,'Données projet'!$E$14+1,1))-AVERAGE(OFFSET($H$3,0,0,'Données projet'!$E$14+1,1))</f>
        <v>398.93296311353788</v>
      </c>
      <c r="DU45" s="62">
        <f t="shared" si="44"/>
        <v>173.19148969173838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5</v>
      </c>
      <c r="EJ45" s="13">
        <f>IF('Données projet'!$A$192&gt;35,EJ44+EI45-ER44,IF(A45&lt;'Données projet'!$A$192,$EG$205^A45,IF(A45='Données projet'!$A$192,'Données projet'!$B$192,EJ44+EI45-ER44)))</f>
        <v>118.99999999999996</v>
      </c>
      <c r="EK45" s="18">
        <f>EJ45*VLOOKUP('Données projet'!$B$15,Paramètres!$A$1:$I$89,3,0)*VLOOKUP('Données projet'!$B$15,Paramètres!$A$1:$I$89,5,0)</f>
        <v>103.95839999999998</v>
      </c>
      <c r="EL45" s="14">
        <f t="shared" si="45"/>
        <v>27.902890560352166</v>
      </c>
      <c r="EM45" s="22">
        <f t="shared" si="19"/>
        <v>229.65841439261331</v>
      </c>
      <c r="EN45" s="62">
        <f t="shared" si="20"/>
        <v>479.03708065324804</v>
      </c>
      <c r="EO45" s="62">
        <f ca="1">AVERAGE(OFFSET($EN$3,0,0,'Données projet'!$E$15+1,1))-AVERAGE(OFFSET($H$3,0,0,'Données projet'!$E$15+1,1))</f>
        <v>226.37420733783091</v>
      </c>
      <c r="EP45" s="62">
        <f t="shared" si="46"/>
        <v>204.10961748628714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6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9">
        <f t="shared" si="1"/>
        <v>183.33333333333334</v>
      </c>
      <c r="I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7.7333333333333334</v>
      </c>
      <c r="N46" s="14">
        <f>IF('Données projet'!$A$36&gt;35,N45+M46-V45,IF(A46&lt;'Données projet'!$A$36,$K$205^A46,IF(A46='Données projet'!$A$36,'Données projet'!$B$36,N45+M46-V45)))</f>
        <v>157.5333333333333</v>
      </c>
      <c r="O46" s="14">
        <f>N46*VLOOKUP('Données projet'!$B$9,Paramètres!$A$1:$I$89,3,0)*VLOOKUP('Données projet'!$B$9,Paramètres!$A$1:$I$89,5,0)</f>
        <v>92.156999999999982</v>
      </c>
      <c r="P46" s="14">
        <f t="shared" si="33"/>
        <v>25.084722215206735</v>
      </c>
      <c r="Q46" s="22">
        <f t="shared" si="53"/>
        <v>204.19599952481835</v>
      </c>
      <c r="R46" s="62">
        <f t="shared" si="0"/>
        <v>454.33718099125042</v>
      </c>
      <c r="S46" s="62">
        <f ca="1">AVERAGE(OFFSET($R$3,0,0,'Données projet'!$E$9+1,1))-AVERAGE(OFFSET($H$3,0,0,'Données projet'!$E$9+1,1))</f>
        <v>196.48726929442091</v>
      </c>
      <c r="T46" s="62">
        <f t="shared" si="34"/>
        <v>193.28400454669347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0.17563362909140356</v>
      </c>
      <c r="AC46" s="24">
        <f t="shared" si="3"/>
        <v>0.17563362909140356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5.6</v>
      </c>
      <c r="AI46" s="14">
        <f>IF('Données projet'!$A$62&gt;35,AI45+AH46-AQ45,IF(A46&lt;'Données projet'!$A$62,$AF$205^A46,IF(A46='Données projet'!$A$62,'Données projet'!$B$62,AI45+AH46-AQ45)))</f>
        <v>109.8</v>
      </c>
      <c r="AJ46" s="14">
        <f>AI46*VLOOKUP('Données projet'!$B$10,Paramètres!$A$1:$I$89,3,0)*VLOOKUP('Données projet'!$B$10,Paramètres!$A$1:$I$89,5,0)</f>
        <v>111.33720000000001</v>
      </c>
      <c r="AK46" s="14">
        <f t="shared" si="35"/>
        <v>29.645817422905342</v>
      </c>
      <c r="AL46" s="22">
        <f t="shared" si="4"/>
        <v>245.54542201156013</v>
      </c>
      <c r="AM46" s="62">
        <f t="shared" si="5"/>
        <v>495.68660347799221</v>
      </c>
      <c r="AN46" s="62">
        <f ca="1">AVERAGE(OFFSET($AM$3,0,0,'Données projet'!$E$10+1,1))-AVERAGE(OFFSET($H$3,0,0,'Données projet'!$E$10+1,1))</f>
        <v>414.29294334114661</v>
      </c>
      <c r="AO46" s="62">
        <f t="shared" si="36"/>
        <v>178.72086185623849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5.6</v>
      </c>
      <c r="BD46" s="13">
        <f>IF('Données projet'!$A$88&gt;35,BD45+BC46-BL45,IF(A46&lt;'Données projet'!$A$88,$BA$205^A46,IF(A46='Données projet'!$A$88,'Données projet'!$B$88,BD45+BC46-BL45)))</f>
        <v>109.8</v>
      </c>
      <c r="BE46" s="14">
        <f>BD46*VLOOKUP('Données projet'!$B$11,Paramètres!$A$1:$I$89,3,0)*VLOOKUP('Données projet'!$B$11,Paramètres!$A$1:$I$89,5,0)</f>
        <v>118.18871999999999</v>
      </c>
      <c r="BF46" s="14">
        <f t="shared" si="37"/>
        <v>31.252174766242543</v>
      </c>
      <c r="BG46" s="22">
        <f t="shared" si="7"/>
        <v>260.27622505120576</v>
      </c>
      <c r="BH46" s="62">
        <f t="shared" si="8"/>
        <v>510.4174065176378</v>
      </c>
      <c r="BI46" s="62">
        <f ca="1">AVERAGE(OFFSET($BH$3,0,0,'Données projet'!$E$11+1,1))-AVERAGE(OFFSET($H$3,0,0,'Données projet'!$E$11+1,1))</f>
        <v>434.74983403680108</v>
      </c>
      <c r="BJ46" s="62">
        <f t="shared" si="38"/>
        <v>186.0840067781198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4.8717948717948705</v>
      </c>
      <c r="BY46" s="13">
        <f>IF('Données projet'!$A$114&gt;35,BY45+BX46-CG45,IF(A46&lt;'Données projet'!$A$114,$BV$205^A46,IF(A46='Données projet'!$A$114,'Données projet'!$B$114,BY45+BX46-CG45)))</f>
        <v>114.61538461538463</v>
      </c>
      <c r="BZ46" s="14">
        <f>BY46*VLOOKUP('Données projet'!$B$12,Paramètres!$A$1:$I$89,3,0)*VLOOKUP('Données projet'!$B$12,Paramètres!$A$1:$I$89,5,0)</f>
        <v>98.340000000000018</v>
      </c>
      <c r="CA46" s="14">
        <f t="shared" si="39"/>
        <v>26.566140984504099</v>
      </c>
      <c r="CB46" s="22">
        <f t="shared" si="10"/>
        <v>217.54486221467801</v>
      </c>
      <c r="CC46" s="62">
        <f t="shared" si="11"/>
        <v>467.68604368111005</v>
      </c>
      <c r="CD46" s="62">
        <f ca="1">AVERAGE(OFFSET($CC$3,0,0,'Données projet'!$E$12+1,1))-AVERAGE(OFFSET($H$3,0,0,'Données projet'!$E$12+1,1))</f>
        <v>288.24759203983547</v>
      </c>
      <c r="CE46" s="62">
        <f t="shared" si="40"/>
        <v>188.86613033148794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4.8717948717948705</v>
      </c>
      <c r="CT46" s="13">
        <f>IF('Données projet'!$A$140&gt;35,CT45+CS46-DB45,IF(A46&lt;'Données projet'!$A$140,$CQ$205^A46,IF(A46='Données projet'!$A$140,'Données projet'!$B$140,CT45+CS46-DB45)))</f>
        <v>114.61538461538463</v>
      </c>
      <c r="CU46" s="18">
        <f>CT46*VLOOKUP('Données projet'!$B$13,Paramètres!$A$1:$I$89,3,0)*VLOOKUP('Données projet'!$B$13,Paramètres!$A$1:$I$89,5,0)</f>
        <v>76.884000000000015</v>
      </c>
      <c r="CV46" s="14">
        <f t="shared" si="41"/>
        <v>21.373553273140775</v>
      </c>
      <c r="CW46" s="22">
        <f t="shared" si="13"/>
        <v>171.13190528405354</v>
      </c>
      <c r="CX46" s="62">
        <f t="shared" si="14"/>
        <v>421.27308675048562</v>
      </c>
      <c r="CY46" s="62">
        <f ca="1">AVERAGE(OFFSET($CX$3,0,0,'Données projet'!$E$13+1,1))-AVERAGE(OFFSET($H$3,0,0,'Données projet'!$E$13+1,1))</f>
        <v>240.40157928925146</v>
      </c>
      <c r="CZ46" s="62">
        <f t="shared" si="42"/>
        <v>160.5013084380258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5.6</v>
      </c>
      <c r="DO46" s="13">
        <f>IF('Données projet'!$A$166&gt;35,DO45+DN46-DW45,IF(A46&lt;'Données projet'!$A$166,$DL$205^A46,IF(A46='Données projet'!$A$166,'Données projet'!$B$166,DO45+DN46-DW45)))</f>
        <v>109.8</v>
      </c>
      <c r="DP46" s="18">
        <f>DO46*VLOOKUP('Données projet'!$B$14,Paramètres!$A$1:$I$89,3,0)*VLOOKUP('Données projet'!$B$14,Paramètres!$A$1:$I$89,5,0)</f>
        <v>106.19855999999999</v>
      </c>
      <c r="DQ46" s="14">
        <f t="shared" si="43"/>
        <v>28.433510633203252</v>
      </c>
      <c r="DR46" s="22">
        <f t="shared" si="16"/>
        <v>234.48418968616227</v>
      </c>
      <c r="DS46" s="62">
        <f t="shared" si="17"/>
        <v>484.62537115259431</v>
      </c>
      <c r="DT46" s="62">
        <f ca="1">AVERAGE(OFFSET($DS$3,0,0,'Données projet'!$E$14+1,1))-AVERAGE(OFFSET($H$3,0,0,'Données projet'!$E$14+1,1))</f>
        <v>398.93296311353788</v>
      </c>
      <c r="DU46" s="62">
        <f t="shared" si="44"/>
        <v>173.19148969173838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5</v>
      </c>
      <c r="EJ46" s="13">
        <f>IF('Données projet'!$A$192&gt;35,EJ45+EI46-ER45,IF(A46&lt;'Données projet'!$A$192,$EG$205^A46,IF(A46='Données projet'!$A$192,'Données projet'!$B$192,EJ45+EI46-ER45)))</f>
        <v>123.99999999999996</v>
      </c>
      <c r="EK46" s="18">
        <f>EJ46*VLOOKUP('Données projet'!$B$15,Paramètres!$A$1:$I$89,3,0)*VLOOKUP('Données projet'!$B$15,Paramètres!$A$1:$I$89,5,0)</f>
        <v>108.32639999999998</v>
      </c>
      <c r="EL46" s="14">
        <f t="shared" si="45"/>
        <v>28.936320206966883</v>
      </c>
      <c r="EM46" s="22">
        <f t="shared" si="19"/>
        <v>239.06590436046727</v>
      </c>
      <c r="EN46" s="62">
        <f t="shared" si="20"/>
        <v>489.20708582689929</v>
      </c>
      <c r="EO46" s="62">
        <f ca="1">AVERAGE(OFFSET($EN$3,0,0,'Données projet'!$E$15+1,1))-AVERAGE(OFFSET($H$3,0,0,'Données projet'!$E$15+1,1))</f>
        <v>226.37420733783091</v>
      </c>
      <c r="EP46" s="62">
        <f t="shared" si="46"/>
        <v>204.10961748628714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6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9">
        <f t="shared" si="1"/>
        <v>183.33333333333334</v>
      </c>
      <c r="I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7.7333333333333334</v>
      </c>
      <c r="N47" s="14">
        <f>IF('Données projet'!$A$36&gt;35,N46+M47-V46,IF(A47&lt;'Données projet'!$A$36,$K$205^A47,IF(A47='Données projet'!$A$36,'Données projet'!$B$36,N46+M47-V46)))</f>
        <v>165.26666666666662</v>
      </c>
      <c r="O47" s="14">
        <f>N47*VLOOKUP('Données projet'!$B$9,Paramètres!$A$1:$I$89,3,0)*VLOOKUP('Données projet'!$B$9,Paramètres!$A$1:$I$89,5,0)</f>
        <v>96.680999999999969</v>
      </c>
      <c r="P47" s="14">
        <f t="shared" si="33"/>
        <v>26.169744989660604</v>
      </c>
      <c r="Q47" s="22">
        <f t="shared" si="53"/>
        <v>213.96504752365885</v>
      </c>
      <c r="R47" s="62">
        <f t="shared" si="0"/>
        <v>464.85551626179631</v>
      </c>
      <c r="S47" s="62">
        <f ca="1">AVERAGE(OFFSET($R$3,0,0,'Données projet'!$E$9+1,1))-AVERAGE(OFFSET($H$3,0,0,'Données projet'!$E$9+1,1))</f>
        <v>196.48726929442091</v>
      </c>
      <c r="T47" s="62">
        <f t="shared" si="34"/>
        <v>193.28400454669347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0.12419173013493436</v>
      </c>
      <c r="AC47" s="24">
        <f t="shared" si="3"/>
        <v>0.12419173013493436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5.6</v>
      </c>
      <c r="AI47" s="14">
        <f>IF('Données projet'!$A$62&gt;35,AI46+AH47-AQ46,IF(A47&lt;'Données projet'!$A$62,$AF$205^A47,IF(A47='Données projet'!$A$62,'Données projet'!$B$62,AI46+AH47-AQ46)))</f>
        <v>115.39999999999999</v>
      </c>
      <c r="AJ47" s="14">
        <f>AI47*VLOOKUP('Données projet'!$B$10,Paramètres!$A$1:$I$89,3,0)*VLOOKUP('Données projet'!$B$10,Paramètres!$A$1:$I$89,5,0)</f>
        <v>117.01559999999999</v>
      </c>
      <c r="AK47" s="14">
        <f t="shared" si="35"/>
        <v>30.977920050269788</v>
      </c>
      <c r="AL47" s="22">
        <f t="shared" si="4"/>
        <v>257.75538075421986</v>
      </c>
      <c r="AM47" s="62">
        <f t="shared" si="5"/>
        <v>508.64584949235729</v>
      </c>
      <c r="AN47" s="62">
        <f ca="1">AVERAGE(OFFSET($AM$3,0,0,'Données projet'!$E$10+1,1))-AVERAGE(OFFSET($H$3,0,0,'Données projet'!$E$10+1,1))</f>
        <v>414.29294334114661</v>
      </c>
      <c r="AO47" s="62">
        <f t="shared" si="36"/>
        <v>178.72086185623849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5.6</v>
      </c>
      <c r="BD47" s="13">
        <f>IF('Données projet'!$A$88&gt;35,BD46+BC47-BL46,IF(A47&lt;'Données projet'!$A$88,$BA$205^A47,IF(A47='Données projet'!$A$88,'Données projet'!$B$88,BD46+BC47-BL46)))</f>
        <v>115.39999999999999</v>
      </c>
      <c r="BE47" s="14">
        <f>BD47*VLOOKUP('Données projet'!$B$11,Paramètres!$A$1:$I$89,3,0)*VLOOKUP('Données projet'!$B$11,Paramètres!$A$1:$I$89,5,0)</f>
        <v>124.21655999999999</v>
      </c>
      <c r="BF47" s="14">
        <f t="shared" si="37"/>
        <v>32.656457317237347</v>
      </c>
      <c r="BG47" s="22">
        <f t="shared" si="7"/>
        <v>273.220505160855</v>
      </c>
      <c r="BH47" s="62">
        <f t="shared" si="8"/>
        <v>524.11097389899237</v>
      </c>
      <c r="BI47" s="62">
        <f ca="1">AVERAGE(OFFSET($BH$3,0,0,'Données projet'!$E$11+1,1))-AVERAGE(OFFSET($H$3,0,0,'Données projet'!$E$11+1,1))</f>
        <v>434.74983403680108</v>
      </c>
      <c r="BJ47" s="62">
        <f t="shared" si="38"/>
        <v>186.0840067781198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4.8717948717948705</v>
      </c>
      <c r="BY47" s="13">
        <f>IF('Données projet'!$A$114&gt;35,BY46+BX47-CG46,IF(A47&lt;'Données projet'!$A$114,$BV$205^A47,IF(A47='Données projet'!$A$114,'Données projet'!$B$114,BY46+BX47-CG46)))</f>
        <v>119.4871794871795</v>
      </c>
      <c r="BZ47" s="14">
        <f>BY47*VLOOKUP('Données projet'!$B$12,Paramètres!$A$1:$I$89,3,0)*VLOOKUP('Données projet'!$B$12,Paramètres!$A$1:$I$89,5,0)</f>
        <v>102.52000000000002</v>
      </c>
      <c r="CA47" s="14">
        <f t="shared" si="39"/>
        <v>27.561480442146124</v>
      </c>
      <c r="CB47" s="22">
        <f t="shared" si="10"/>
        <v>226.55857843673789</v>
      </c>
      <c r="CC47" s="62">
        <f t="shared" si="11"/>
        <v>477.44904717487532</v>
      </c>
      <c r="CD47" s="62">
        <f ca="1">AVERAGE(OFFSET($CC$3,0,0,'Données projet'!$E$12+1,1))-AVERAGE(OFFSET($H$3,0,0,'Données projet'!$E$12+1,1))</f>
        <v>288.24759203983547</v>
      </c>
      <c r="CE47" s="62">
        <f t="shared" si="40"/>
        <v>188.86613033148794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4.8717948717948705</v>
      </c>
      <c r="CT47" s="13">
        <f>IF('Données projet'!$A$140&gt;35,CT46+CS47-DB46,IF(A47&lt;'Données projet'!$A$140,$CQ$205^A47,IF(A47='Données projet'!$A$140,'Données projet'!$B$140,CT46+CS47-DB46)))</f>
        <v>119.4871794871795</v>
      </c>
      <c r="CU47" s="18">
        <f>CT47*VLOOKUP('Données projet'!$B$13,Paramètres!$A$1:$I$89,3,0)*VLOOKUP('Données projet'!$B$13,Paramètres!$A$1:$I$89,5,0)</f>
        <v>80.152000000000015</v>
      </c>
      <c r="CV47" s="14">
        <f t="shared" si="41"/>
        <v>22.174344812084261</v>
      </c>
      <c r="CW47" s="22">
        <f t="shared" si="13"/>
        <v>178.21838388104675</v>
      </c>
      <c r="CX47" s="62">
        <f t="shared" si="14"/>
        <v>429.10885261918418</v>
      </c>
      <c r="CY47" s="62">
        <f ca="1">AVERAGE(OFFSET($CX$3,0,0,'Données projet'!$E$13+1,1))-AVERAGE(OFFSET($H$3,0,0,'Données projet'!$E$13+1,1))</f>
        <v>240.40157928925146</v>
      </c>
      <c r="CZ47" s="62">
        <f t="shared" si="42"/>
        <v>160.5013084380258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5.6</v>
      </c>
      <c r="DO47" s="13">
        <f>IF('Données projet'!$A$166&gt;35,DO46+DN47-DW46,IF(A47&lt;'Données projet'!$A$166,$DL$205^A47,IF(A47='Données projet'!$A$166,'Données projet'!$B$166,DO46+DN47-DW46)))</f>
        <v>115.39999999999999</v>
      </c>
      <c r="DP47" s="18">
        <f>DO47*VLOOKUP('Données projet'!$B$14,Paramètres!$A$1:$I$89,3,0)*VLOOKUP('Données projet'!$B$14,Paramètres!$A$1:$I$89,5,0)</f>
        <v>111.61487999999999</v>
      </c>
      <c r="DQ47" s="14">
        <f t="shared" si="43"/>
        <v>29.711139570849653</v>
      </c>
      <c r="DR47" s="22">
        <f t="shared" si="16"/>
        <v>246.14281741922977</v>
      </c>
      <c r="DS47" s="62">
        <f t="shared" si="17"/>
        <v>497.03328615736723</v>
      </c>
      <c r="DT47" s="62">
        <f ca="1">AVERAGE(OFFSET($DS$3,0,0,'Données projet'!$E$14+1,1))-AVERAGE(OFFSET($H$3,0,0,'Données projet'!$E$14+1,1))</f>
        <v>398.93296311353788</v>
      </c>
      <c r="DU47" s="62">
        <f t="shared" si="44"/>
        <v>173.19148969173838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5</v>
      </c>
      <c r="EJ47" s="13">
        <f>IF('Données projet'!$A$192&gt;35,EJ46+EI47-ER46,IF(A47&lt;'Données projet'!$A$192,$EG$205^A47,IF(A47='Données projet'!$A$192,'Données projet'!$B$192,EJ46+EI47-ER46)))</f>
        <v>128.99999999999994</v>
      </c>
      <c r="EK47" s="18">
        <f>EJ47*VLOOKUP('Données projet'!$B$15,Paramètres!$A$1:$I$89,3,0)*VLOOKUP('Données projet'!$B$15,Paramètres!$A$1:$I$89,5,0)</f>
        <v>112.69439999999997</v>
      </c>
      <c r="EL47" s="14">
        <f t="shared" si="45"/>
        <v>29.964909381330607</v>
      </c>
      <c r="EM47" s="22">
        <f t="shared" si="19"/>
        <v>248.46496383915076</v>
      </c>
      <c r="EN47" s="62">
        <f t="shared" si="20"/>
        <v>499.35543257728818</v>
      </c>
      <c r="EO47" s="62">
        <f ca="1">AVERAGE(OFFSET($EN$3,0,0,'Données projet'!$E$15+1,1))-AVERAGE(OFFSET($H$3,0,0,'Données projet'!$E$15+1,1))</f>
        <v>226.37420733783091</v>
      </c>
      <c r="EP47" s="62">
        <f t="shared" si="46"/>
        <v>204.10961748628714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6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9">
        <f t="shared" si="1"/>
        <v>183.33333333333334</v>
      </c>
      <c r="I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173</v>
      </c>
      <c r="L48" s="13">
        <f>VLOOKUP(A48,'Données projet'!$A$35:$I$55,9,0)</f>
        <v>7.7333333333333334</v>
      </c>
      <c r="M48" s="13">
        <f t="array" ref="M48">INDEX(L:L,MIN(IF(ISNUMBER(L48:L244),ROW(L48:L244),"")))</f>
        <v>7.7333333333333334</v>
      </c>
      <c r="N48" s="14">
        <f>IF('Données projet'!$A$36&gt;35,N47+M48-V47,IF(A48&lt;'Données projet'!$A$36,$K$205^A48,IF(A48='Données projet'!$A$36,'Données projet'!$B$36,N47+M48-V47)))</f>
        <v>172.99999999999994</v>
      </c>
      <c r="O48" s="14">
        <f>N48*VLOOKUP('Données projet'!$B$9,Paramètres!$A$1:$I$89,3,0)*VLOOKUP('Données projet'!$B$9,Paramètres!$A$1:$I$89,5,0)</f>
        <v>101.20499999999998</v>
      </c>
      <c r="P48" s="14">
        <f t="shared" si="33"/>
        <v>27.248871750580868</v>
      </c>
      <c r="Q48" s="22">
        <f t="shared" si="53"/>
        <v>223.72382663226162</v>
      </c>
      <c r="R48" s="62">
        <f t="shared" si="0"/>
        <v>475.35058418309575</v>
      </c>
      <c r="S48" s="62">
        <f ca="1">AVERAGE(OFFSET($R$3,0,0,'Données projet'!$E$9+1,1))-AVERAGE(OFFSET($H$3,0,0,'Données projet'!$E$9+1,1))</f>
        <v>196.48726929442091</v>
      </c>
      <c r="T48" s="62">
        <f t="shared" si="34"/>
        <v>193.28400454669347</v>
      </c>
      <c r="U48" s="16">
        <f>IF(ISNA(VLOOKUP(A48,'Données projet'!$A$35:$I$55,3,0)),0,VLOOKUP(A48,'Données projet'!$A$35:$I$55,3,0))</f>
        <v>2</v>
      </c>
      <c r="V48" s="16">
        <f>IF(ISNA(VLOOKUP(A48,'Données projet'!$A$35:$I$55,4,0)),0,VLOOKUP(A48,'Données projet'!$A$35:$I$55,4,0))</f>
        <v>73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8.7816814545701796E-2</v>
      </c>
      <c r="AC48" s="24">
        <f t="shared" si="3"/>
        <v>8.7816814545701796E-2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121</v>
      </c>
      <c r="AG48" s="13">
        <f>VLOOKUP(A48,'Données projet'!$A$61:$I$81,9,0)</f>
        <v>5.6</v>
      </c>
      <c r="AH48" s="13">
        <f t="array" ref="AH48">INDEX(AG:AG,MIN(IF(ISNUMBER(AG48:AG244),ROW(AG48:AG244),"")))</f>
        <v>5.6</v>
      </c>
      <c r="AI48" s="14">
        <f>IF('Données projet'!$A$62&gt;35,AI47+AH48-AQ47,IF(A48&lt;'Données projet'!$A$62,$AF$205^A48,IF(A48='Données projet'!$A$62,'Données projet'!$B$62,AI47+AH48-AQ47)))</f>
        <v>120.99999999999999</v>
      </c>
      <c r="AJ48" s="14">
        <f>AI48*VLOOKUP('Données projet'!$B$10,Paramètres!$A$1:$I$89,3,0)*VLOOKUP('Données projet'!$B$10,Paramètres!$A$1:$I$89,5,0)</f>
        <v>122.69399999999999</v>
      </c>
      <c r="AK48" s="14">
        <f t="shared" si="35"/>
        <v>32.302516360650685</v>
      </c>
      <c r="AL48" s="22">
        <f t="shared" si="4"/>
        <v>269.95226599479992</v>
      </c>
      <c r="AM48" s="62">
        <f t="shared" si="5"/>
        <v>521.57902354563407</v>
      </c>
      <c r="AN48" s="62">
        <f ca="1">AVERAGE(OFFSET($AM$3,0,0,'Données projet'!$E$10+1,1))-AVERAGE(OFFSET($H$3,0,0,'Données projet'!$E$10+1,1))</f>
        <v>414.29294334114661</v>
      </c>
      <c r="AO48" s="62">
        <f t="shared" si="36"/>
        <v>178.72086185623849</v>
      </c>
      <c r="AP48" s="16">
        <f>IF(ISNA(VLOOKUP(A48,'Données projet'!$A$61:$I$81,3,0)),0,VLOOKUP(A48,'Données projet'!$A$61:$I$81,3,0))</f>
        <v>2</v>
      </c>
      <c r="AQ48" s="16">
        <f>IF(ISNA(VLOOKUP(A48,'Données projet'!$A$61:$I$81,4,0)),0,VLOOKUP(A48,'Données projet'!$A$61:$I$81,4,0))</f>
        <v>28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121</v>
      </c>
      <c r="BB48" s="13">
        <f>VLOOKUP(A48,'Données projet'!$A$87:$I$107,9,0)</f>
        <v>5.6</v>
      </c>
      <c r="BC48" s="13">
        <f t="array" ref="BC48">INDEX(BB:BB,MIN(IF(ISNUMBER(BB48:BB244),ROW(BB48:BB244),"")))</f>
        <v>5.6</v>
      </c>
      <c r="BD48" s="13">
        <f>IF('Données projet'!$A$88&gt;35,BD47+BC48-BL47,IF(A48&lt;'Données projet'!$A$88,$BA$205^A48,IF(A48='Données projet'!$A$88,'Données projet'!$B$88,BD47+BC48-BL47)))</f>
        <v>120.99999999999999</v>
      </c>
      <c r="BE48" s="14">
        <f>BD48*VLOOKUP('Données projet'!$B$11,Paramètres!$A$1:$I$89,3,0)*VLOOKUP('Données projet'!$B$11,Paramètres!$A$1:$I$89,5,0)</f>
        <v>130.24439999999998</v>
      </c>
      <c r="BF48" s="14">
        <f t="shared" si="37"/>
        <v>34.052826821785409</v>
      </c>
      <c r="BG48" s="22">
        <f t="shared" si="7"/>
        <v>286.15100338127621</v>
      </c>
      <c r="BH48" s="62">
        <f t="shared" si="8"/>
        <v>537.77776093211037</v>
      </c>
      <c r="BI48" s="62">
        <f ca="1">AVERAGE(OFFSET($BH$3,0,0,'Données projet'!$E$11+1,1))-AVERAGE(OFFSET($H$3,0,0,'Données projet'!$E$11+1,1))</f>
        <v>434.74983403680108</v>
      </c>
      <c r="BJ48" s="62">
        <f t="shared" si="38"/>
        <v>186.0840067781198</v>
      </c>
      <c r="BK48" s="16">
        <f>IF(ISNA(VLOOKUP(A48,'Données projet'!$A$87:$I$107,3,0)),0,VLOOKUP(A48,'Données projet'!$A$87:$I$107,3,0))</f>
        <v>2</v>
      </c>
      <c r="BL48" s="16">
        <f>IF(ISNA(VLOOKUP(A48,'Données projet'!$A$87:$I$107,4,0)),0,VLOOKUP(A48,'Données projet'!$A$87:$I$107,4,0))</f>
        <v>28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124.35897435897435</v>
      </c>
      <c r="BW48" s="13">
        <f>VLOOKUP(A48,'Données projet'!$A$113:$I$133,9,0)</f>
        <v>4.8717948717948705</v>
      </c>
      <c r="BX48" s="13">
        <f t="array" ref="BX48">INDEX(BW:BW,MIN(IF(ISNUMBER(BW48:BW244),ROW(BW48:BW244),"")))</f>
        <v>4.8717948717948705</v>
      </c>
      <c r="BY48" s="13">
        <f>IF('Données projet'!$A$114&gt;35,BY47+BX48-CG47,IF(A48&lt;'Données projet'!$A$114,$BV$205^A48,IF(A48='Données projet'!$A$114,'Données projet'!$B$114,BY47+BX48-CG47)))</f>
        <v>124.35897435897438</v>
      </c>
      <c r="BZ48" s="14">
        <f>BY48*VLOOKUP('Données projet'!$B$12,Paramètres!$A$1:$I$89,3,0)*VLOOKUP('Données projet'!$B$12,Paramètres!$A$1:$I$89,5,0)</f>
        <v>106.70000000000003</v>
      </c>
      <c r="CA48" s="14">
        <f t="shared" si="39"/>
        <v>28.552105907925345</v>
      </c>
      <c r="CB48" s="22">
        <f t="shared" si="10"/>
        <v>235.56408445630336</v>
      </c>
      <c r="CC48" s="62">
        <f t="shared" si="11"/>
        <v>487.19084200713746</v>
      </c>
      <c r="CD48" s="62">
        <f ca="1">AVERAGE(OFFSET($CC$3,0,0,'Données projet'!$E$12+1,1))-AVERAGE(OFFSET($H$3,0,0,'Données projet'!$E$12+1,1))</f>
        <v>288.24759203983547</v>
      </c>
      <c r="CE48" s="62">
        <f t="shared" si="40"/>
        <v>188.86613033148794</v>
      </c>
      <c r="CF48" s="16">
        <f>IF(ISNA(VLOOKUP(A48,'Données projet'!$A$113:$I$133,3,0)),0,VLOOKUP(A48,'Données projet'!$A$113:$I$133,3,0))</f>
        <v>3</v>
      </c>
      <c r="CG48" s="16">
        <f>IF(ISNA(VLOOKUP(A48,'Données projet'!$A$113:$I$133,4,0)),0,VLOOKUP(A48,'Données projet'!$A$113:$I$133,4,0))</f>
        <v>21.794871794871796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124.35897435897435</v>
      </c>
      <c r="CR48" s="13">
        <f>VLOOKUP(A48,'Données projet'!$A$139:$I$159,9,0)</f>
        <v>4.8717948717948705</v>
      </c>
      <c r="CS48" s="13">
        <f t="array" ref="CS48">INDEX(CR:CR,MIN(IF(ISNUMBER(CR48:CR244),ROW(CR48:CR244),"")))</f>
        <v>4.8717948717948705</v>
      </c>
      <c r="CT48" s="13">
        <f>IF('Données projet'!$A$140&gt;35,CT47+CS48-DB47,IF(A48&lt;'Données projet'!$A$140,$CQ$205^A48,IF(A48='Données projet'!$A$140,'Données projet'!$B$140,CT47+CS48-DB47)))</f>
        <v>124.35897435897438</v>
      </c>
      <c r="CU48" s="18">
        <f>CT48*VLOOKUP('Données projet'!$B$13,Paramètres!$A$1:$I$89,3,0)*VLOOKUP('Données projet'!$B$13,Paramètres!$A$1:$I$89,5,0)</f>
        <v>83.420000000000016</v>
      </c>
      <c r="CV48" s="14">
        <f t="shared" si="41"/>
        <v>22.971343750654679</v>
      </c>
      <c r="CW48" s="22">
        <f t="shared" si="13"/>
        <v>185.29825703239024</v>
      </c>
      <c r="CX48" s="62">
        <f t="shared" si="14"/>
        <v>436.92501458322437</v>
      </c>
      <c r="CY48" s="62">
        <f ca="1">AVERAGE(OFFSET($CX$3,0,0,'Données projet'!$E$13+1,1))-AVERAGE(OFFSET($H$3,0,0,'Données projet'!$E$13+1,1))</f>
        <v>240.40157928925146</v>
      </c>
      <c r="CZ48" s="62">
        <f t="shared" si="42"/>
        <v>160.5013084380258</v>
      </c>
      <c r="DA48" s="16">
        <f>IF(ISNA(VLOOKUP(A48,'Données projet'!$A$139:$I$159,3,0)),0,VLOOKUP(A48,'Données projet'!$A$139:$I$159,3,0))</f>
        <v>3</v>
      </c>
      <c r="DB48" s="16">
        <f>IF(ISNA(VLOOKUP(A48,'Données projet'!$A$139:$I$159,4,0)),0,VLOOKUP(A48,'Données projet'!$A$139:$I$159,4,0))</f>
        <v>21.794871794871796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121</v>
      </c>
      <c r="DM48" s="13">
        <f>VLOOKUP(A48,'Données projet'!$A$165:$I$185,9,0)</f>
        <v>5.6</v>
      </c>
      <c r="DN48" s="13">
        <f t="array" ref="DN48">INDEX(DM:DM,MIN(IF(ISNUMBER(DM48:DM244),ROW(DM48:DM244),"")))</f>
        <v>5.6</v>
      </c>
      <c r="DO48" s="13">
        <f>IF('Données projet'!$A$166&gt;35,DO47+DN48-DW47,IF(A48&lt;'Données projet'!$A$166,$DL$205^A48,IF(A48='Données projet'!$A$166,'Données projet'!$B$166,DO47+DN48-DW47)))</f>
        <v>120.99999999999999</v>
      </c>
      <c r="DP48" s="18">
        <f>DO48*VLOOKUP('Données projet'!$B$14,Paramètres!$A$1:$I$89,3,0)*VLOOKUP('Données projet'!$B$14,Paramètres!$A$1:$I$89,5,0)</f>
        <v>117.0312</v>
      </c>
      <c r="DQ48" s="14">
        <f t="shared" si="43"/>
        <v>30.981569147428527</v>
      </c>
      <c r="DR48" s="22">
        <f t="shared" si="16"/>
        <v>257.78890626510469</v>
      </c>
      <c r="DS48" s="62">
        <f t="shared" si="17"/>
        <v>509.41566381593884</v>
      </c>
      <c r="DT48" s="62">
        <f ca="1">AVERAGE(OFFSET($DS$3,0,0,'Données projet'!$E$14+1,1))-AVERAGE(OFFSET($H$3,0,0,'Données projet'!$E$14+1,1))</f>
        <v>398.93296311353788</v>
      </c>
      <c r="DU48" s="62">
        <f t="shared" si="44"/>
        <v>173.19148969173838</v>
      </c>
      <c r="DV48" s="16">
        <f>IF(ISNA(VLOOKUP(A48,'Données projet'!$A$165:$I$185,3,0)),0,VLOOKUP(A48,'Données projet'!$A$165:$I$185,3,0))</f>
        <v>2</v>
      </c>
      <c r="DW48" s="16">
        <f>IF(ISNA(VLOOKUP(A48,'Données projet'!$A$165:$I$185,4,0)),0,VLOOKUP(A48,'Données projet'!$A$165:$I$185,4,0))</f>
        <v>28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134</v>
      </c>
      <c r="EH48" s="13">
        <f>VLOOKUP(A48,'Données projet'!$A$191:$I$211,9,0)</f>
        <v>5</v>
      </c>
      <c r="EI48" s="13">
        <f t="array" ref="EI48">INDEX(EH:EH,MIN(IF(ISNUMBER(EH48:EH244),ROW(EH48:EH244),"")))</f>
        <v>5</v>
      </c>
      <c r="EJ48" s="13">
        <f>IF('Données projet'!$A$192&gt;35,EJ47+EI48-ER47,IF(A48&lt;'Données projet'!$A$192,$EG$205^A48,IF(A48='Données projet'!$A$192,'Données projet'!$B$192,EJ47+EI48-ER47)))</f>
        <v>133.99999999999994</v>
      </c>
      <c r="EK48" s="18">
        <f>EJ48*VLOOKUP('Données projet'!$B$15,Paramètres!$A$1:$I$89,3,0)*VLOOKUP('Données projet'!$B$15,Paramètres!$A$1:$I$89,5,0)</f>
        <v>117.06239999999997</v>
      </c>
      <c r="EL48" s="14">
        <f t="shared" si="45"/>
        <v>30.988867171899123</v>
      </c>
      <c r="EM48" s="22">
        <f t="shared" si="19"/>
        <v>257.85595699105755</v>
      </c>
      <c r="EN48" s="62">
        <f t="shared" si="20"/>
        <v>509.48271454189171</v>
      </c>
      <c r="EO48" s="62">
        <f ca="1">AVERAGE(OFFSET($EN$3,0,0,'Données projet'!$E$15+1,1))-AVERAGE(OFFSET($H$3,0,0,'Données projet'!$E$15+1,1))</f>
        <v>226.37420733783091</v>
      </c>
      <c r="EP48" s="62">
        <f t="shared" si="46"/>
        <v>204.10961748628714</v>
      </c>
      <c r="EQ48" s="16">
        <f>IF(ISNA(VLOOKUP(A48,'Données projet'!$A$191:$I$211,3,0)),0,VLOOKUP(A48,'Données projet'!$A$191:$I$211,3,0))</f>
        <v>3</v>
      </c>
      <c r="ER48" s="16">
        <f>IF(ISNA(VLOOKUP(A48,'Données projet'!$A$191:$I$211,4,0)),0,VLOOKUP(A48,'Données projet'!$A$191:$I$211,4,0))</f>
        <v>28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6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9">
        <f t="shared" si="1"/>
        <v>183.33333333333334</v>
      </c>
      <c r="I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7.333333333333333</v>
      </c>
      <c r="N49" s="14">
        <f>IF('Données projet'!$A$36&gt;35,N48+M49-V48,IF(A49&lt;'Données projet'!$A$36,$K$205^A49,IF(A49='Données projet'!$A$36,'Données projet'!$B$36,N48+M49-V48)))</f>
        <v>107.33333333333329</v>
      </c>
      <c r="O49" s="14">
        <f>N49*VLOOKUP('Données projet'!$B$9,Paramètres!$A$1:$I$89,3,0)*VLOOKUP('Données projet'!$B$9,Paramètres!$A$1:$I$89,5,0)</f>
        <v>62.789999999999978</v>
      </c>
      <c r="P49" s="14">
        <f t="shared" si="33"/>
        <v>17.871791770153575</v>
      </c>
      <c r="Q49" s="22">
        <f t="shared" si="53"/>
        <v>140.48595399968411</v>
      </c>
      <c r="R49" s="62">
        <f t="shared" si="0"/>
        <v>392.83622739840973</v>
      </c>
      <c r="S49" s="62">
        <f ca="1">AVERAGE(OFFSET($R$3,0,0,'Données projet'!$E$9+1,1))-AVERAGE(OFFSET($H$3,0,0,'Données projet'!$E$9+1,1))</f>
        <v>196.48726929442091</v>
      </c>
      <c r="T49" s="62">
        <f t="shared" si="34"/>
        <v>193.28400454669347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6.2095865067467185E-2</v>
      </c>
      <c r="AC49" s="24">
        <f t="shared" si="3"/>
        <v>6.2095865067467185E-2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5.6</v>
      </c>
      <c r="AI49" s="14">
        <f>IF('Données projet'!$A$62&gt;35,AI48+AH49-AQ48,IF(A49&lt;'Données projet'!$A$62,$AF$205^A49,IF(A49='Données projet'!$A$62,'Données projet'!$B$62,AI48+AH49-AQ48)))</f>
        <v>98.59999999999998</v>
      </c>
      <c r="AJ49" s="14">
        <f>AI49*VLOOKUP('Données projet'!$B$10,Paramètres!$A$1:$I$89,3,0)*VLOOKUP('Données projet'!$B$10,Paramètres!$A$1:$I$89,5,0)</f>
        <v>99.980399999999989</v>
      </c>
      <c r="AK49" s="14">
        <f t="shared" si="35"/>
        <v>26.957328065359373</v>
      </c>
      <c r="AL49" s="22">
        <f t="shared" si="4"/>
        <v>221.08320971383421</v>
      </c>
      <c r="AM49" s="62">
        <f t="shared" si="5"/>
        <v>473.43348311255988</v>
      </c>
      <c r="AN49" s="62">
        <f ca="1">AVERAGE(OFFSET($AM$3,0,0,'Données projet'!$E$10+1,1))-AVERAGE(OFFSET($H$3,0,0,'Données projet'!$E$10+1,1))</f>
        <v>414.29294334114661</v>
      </c>
      <c r="AO49" s="62">
        <f t="shared" si="36"/>
        <v>178.72086185623849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5.6</v>
      </c>
      <c r="BD49" s="13">
        <f>IF('Données projet'!$A$88&gt;35,BD48+BC49-BL48,IF(A49&lt;'Données projet'!$A$88,$BA$205^A49,IF(A49='Données projet'!$A$88,'Données projet'!$B$88,BD48+BC49-BL48)))</f>
        <v>98.59999999999998</v>
      </c>
      <c r="BE49" s="14">
        <f>BD49*VLOOKUP('Données projet'!$B$11,Paramètres!$A$1:$I$89,3,0)*VLOOKUP('Données projet'!$B$11,Paramètres!$A$1:$I$89,5,0)</f>
        <v>106.13303999999997</v>
      </c>
      <c r="BF49" s="14">
        <f t="shared" si="37"/>
        <v>28.418009728368016</v>
      </c>
      <c r="BG49" s="22">
        <f t="shared" si="7"/>
        <v>234.34307827690756</v>
      </c>
      <c r="BH49" s="62">
        <f t="shared" si="8"/>
        <v>486.69335167563321</v>
      </c>
      <c r="BI49" s="62">
        <f ca="1">AVERAGE(OFFSET($BH$3,0,0,'Données projet'!$E$11+1,1))-AVERAGE(OFFSET($H$3,0,0,'Données projet'!$E$11+1,1))</f>
        <v>434.74983403680108</v>
      </c>
      <c r="BJ49" s="62">
        <f t="shared" si="38"/>
        <v>186.0840067781198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4.487179487179489</v>
      </c>
      <c r="BY49" s="13">
        <f>IF('Données projet'!$A$114&gt;35,BY48+BX49-CG48,IF(A49&lt;'Données projet'!$A$114,$BV$205^A49,IF(A49='Données projet'!$A$114,'Données projet'!$B$114,BY48+BX49-CG48)))</f>
        <v>107.05128205128207</v>
      </c>
      <c r="BZ49" s="14">
        <f>BY49*VLOOKUP('Données projet'!$B$12,Paramètres!$A$1:$I$89,3,0)*VLOOKUP('Données projet'!$B$12,Paramètres!$A$1:$I$89,5,0)</f>
        <v>91.850000000000037</v>
      </c>
      <c r="CA49" s="14">
        <f t="shared" si="39"/>
        <v>25.010870710651549</v>
      </c>
      <c r="CB49" s="22">
        <f t="shared" si="10"/>
        <v>203.53268315438481</v>
      </c>
      <c r="CC49" s="62">
        <f t="shared" si="11"/>
        <v>455.88295655311049</v>
      </c>
      <c r="CD49" s="62">
        <f ca="1">AVERAGE(OFFSET($CC$3,0,0,'Données projet'!$E$12+1,1))-AVERAGE(OFFSET($H$3,0,0,'Données projet'!$E$12+1,1))</f>
        <v>288.24759203983547</v>
      </c>
      <c r="CE49" s="62">
        <f t="shared" si="40"/>
        <v>188.86613033148794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4.487179487179489</v>
      </c>
      <c r="CT49" s="13">
        <f>IF('Données projet'!$A$140&gt;35,CT48+CS49-DB48,IF(A49&lt;'Données projet'!$A$140,$CQ$205^A49,IF(A49='Données projet'!$A$140,'Données projet'!$B$140,CT48+CS49-DB48)))</f>
        <v>107.05128205128207</v>
      </c>
      <c r="CU49" s="18">
        <f>CT49*VLOOKUP('Données projet'!$B$13,Paramètres!$A$1:$I$89,3,0)*VLOOKUP('Données projet'!$B$13,Paramètres!$A$1:$I$89,5,0)</f>
        <v>71.810000000000016</v>
      </c>
      <c r="CV49" s="14">
        <f t="shared" si="41"/>
        <v>20.122274358686862</v>
      </c>
      <c r="CW49" s="22">
        <f t="shared" si="13"/>
        <v>160.11537784137965</v>
      </c>
      <c r="CX49" s="62">
        <f t="shared" si="14"/>
        <v>412.46565124010533</v>
      </c>
      <c r="CY49" s="62">
        <f ca="1">AVERAGE(OFFSET($CX$3,0,0,'Données projet'!$E$13+1,1))-AVERAGE(OFFSET($H$3,0,0,'Données projet'!$E$13+1,1))</f>
        <v>240.40157928925146</v>
      </c>
      <c r="CZ49" s="62">
        <f t="shared" si="42"/>
        <v>160.5013084380258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5.6</v>
      </c>
      <c r="DO49" s="13">
        <f>IF('Données projet'!$A$166&gt;35,DO48+DN49-DW48,IF(A49&lt;'Données projet'!$A$166,$DL$205^A49,IF(A49='Données projet'!$A$166,'Données projet'!$B$166,DO48+DN49-DW48)))</f>
        <v>98.59999999999998</v>
      </c>
      <c r="DP49" s="18">
        <f>DO49*VLOOKUP('Données projet'!$B$14,Paramètres!$A$1:$I$89,3,0)*VLOOKUP('Données projet'!$B$14,Paramètres!$A$1:$I$89,5,0)</f>
        <v>95.365919999999974</v>
      </c>
      <c r="DQ49" s="14">
        <f t="shared" si="43"/>
        <v>25.854961705219438</v>
      </c>
      <c r="DR49" s="22">
        <f t="shared" si="16"/>
        <v>211.12636896992379</v>
      </c>
      <c r="DS49" s="62">
        <f t="shared" si="17"/>
        <v>463.47664236864944</v>
      </c>
      <c r="DT49" s="62">
        <f ca="1">AVERAGE(OFFSET($DS$3,0,0,'Données projet'!$E$14+1,1))-AVERAGE(OFFSET($H$3,0,0,'Données projet'!$E$14+1,1))</f>
        <v>398.93296311353788</v>
      </c>
      <c r="DU49" s="62">
        <f t="shared" si="44"/>
        <v>173.19148969173838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4.2</v>
      </c>
      <c r="EJ49" s="13">
        <f>IF('Données projet'!$A$192&gt;35,EJ48+EI49-ER48,IF(A49&lt;'Données projet'!$A$192,$EG$205^A49,IF(A49='Données projet'!$A$192,'Données projet'!$B$192,EJ48+EI49-ER48)))</f>
        <v>110.19999999999993</v>
      </c>
      <c r="EK49" s="18">
        <f>EJ49*VLOOKUP('Données projet'!$B$15,Paramètres!$A$1:$I$89,3,0)*VLOOKUP('Données projet'!$B$15,Paramètres!$A$1:$I$89,5,0)</f>
        <v>96.270719999999955</v>
      </c>
      <c r="EL49" s="14">
        <f t="shared" si="45"/>
        <v>26.071592384845928</v>
      </c>
      <c r="EM49" s="22">
        <f t="shared" si="19"/>
        <v>213.07952740360656</v>
      </c>
      <c r="EN49" s="62">
        <f t="shared" si="20"/>
        <v>465.42980080233224</v>
      </c>
      <c r="EO49" s="62">
        <f ca="1">AVERAGE(OFFSET($EN$3,0,0,'Données projet'!$E$15+1,1))-AVERAGE(OFFSET($H$3,0,0,'Données projet'!$E$15+1,1))</f>
        <v>226.37420733783091</v>
      </c>
      <c r="EP49" s="62">
        <f t="shared" si="46"/>
        <v>204.10961748628714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6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9">
        <f t="shared" si="1"/>
        <v>183.33333333333334</v>
      </c>
      <c r="I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7.333333333333333</v>
      </c>
      <c r="N50" s="14">
        <f>IF('Données projet'!$A$36&gt;35,N49+M50-V49,IF(A50&lt;'Données projet'!$A$36,$K$205^A50,IF(A50='Données projet'!$A$36,'Données projet'!$B$36,N49+M50-V49)))</f>
        <v>114.66666666666661</v>
      </c>
      <c r="O50" s="14">
        <f>N50*VLOOKUP('Données projet'!$B$9,Paramètres!$A$1:$I$89,3,0)*VLOOKUP('Données projet'!$B$9,Paramètres!$A$1:$I$89,5,0)</f>
        <v>67.07999999999997</v>
      </c>
      <c r="P50" s="14">
        <f t="shared" si="33"/>
        <v>18.94653023851388</v>
      </c>
      <c r="Q50" s="22">
        <f t="shared" si="53"/>
        <v>149.82954016541163</v>
      </c>
      <c r="R50" s="62">
        <f t="shared" si="0"/>
        <v>402.89077802960702</v>
      </c>
      <c r="S50" s="62">
        <f ca="1">AVERAGE(OFFSET($R$3,0,0,'Données projet'!$E$9+1,1))-AVERAGE(OFFSET($H$3,0,0,'Données projet'!$E$9+1,1))</f>
        <v>196.48726929442091</v>
      </c>
      <c r="T50" s="62">
        <f t="shared" si="34"/>
        <v>193.28400454669347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4.3908407272850905E-2</v>
      </c>
      <c r="AC50" s="24">
        <f t="shared" si="3"/>
        <v>4.3908407272850905E-2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5.6</v>
      </c>
      <c r="AI50" s="14">
        <f>IF('Données projet'!$A$62&gt;35,AI49+AH50-AQ49,IF(A50&lt;'Données projet'!$A$62,$AF$205^A50,IF(A50='Données projet'!$A$62,'Données projet'!$B$62,AI49+AH50-AQ49)))</f>
        <v>104.19999999999997</v>
      </c>
      <c r="AJ50" s="14">
        <f>AI50*VLOOKUP('Données projet'!$B$10,Paramètres!$A$1:$I$89,3,0)*VLOOKUP('Données projet'!$B$10,Paramètres!$A$1:$I$89,5,0)</f>
        <v>105.65879999999999</v>
      </c>
      <c r="AK50" s="14">
        <f t="shared" si="35"/>
        <v>28.305779445097851</v>
      </c>
      <c r="AL50" s="22">
        <f t="shared" si="4"/>
        <v>233.32164253354537</v>
      </c>
      <c r="AM50" s="62">
        <f t="shared" si="5"/>
        <v>486.38288039774079</v>
      </c>
      <c r="AN50" s="62">
        <f ca="1">AVERAGE(OFFSET($AM$3,0,0,'Données projet'!$E$10+1,1))-AVERAGE(OFFSET($H$3,0,0,'Données projet'!$E$10+1,1))</f>
        <v>414.29294334114661</v>
      </c>
      <c r="AO50" s="62">
        <f t="shared" si="36"/>
        <v>178.72086185623849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5.6</v>
      </c>
      <c r="BD50" s="13">
        <f>IF('Données projet'!$A$88&gt;35,BD49+BC50-BL49,IF(A50&lt;'Données projet'!$A$88,$BA$205^A50,IF(A50='Données projet'!$A$88,'Données projet'!$B$88,BD49+BC50-BL49)))</f>
        <v>104.19999999999997</v>
      </c>
      <c r="BE50" s="14">
        <f>BD50*VLOOKUP('Données projet'!$B$11,Paramètres!$A$1:$I$89,3,0)*VLOOKUP('Données projet'!$B$11,Paramètres!$A$1:$I$89,5,0)</f>
        <v>112.16087999999998</v>
      </c>
      <c r="BF50" s="14">
        <f t="shared" si="37"/>
        <v>29.839526888181876</v>
      </c>
      <c r="BG50" s="22">
        <f t="shared" si="7"/>
        <v>247.31737533025003</v>
      </c>
      <c r="BH50" s="62">
        <f t="shared" si="8"/>
        <v>500.37861319444539</v>
      </c>
      <c r="BI50" s="62">
        <f ca="1">AVERAGE(OFFSET($BH$3,0,0,'Données projet'!$E$11+1,1))-AVERAGE(OFFSET($H$3,0,0,'Données projet'!$E$11+1,1))</f>
        <v>434.74983403680108</v>
      </c>
      <c r="BJ50" s="62">
        <f t="shared" si="38"/>
        <v>186.0840067781198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4.487179487179489</v>
      </c>
      <c r="BY50" s="13">
        <f>IF('Données projet'!$A$114&gt;35,BY49+BX50-CG49,IF(A50&lt;'Données projet'!$A$114,$BV$205^A50,IF(A50='Données projet'!$A$114,'Données projet'!$B$114,BY49+BX50-CG49)))</f>
        <v>111.53846153846156</v>
      </c>
      <c r="BZ50" s="14">
        <f>BY50*VLOOKUP('Données projet'!$B$12,Paramètres!$A$1:$I$89,3,0)*VLOOKUP('Données projet'!$B$12,Paramètres!$A$1:$I$89,5,0)</f>
        <v>95.700000000000031</v>
      </c>
      <c r="CA50" s="14">
        <f t="shared" si="39"/>
        <v>25.934976158352619</v>
      </c>
      <c r="CB50" s="22">
        <f t="shared" si="10"/>
        <v>211.84758347579756</v>
      </c>
      <c r="CC50" s="62">
        <f t="shared" si="11"/>
        <v>464.90882133999298</v>
      </c>
      <c r="CD50" s="62">
        <f ca="1">AVERAGE(OFFSET($CC$3,0,0,'Données projet'!$E$12+1,1))-AVERAGE(OFFSET($H$3,0,0,'Données projet'!$E$12+1,1))</f>
        <v>288.24759203983547</v>
      </c>
      <c r="CE50" s="62">
        <f t="shared" si="40"/>
        <v>188.86613033148794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4.487179487179489</v>
      </c>
      <c r="CT50" s="13">
        <f>IF('Données projet'!$A$140&gt;35,CT49+CS50-DB49,IF(A50&lt;'Données projet'!$A$140,$CQ$205^A50,IF(A50='Données projet'!$A$140,'Données projet'!$B$140,CT49+CS50-DB49)))</f>
        <v>111.53846153846156</v>
      </c>
      <c r="CU50" s="18">
        <f>CT50*VLOOKUP('Données projet'!$B$13,Paramètres!$A$1:$I$89,3,0)*VLOOKUP('Données projet'!$B$13,Paramètres!$A$1:$I$89,5,0)</f>
        <v>74.820000000000022</v>
      </c>
      <c r="CV50" s="14">
        <f t="shared" si="41"/>
        <v>20.865755206280021</v>
      </c>
      <c r="CW50" s="22">
        <f t="shared" si="13"/>
        <v>166.65269031760442</v>
      </c>
      <c r="CX50" s="62">
        <f t="shared" si="14"/>
        <v>419.71392818179982</v>
      </c>
      <c r="CY50" s="62">
        <f ca="1">AVERAGE(OFFSET($CX$3,0,0,'Données projet'!$E$13+1,1))-AVERAGE(OFFSET($H$3,0,0,'Données projet'!$E$13+1,1))</f>
        <v>240.40157928925146</v>
      </c>
      <c r="CZ50" s="62">
        <f t="shared" si="42"/>
        <v>160.5013084380258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5.6</v>
      </c>
      <c r="DO50" s="13">
        <f>IF('Données projet'!$A$166&gt;35,DO49+DN50-DW49,IF(A50&lt;'Données projet'!$A$166,$DL$205^A50,IF(A50='Données projet'!$A$166,'Données projet'!$B$166,DO49+DN50-DW49)))</f>
        <v>104.19999999999997</v>
      </c>
      <c r="DP50" s="18">
        <f>DO50*VLOOKUP('Données projet'!$B$14,Paramètres!$A$1:$I$89,3,0)*VLOOKUP('Données projet'!$B$14,Paramètres!$A$1:$I$89,5,0)</f>
        <v>100.78223999999997</v>
      </c>
      <c r="DQ50" s="14">
        <f t="shared" si="43"/>
        <v>27.148270845500655</v>
      </c>
      <c r="DR50" s="22">
        <f t="shared" si="16"/>
        <v>222.81230638924691</v>
      </c>
      <c r="DS50" s="62">
        <f t="shared" si="17"/>
        <v>475.87354425344233</v>
      </c>
      <c r="DT50" s="62">
        <f ca="1">AVERAGE(OFFSET($DS$3,0,0,'Données projet'!$E$14+1,1))-AVERAGE(OFFSET($H$3,0,0,'Données projet'!$E$14+1,1))</f>
        <v>398.93296311353788</v>
      </c>
      <c r="DU50" s="62">
        <f t="shared" si="44"/>
        <v>173.19148969173838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4.2</v>
      </c>
      <c r="EJ50" s="13">
        <f>IF('Données projet'!$A$192&gt;35,EJ49+EI50-ER49,IF(A50&lt;'Données projet'!$A$192,$EG$205^A50,IF(A50='Données projet'!$A$192,'Données projet'!$B$192,EJ49+EI50-ER49)))</f>
        <v>114.39999999999993</v>
      </c>
      <c r="EK50" s="18">
        <f>EJ50*VLOOKUP('Données projet'!$B$15,Paramètres!$A$1:$I$89,3,0)*VLOOKUP('Données projet'!$B$15,Paramètres!$A$1:$I$89,5,0)</f>
        <v>99.939839999999947</v>
      </c>
      <c r="EL50" s="14">
        <f t="shared" si="45"/>
        <v>26.947664756006503</v>
      </c>
      <c r="EM50" s="22">
        <f t="shared" si="19"/>
        <v>220.99573745004457</v>
      </c>
      <c r="EN50" s="62">
        <f t="shared" si="20"/>
        <v>474.05697531423993</v>
      </c>
      <c r="EO50" s="62">
        <f ca="1">AVERAGE(OFFSET($EN$3,0,0,'Données projet'!$E$15+1,1))-AVERAGE(OFFSET($H$3,0,0,'Données projet'!$E$15+1,1))</f>
        <v>226.37420733783091</v>
      </c>
      <c r="EP50" s="62">
        <f t="shared" si="46"/>
        <v>204.10961748628714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6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9">
        <f t="shared" si="1"/>
        <v>183.33333333333334</v>
      </c>
      <c r="I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7.333333333333333</v>
      </c>
      <c r="N51" s="14">
        <f>IF('Données projet'!$A$36&gt;35,N50+M51-V50,IF(A51&lt;'Données projet'!$A$36,$K$205^A51,IF(A51='Données projet'!$A$36,'Données projet'!$B$36,N50+M51-V50)))</f>
        <v>121.99999999999994</v>
      </c>
      <c r="O51" s="14">
        <f>N51*VLOOKUP('Données projet'!$B$9,Paramètres!$A$1:$I$89,3,0)*VLOOKUP('Données projet'!$B$9,Paramètres!$A$1:$I$89,5,0)</f>
        <v>71.369999999999976</v>
      </c>
      <c r="P51" s="14">
        <f t="shared" si="33"/>
        <v>20.013292120611013</v>
      </c>
      <c r="Q51" s="22">
        <f t="shared" si="53"/>
        <v>159.15923377673082</v>
      </c>
      <c r="R51" s="62">
        <f t="shared" si="0"/>
        <v>412.91910246239854</v>
      </c>
      <c r="S51" s="62">
        <f ca="1">AVERAGE(OFFSET($R$3,0,0,'Données projet'!$E$9+1,1))-AVERAGE(OFFSET($H$3,0,0,'Données projet'!$E$9+1,1))</f>
        <v>196.48726929442091</v>
      </c>
      <c r="T51" s="62">
        <f t="shared" si="34"/>
        <v>193.28400454669347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3.1047932533733599E-2</v>
      </c>
      <c r="AC51" s="24">
        <f t="shared" si="3"/>
        <v>3.1047932533733599E-2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5.6</v>
      </c>
      <c r="AI51" s="14">
        <f>IF('Données projet'!$A$62&gt;35,AI50+AH51-AQ50,IF(A51&lt;'Données projet'!$A$62,$AF$205^A51,IF(A51='Données projet'!$A$62,'Données projet'!$B$62,AI50+AH51-AQ50)))</f>
        <v>109.79999999999997</v>
      </c>
      <c r="AJ51" s="14">
        <f>AI51*VLOOKUP('Données projet'!$B$10,Paramètres!$A$1:$I$89,3,0)*VLOOKUP('Données projet'!$B$10,Paramètres!$A$1:$I$89,5,0)</f>
        <v>111.33719999999997</v>
      </c>
      <c r="AK51" s="14">
        <f t="shared" si="35"/>
        <v>29.645817422905317</v>
      </c>
      <c r="AL51" s="22">
        <f t="shared" si="4"/>
        <v>245.54542201156005</v>
      </c>
      <c r="AM51" s="62">
        <f t="shared" si="5"/>
        <v>499.30529069722775</v>
      </c>
      <c r="AN51" s="62">
        <f ca="1">AVERAGE(OFFSET($AM$3,0,0,'Données projet'!$E$10+1,1))-AVERAGE(OFFSET($H$3,0,0,'Données projet'!$E$10+1,1))</f>
        <v>414.29294334114661</v>
      </c>
      <c r="AO51" s="62">
        <f t="shared" si="36"/>
        <v>178.72086185623849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5.6</v>
      </c>
      <c r="BD51" s="13">
        <f>IF('Données projet'!$A$88&gt;35,BD50+BC51-BL50,IF(A51&lt;'Données projet'!$A$88,$BA$205^A51,IF(A51='Données projet'!$A$88,'Données projet'!$B$88,BD50+BC51-BL50)))</f>
        <v>109.79999999999997</v>
      </c>
      <c r="BE51" s="14">
        <f>BD51*VLOOKUP('Données projet'!$B$11,Paramètres!$A$1:$I$89,3,0)*VLOOKUP('Données projet'!$B$11,Paramètres!$A$1:$I$89,5,0)</f>
        <v>118.18871999999996</v>
      </c>
      <c r="BF51" s="14">
        <f t="shared" si="37"/>
        <v>31.252174766242543</v>
      </c>
      <c r="BG51" s="22">
        <f t="shared" si="7"/>
        <v>260.2762250512057</v>
      </c>
      <c r="BH51" s="62">
        <f t="shared" si="8"/>
        <v>514.03609373687345</v>
      </c>
      <c r="BI51" s="62">
        <f ca="1">AVERAGE(OFFSET($BH$3,0,0,'Données projet'!$E$11+1,1))-AVERAGE(OFFSET($H$3,0,0,'Données projet'!$E$11+1,1))</f>
        <v>434.74983403680108</v>
      </c>
      <c r="BJ51" s="62">
        <f t="shared" si="38"/>
        <v>186.0840067781198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4.487179487179489</v>
      </c>
      <c r="BY51" s="13">
        <f>IF('Données projet'!$A$114&gt;35,BY50+BX51-CG50,IF(A51&lt;'Données projet'!$A$114,$BV$205^A51,IF(A51='Données projet'!$A$114,'Données projet'!$B$114,BY50+BX51-CG50)))</f>
        <v>116.02564102564105</v>
      </c>
      <c r="BZ51" s="14">
        <f>BY51*VLOOKUP('Données projet'!$B$12,Paramètres!$A$1:$I$89,3,0)*VLOOKUP('Données projet'!$B$12,Paramètres!$A$1:$I$89,5,0)</f>
        <v>99.55000000000004</v>
      </c>
      <c r="CA51" s="14">
        <f t="shared" si="39"/>
        <v>26.854763129240109</v>
      </c>
      <c r="CB51" s="22">
        <f t="shared" si="10"/>
        <v>220.15496245009328</v>
      </c>
      <c r="CC51" s="62">
        <f t="shared" si="11"/>
        <v>473.91483113576101</v>
      </c>
      <c r="CD51" s="62">
        <f ca="1">AVERAGE(OFFSET($CC$3,0,0,'Données projet'!$E$12+1,1))-AVERAGE(OFFSET($H$3,0,0,'Données projet'!$E$12+1,1))</f>
        <v>288.24759203983547</v>
      </c>
      <c r="CE51" s="62">
        <f t="shared" si="40"/>
        <v>188.86613033148794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4.487179487179489</v>
      </c>
      <c r="CT51" s="13">
        <f>IF('Données projet'!$A$140&gt;35,CT50+CS51-DB50,IF(A51&lt;'Données projet'!$A$140,$CQ$205^A51,IF(A51='Données projet'!$A$140,'Données projet'!$B$140,CT50+CS51-DB50)))</f>
        <v>116.02564102564105</v>
      </c>
      <c r="CU51" s="18">
        <f>CT51*VLOOKUP('Données projet'!$B$13,Paramètres!$A$1:$I$89,3,0)*VLOOKUP('Données projet'!$B$13,Paramètres!$A$1:$I$89,5,0)</f>
        <v>77.830000000000013</v>
      </c>
      <c r="CV51" s="14">
        <f t="shared" si="41"/>
        <v>21.605761661627508</v>
      </c>
      <c r="CW51" s="22">
        <f t="shared" si="13"/>
        <v>173.18395156066791</v>
      </c>
      <c r="CX51" s="62">
        <f t="shared" si="14"/>
        <v>426.94382024633558</v>
      </c>
      <c r="CY51" s="62">
        <f ca="1">AVERAGE(OFFSET($CX$3,0,0,'Données projet'!$E$13+1,1))-AVERAGE(OFFSET($H$3,0,0,'Données projet'!$E$13+1,1))</f>
        <v>240.40157928925146</v>
      </c>
      <c r="CZ51" s="62">
        <f t="shared" si="42"/>
        <v>160.5013084380258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5.6</v>
      </c>
      <c r="DO51" s="13">
        <f>IF('Données projet'!$A$166&gt;35,DO50+DN51-DW50,IF(A51&lt;'Données projet'!$A$166,$DL$205^A51,IF(A51='Données projet'!$A$166,'Données projet'!$B$166,DO50+DN51-DW50)))</f>
        <v>109.79999999999997</v>
      </c>
      <c r="DP51" s="18">
        <f>DO51*VLOOKUP('Données projet'!$B$14,Paramètres!$A$1:$I$89,3,0)*VLOOKUP('Données projet'!$B$14,Paramètres!$A$1:$I$89,5,0)</f>
        <v>106.19855999999997</v>
      </c>
      <c r="DQ51" s="14">
        <f t="shared" si="43"/>
        <v>28.433510633203252</v>
      </c>
      <c r="DR51" s="22">
        <f t="shared" si="16"/>
        <v>234.48418968616227</v>
      </c>
      <c r="DS51" s="62">
        <f t="shared" si="17"/>
        <v>488.24405837182996</v>
      </c>
      <c r="DT51" s="62">
        <f ca="1">AVERAGE(OFFSET($DS$3,0,0,'Données projet'!$E$14+1,1))-AVERAGE(OFFSET($H$3,0,0,'Données projet'!$E$14+1,1))</f>
        <v>398.93296311353788</v>
      </c>
      <c r="DU51" s="62">
        <f t="shared" si="44"/>
        <v>173.19148969173838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4.2</v>
      </c>
      <c r="EJ51" s="13">
        <f>IF('Données projet'!$A$192&gt;35,EJ50+EI51-ER50,IF(A51&lt;'Données projet'!$A$192,$EG$205^A51,IF(A51='Données projet'!$A$192,'Données projet'!$B$192,EJ50+EI51-ER50)))</f>
        <v>118.59999999999994</v>
      </c>
      <c r="EK51" s="18">
        <f>EJ51*VLOOKUP('Données projet'!$B$15,Paramètres!$A$1:$I$89,3,0)*VLOOKUP('Données projet'!$B$15,Paramètres!$A$1:$I$89,5,0)</f>
        <v>103.60895999999995</v>
      </c>
      <c r="EL51" s="14">
        <f t="shared" si="45"/>
        <v>27.820000397643376</v>
      </c>
      <c r="EM51" s="22">
        <f t="shared" si="19"/>
        <v>228.90543935922878</v>
      </c>
      <c r="EN51" s="62">
        <f t="shared" si="20"/>
        <v>482.66530804489651</v>
      </c>
      <c r="EO51" s="62">
        <f ca="1">AVERAGE(OFFSET($EN$3,0,0,'Données projet'!$E$15+1,1))-AVERAGE(OFFSET($H$3,0,0,'Données projet'!$E$15+1,1))</f>
        <v>226.37420733783091</v>
      </c>
      <c r="EP51" s="62">
        <f t="shared" si="46"/>
        <v>204.10961748628714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6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9">
        <f t="shared" si="1"/>
        <v>183.33333333333334</v>
      </c>
      <c r="I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7.333333333333333</v>
      </c>
      <c r="N52" s="14">
        <f>IF('Données projet'!$A$36&gt;35,N51+M52-V51,IF(A52&lt;'Données projet'!$A$36,$K$205^A52,IF(A52='Données projet'!$A$36,'Données projet'!$B$36,N51+M52-V51)))</f>
        <v>129.33333333333329</v>
      </c>
      <c r="O52" s="14">
        <f>N52*VLOOKUP('Données projet'!$B$9,Paramètres!$A$1:$I$89,3,0)*VLOOKUP('Données projet'!$B$9,Paramètres!$A$1:$I$89,5,0)</f>
        <v>75.659999999999982</v>
      </c>
      <c r="P52" s="14">
        <f t="shared" si="33"/>
        <v>21.072611487304933</v>
      </c>
      <c r="Q52" s="22">
        <f t="shared" si="53"/>
        <v>168.47596500705609</v>
      </c>
      <c r="R52" s="62">
        <f t="shared" si="0"/>
        <v>422.92234483134803</v>
      </c>
      <c r="S52" s="62">
        <f ca="1">AVERAGE(OFFSET($R$3,0,0,'Données projet'!$E$9+1,1))-AVERAGE(OFFSET($H$3,0,0,'Données projet'!$E$9+1,1))</f>
        <v>196.48726929442091</v>
      </c>
      <c r="T52" s="62">
        <f t="shared" si="34"/>
        <v>193.28400454669347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2.1954203636425456E-2</v>
      </c>
      <c r="AC52" s="24">
        <f t="shared" si="3"/>
        <v>2.1954203636425456E-2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5.6</v>
      </c>
      <c r="AI52" s="14">
        <f>IF('Données projet'!$A$62&gt;35,AI51+AH52-AQ51,IF(A52&lt;'Données projet'!$A$62,$AF$205^A52,IF(A52='Données projet'!$A$62,'Données projet'!$B$62,AI51+AH52-AQ51)))</f>
        <v>115.39999999999996</v>
      </c>
      <c r="AJ52" s="14">
        <f>AI52*VLOOKUP('Données projet'!$B$10,Paramètres!$A$1:$I$89,3,0)*VLOOKUP('Données projet'!$B$10,Paramètres!$A$1:$I$89,5,0)</f>
        <v>117.01559999999996</v>
      </c>
      <c r="AK52" s="14">
        <f t="shared" si="35"/>
        <v>30.977920050269788</v>
      </c>
      <c r="AL52" s="22">
        <f t="shared" si="4"/>
        <v>257.7553807542198</v>
      </c>
      <c r="AM52" s="62">
        <f t="shared" si="5"/>
        <v>512.20176057851177</v>
      </c>
      <c r="AN52" s="62">
        <f ca="1">AVERAGE(OFFSET($AM$3,0,0,'Données projet'!$E$10+1,1))-AVERAGE(OFFSET($H$3,0,0,'Données projet'!$E$10+1,1))</f>
        <v>414.29294334114661</v>
      </c>
      <c r="AO52" s="62">
        <f t="shared" si="36"/>
        <v>178.72086185623849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5.6</v>
      </c>
      <c r="BD52" s="13">
        <f>IF('Données projet'!$A$88&gt;35,BD51+BC52-BL51,IF(A52&lt;'Données projet'!$A$88,$BA$205^A52,IF(A52='Données projet'!$A$88,'Données projet'!$B$88,BD51+BC52-BL51)))</f>
        <v>115.39999999999996</v>
      </c>
      <c r="BE52" s="14">
        <f>BD52*VLOOKUP('Données projet'!$B$11,Paramètres!$A$1:$I$89,3,0)*VLOOKUP('Données projet'!$B$11,Paramètres!$A$1:$I$89,5,0)</f>
        <v>124.21655999999994</v>
      </c>
      <c r="BF52" s="14">
        <f t="shared" si="37"/>
        <v>32.656457317237347</v>
      </c>
      <c r="BG52" s="22">
        <f t="shared" si="7"/>
        <v>273.220505160855</v>
      </c>
      <c r="BH52" s="62">
        <f t="shared" si="8"/>
        <v>527.66688498514691</v>
      </c>
      <c r="BI52" s="62">
        <f ca="1">AVERAGE(OFFSET($BH$3,0,0,'Données projet'!$E$11+1,1))-AVERAGE(OFFSET($H$3,0,0,'Données projet'!$E$11+1,1))</f>
        <v>434.74983403680108</v>
      </c>
      <c r="BJ52" s="62">
        <f t="shared" si="38"/>
        <v>186.0840067781198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4.487179487179489</v>
      </c>
      <c r="BY52" s="13">
        <f>IF('Données projet'!$A$114&gt;35,BY51+BX52-CG51,IF(A52&lt;'Données projet'!$A$114,$BV$205^A52,IF(A52='Données projet'!$A$114,'Données projet'!$B$114,BY51+BX52-CG51)))</f>
        <v>120.51282051282054</v>
      </c>
      <c r="BZ52" s="14">
        <f>BY52*VLOOKUP('Données projet'!$B$12,Paramètres!$A$1:$I$89,3,0)*VLOOKUP('Données projet'!$B$12,Paramètres!$A$1:$I$89,5,0)</f>
        <v>103.40000000000003</v>
      </c>
      <c r="CA52" s="14">
        <f t="shared" si="39"/>
        <v>27.770417751977757</v>
      </c>
      <c r="CB52" s="22">
        <f t="shared" si="10"/>
        <v>228.4551442513613</v>
      </c>
      <c r="CC52" s="62">
        <f t="shared" si="11"/>
        <v>482.90152407565324</v>
      </c>
      <c r="CD52" s="62">
        <f ca="1">AVERAGE(OFFSET($CC$3,0,0,'Données projet'!$E$12+1,1))-AVERAGE(OFFSET($H$3,0,0,'Données projet'!$E$12+1,1))</f>
        <v>288.24759203983547</v>
      </c>
      <c r="CE52" s="62">
        <f t="shared" si="40"/>
        <v>188.86613033148794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4.487179487179489</v>
      </c>
      <c r="CT52" s="13">
        <f>IF('Données projet'!$A$140&gt;35,CT51+CS52-DB51,IF(A52&lt;'Données projet'!$A$140,$CQ$205^A52,IF(A52='Données projet'!$A$140,'Données projet'!$B$140,CT51+CS52-DB51)))</f>
        <v>120.51282051282054</v>
      </c>
      <c r="CU52" s="18">
        <f>CT52*VLOOKUP('Données projet'!$B$13,Paramètres!$A$1:$I$89,3,0)*VLOOKUP('Données projet'!$B$13,Paramètres!$A$1:$I$89,5,0)</f>
        <v>80.840000000000018</v>
      </c>
      <c r="CV52" s="14">
        <f t="shared" si="41"/>
        <v>22.342443472896061</v>
      </c>
      <c r="CW52" s="22">
        <f t="shared" si="13"/>
        <v>179.70942238196071</v>
      </c>
      <c r="CX52" s="62">
        <f t="shared" si="14"/>
        <v>434.1558022062527</v>
      </c>
      <c r="CY52" s="62">
        <f ca="1">AVERAGE(OFFSET($CX$3,0,0,'Données projet'!$E$13+1,1))-AVERAGE(OFFSET($H$3,0,0,'Données projet'!$E$13+1,1))</f>
        <v>240.40157928925146</v>
      </c>
      <c r="CZ52" s="62">
        <f t="shared" si="42"/>
        <v>160.5013084380258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5.6</v>
      </c>
      <c r="DO52" s="13">
        <f>IF('Données projet'!$A$166&gt;35,DO51+DN52-DW51,IF(A52&lt;'Données projet'!$A$166,$DL$205^A52,IF(A52='Données projet'!$A$166,'Données projet'!$B$166,DO51+DN52-DW51)))</f>
        <v>115.39999999999996</v>
      </c>
      <c r="DP52" s="18">
        <f>DO52*VLOOKUP('Données projet'!$B$14,Paramètres!$A$1:$I$89,3,0)*VLOOKUP('Données projet'!$B$14,Paramètres!$A$1:$I$89,5,0)</f>
        <v>111.61487999999996</v>
      </c>
      <c r="DQ52" s="14">
        <f t="shared" si="43"/>
        <v>29.711139570849625</v>
      </c>
      <c r="DR52" s="22">
        <f t="shared" si="16"/>
        <v>246.14281741922969</v>
      </c>
      <c r="DS52" s="62">
        <f t="shared" si="17"/>
        <v>500.58919724352165</v>
      </c>
      <c r="DT52" s="62">
        <f ca="1">AVERAGE(OFFSET($DS$3,0,0,'Données projet'!$E$14+1,1))-AVERAGE(OFFSET($H$3,0,0,'Données projet'!$E$14+1,1))</f>
        <v>398.93296311353788</v>
      </c>
      <c r="DU52" s="62">
        <f t="shared" si="44"/>
        <v>173.19148969173838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4.2</v>
      </c>
      <c r="EJ52" s="13">
        <f>IF('Données projet'!$A$192&gt;35,EJ51+EI52-ER51,IF(A52&lt;'Données projet'!$A$192,$EG$205^A52,IF(A52='Données projet'!$A$192,'Données projet'!$B$192,EJ51+EI52-ER51)))</f>
        <v>122.79999999999994</v>
      </c>
      <c r="EK52" s="18">
        <f>EJ52*VLOOKUP('Données projet'!$B$15,Paramètres!$A$1:$I$89,3,0)*VLOOKUP('Données projet'!$B$15,Paramètres!$A$1:$I$89,5,0)</f>
        <v>107.27807999999996</v>
      </c>
      <c r="EL52" s="14">
        <f t="shared" si="45"/>
        <v>28.688746800886648</v>
      </c>
      <c r="EM52" s="22">
        <f t="shared" si="19"/>
        <v>236.80889001154415</v>
      </c>
      <c r="EN52" s="62">
        <f t="shared" si="20"/>
        <v>491.25526983583609</v>
      </c>
      <c r="EO52" s="62">
        <f ca="1">AVERAGE(OFFSET($EN$3,0,0,'Données projet'!$E$15+1,1))-AVERAGE(OFFSET($H$3,0,0,'Données projet'!$E$15+1,1))</f>
        <v>226.37420733783091</v>
      </c>
      <c r="EP52" s="62">
        <f t="shared" si="46"/>
        <v>204.10961748628714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6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9">
        <f t="shared" si="1"/>
        <v>183.33333333333334</v>
      </c>
      <c r="I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7.333333333333333</v>
      </c>
      <c r="N53" s="14">
        <f>IF('Données projet'!$A$36&gt;35,N52+M53-V52,IF(A53&lt;'Données projet'!$A$36,$K$205^A53,IF(A53='Données projet'!$A$36,'Données projet'!$B$36,N52+M53-V52)))</f>
        <v>136.66666666666663</v>
      </c>
      <c r="O53" s="14">
        <f>N53*VLOOKUP('Données projet'!$B$9,Paramètres!$A$1:$I$89,3,0)*VLOOKUP('Données projet'!$B$9,Paramètres!$A$1:$I$89,5,0)</f>
        <v>79.949999999999989</v>
      </c>
      <c r="P53" s="14">
        <f t="shared" si="33"/>
        <v>22.124958423928994</v>
      </c>
      <c r="Q53" s="22">
        <f t="shared" si="53"/>
        <v>177.78055258834297</v>
      </c>
      <c r="R53" s="62">
        <f t="shared" si="0"/>
        <v>432.90153411781307</v>
      </c>
      <c r="S53" s="62">
        <f ca="1">AVERAGE(OFFSET($R$3,0,0,'Données projet'!$E$9+1,1))-AVERAGE(OFFSET($H$3,0,0,'Données projet'!$E$9+1,1))</f>
        <v>196.48726929442091</v>
      </c>
      <c r="T53" s="62">
        <f t="shared" si="34"/>
        <v>193.28400454669347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1.5523966266866801E-2</v>
      </c>
      <c r="AC53" s="24">
        <f t="shared" si="3"/>
        <v>1.5523966266866801E-2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121</v>
      </c>
      <c r="AG53" s="13">
        <f>VLOOKUP(A53,'Données projet'!$A$61:$I$81,9,0)</f>
        <v>5.6</v>
      </c>
      <c r="AH53" s="13">
        <f t="array" ref="AH53">INDEX(AG:AG,MIN(IF(ISNUMBER(AG53:AG249),ROW(AG53:AG249),"")))</f>
        <v>5.6</v>
      </c>
      <c r="AI53" s="14">
        <f>IF('Données projet'!$A$62&gt;35,AI52+AH53-AQ52,IF(A53&lt;'Données projet'!$A$62,$AF$205^A53,IF(A53='Données projet'!$A$62,'Données projet'!$B$62,AI52+AH53-AQ52)))</f>
        <v>120.99999999999996</v>
      </c>
      <c r="AJ53" s="14">
        <f>AI53*VLOOKUP('Données projet'!$B$10,Paramètres!$A$1:$I$89,3,0)*VLOOKUP('Données projet'!$B$10,Paramètres!$A$1:$I$89,5,0)</f>
        <v>122.69399999999997</v>
      </c>
      <c r="AK53" s="14">
        <f t="shared" si="35"/>
        <v>32.302516360650685</v>
      </c>
      <c r="AL53" s="22">
        <f t="shared" si="4"/>
        <v>269.95226599479992</v>
      </c>
      <c r="AM53" s="62">
        <f t="shared" si="5"/>
        <v>525.07324752427007</v>
      </c>
      <c r="AN53" s="62">
        <f ca="1">AVERAGE(OFFSET($AM$3,0,0,'Données projet'!$E$10+1,1))-AVERAGE(OFFSET($H$3,0,0,'Données projet'!$E$10+1,1))</f>
        <v>414.29294334114661</v>
      </c>
      <c r="AO53" s="62">
        <f t="shared" si="36"/>
        <v>178.72086185623849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121</v>
      </c>
      <c r="BB53" s="13">
        <f>VLOOKUP(A53,'Données projet'!$A$87:$I$107,9,0)</f>
        <v>5.6</v>
      </c>
      <c r="BC53" s="13">
        <f t="array" ref="BC53">INDEX(BB:BB,MIN(IF(ISNUMBER(BB53:BB249),ROW(BB53:BB249),"")))</f>
        <v>5.6</v>
      </c>
      <c r="BD53" s="13">
        <f>IF('Données projet'!$A$88&gt;35,BD52+BC53-BL52,IF(A53&lt;'Données projet'!$A$88,$BA$205^A53,IF(A53='Données projet'!$A$88,'Données projet'!$B$88,BD52+BC53-BL52)))</f>
        <v>120.99999999999996</v>
      </c>
      <c r="BE53" s="14">
        <f>BD53*VLOOKUP('Données projet'!$B$11,Paramètres!$A$1:$I$89,3,0)*VLOOKUP('Données projet'!$B$11,Paramètres!$A$1:$I$89,5,0)</f>
        <v>130.24439999999996</v>
      </c>
      <c r="BF53" s="14">
        <f t="shared" si="37"/>
        <v>34.052826821785409</v>
      </c>
      <c r="BG53" s="22">
        <f t="shared" si="7"/>
        <v>286.1510033812761</v>
      </c>
      <c r="BH53" s="62">
        <f t="shared" si="8"/>
        <v>541.27198491074614</v>
      </c>
      <c r="BI53" s="62">
        <f ca="1">AVERAGE(OFFSET($BH$3,0,0,'Données projet'!$E$11+1,1))-AVERAGE(OFFSET($H$3,0,0,'Données projet'!$E$11+1,1))</f>
        <v>434.74983403680108</v>
      </c>
      <c r="BJ53" s="62">
        <f t="shared" si="38"/>
        <v>186.0840067781198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125</v>
      </c>
      <c r="BW53" s="13">
        <f>VLOOKUP(A53,'Données projet'!$A$113:$I$133,9,0)</f>
        <v>4.487179487179489</v>
      </c>
      <c r="BX53" s="13">
        <f t="array" ref="BX53">INDEX(BW:BW,MIN(IF(ISNUMBER(BW53:BW249),ROW(BW53:BW249),"")))</f>
        <v>4.487179487179489</v>
      </c>
      <c r="BY53" s="13">
        <f>IF('Données projet'!$A$114&gt;35,BY52+BX53-CG52,IF(A53&lt;'Données projet'!$A$114,$BV$205^A53,IF(A53='Données projet'!$A$114,'Données projet'!$B$114,BY52+BX53-CG52)))</f>
        <v>125.00000000000003</v>
      </c>
      <c r="BZ53" s="14">
        <f>BY53*VLOOKUP('Données projet'!$B$12,Paramètres!$A$1:$I$89,3,0)*VLOOKUP('Données projet'!$B$12,Paramètres!$A$1:$I$89,5,0)</f>
        <v>107.25000000000003</v>
      </c>
      <c r="CA53" s="14">
        <f t="shared" si="39"/>
        <v>28.682111509300164</v>
      </c>
      <c r="CB53" s="22">
        <f t="shared" si="10"/>
        <v>236.74842754536451</v>
      </c>
      <c r="CC53" s="62">
        <f t="shared" si="11"/>
        <v>491.86940907483461</v>
      </c>
      <c r="CD53" s="62">
        <f ca="1">AVERAGE(OFFSET($CC$3,0,0,'Données projet'!$E$12+1,1))-AVERAGE(OFFSET($H$3,0,0,'Données projet'!$E$12+1,1))</f>
        <v>288.24759203983547</v>
      </c>
      <c r="CE53" s="62">
        <f t="shared" si="40"/>
        <v>188.86613033148794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125</v>
      </c>
      <c r="CR53" s="13">
        <f>VLOOKUP(A53,'Données projet'!$A$139:$I$159,9,0)</f>
        <v>4.487179487179489</v>
      </c>
      <c r="CS53" s="13">
        <f t="array" ref="CS53">INDEX(CR:CR,MIN(IF(ISNUMBER(CR53:CR249),ROW(CR53:CR249),"")))</f>
        <v>4.487179487179489</v>
      </c>
      <c r="CT53" s="13">
        <f>IF('Données projet'!$A$140&gt;35,CT52+CS53-DB52,IF(A53&lt;'Données projet'!$A$140,$CQ$205^A53,IF(A53='Données projet'!$A$140,'Données projet'!$B$140,CT52+CS53-DB52)))</f>
        <v>125.00000000000003</v>
      </c>
      <c r="CU53" s="18">
        <f>CT53*VLOOKUP('Données projet'!$B$13,Paramètres!$A$1:$I$89,3,0)*VLOOKUP('Données projet'!$B$13,Paramètres!$A$1:$I$89,5,0)</f>
        <v>83.850000000000023</v>
      </c>
      <c r="CV53" s="14">
        <f t="shared" si="41"/>
        <v>23.075938604999987</v>
      </c>
      <c r="CW53" s="22">
        <f t="shared" si="13"/>
        <v>186.22934307037499</v>
      </c>
      <c r="CX53" s="62">
        <f t="shared" si="14"/>
        <v>441.35032459984507</v>
      </c>
      <c r="CY53" s="62">
        <f ca="1">AVERAGE(OFFSET($CX$3,0,0,'Données projet'!$E$13+1,1))-AVERAGE(OFFSET($H$3,0,0,'Données projet'!$E$13+1,1))</f>
        <v>240.40157928925146</v>
      </c>
      <c r="CZ53" s="62">
        <f t="shared" si="42"/>
        <v>160.5013084380258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121</v>
      </c>
      <c r="DM53" s="13">
        <f>VLOOKUP(A53,'Données projet'!$A$165:$I$185,9,0)</f>
        <v>5.6</v>
      </c>
      <c r="DN53" s="13">
        <f t="array" ref="DN53">INDEX(DM:DM,MIN(IF(ISNUMBER(DM53:DM249),ROW(DM53:DM249),"")))</f>
        <v>5.6</v>
      </c>
      <c r="DO53" s="13">
        <f>IF('Données projet'!$A$166&gt;35,DO52+DN53-DW52,IF(A53&lt;'Données projet'!$A$166,$DL$205^A53,IF(A53='Données projet'!$A$166,'Données projet'!$B$166,DO52+DN53-DW52)))</f>
        <v>120.99999999999996</v>
      </c>
      <c r="DP53" s="18">
        <f>DO53*VLOOKUP('Données projet'!$B$14,Paramètres!$A$1:$I$89,3,0)*VLOOKUP('Données projet'!$B$14,Paramètres!$A$1:$I$89,5,0)</f>
        <v>117.03119999999996</v>
      </c>
      <c r="DQ53" s="14">
        <f t="shared" si="43"/>
        <v>30.981569147428527</v>
      </c>
      <c r="DR53" s="22">
        <f t="shared" si="16"/>
        <v>257.78890626510457</v>
      </c>
      <c r="DS53" s="62">
        <f t="shared" si="17"/>
        <v>512.90988779457462</v>
      </c>
      <c r="DT53" s="62">
        <f ca="1">AVERAGE(OFFSET($DS$3,0,0,'Données projet'!$E$14+1,1))-AVERAGE(OFFSET($H$3,0,0,'Données projet'!$E$14+1,1))</f>
        <v>398.93296311353788</v>
      </c>
      <c r="DU53" s="62">
        <f t="shared" si="44"/>
        <v>173.19148969173838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127</v>
      </c>
      <c r="EH53" s="13">
        <f>VLOOKUP(A53,'Données projet'!$A$191:$I$211,9,0)</f>
        <v>4.2</v>
      </c>
      <c r="EI53" s="13">
        <f t="array" ref="EI53">INDEX(EH:EH,MIN(IF(ISNUMBER(EH53:EH249),ROW(EH53:EH249),"")))</f>
        <v>4.2</v>
      </c>
      <c r="EJ53" s="13">
        <f>IF('Données projet'!$A$192&gt;35,EJ52+EI53-ER52,IF(A53&lt;'Données projet'!$A$192,$EG$205^A53,IF(A53='Données projet'!$A$192,'Données projet'!$B$192,EJ52+EI53-ER52)))</f>
        <v>126.99999999999994</v>
      </c>
      <c r="EK53" s="18">
        <f>EJ53*VLOOKUP('Données projet'!$B$15,Paramètres!$A$1:$I$89,3,0)*VLOOKUP('Données projet'!$B$15,Paramètres!$A$1:$I$89,5,0)</f>
        <v>110.94719999999997</v>
      </c>
      <c r="EL53" s="14">
        <f t="shared" si="45"/>
        <v>29.554040795615606</v>
      </c>
      <c r="EM53" s="22">
        <f t="shared" si="19"/>
        <v>244.70632771903044</v>
      </c>
      <c r="EN53" s="62">
        <f t="shared" si="20"/>
        <v>499.82730924850057</v>
      </c>
      <c r="EO53" s="62">
        <f ca="1">AVERAGE(OFFSET($EN$3,0,0,'Données projet'!$E$15+1,1))-AVERAGE(OFFSET($H$3,0,0,'Données projet'!$E$15+1,1))</f>
        <v>226.37420733783091</v>
      </c>
      <c r="EP53" s="62">
        <f t="shared" si="46"/>
        <v>204.10961748628714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6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9">
        <f t="shared" si="1"/>
        <v>183.33333333333334</v>
      </c>
      <c r="I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7.333333333333333</v>
      </c>
      <c r="N54" s="14">
        <f>IF('Données projet'!$A$36&gt;35,N53+M54-V53,IF(A54&lt;'Données projet'!$A$36,$K$205^A54,IF(A54='Données projet'!$A$36,'Données projet'!$B$36,N53+M54-V53)))</f>
        <v>143.99999999999997</v>
      </c>
      <c r="O54" s="14">
        <f>N54*VLOOKUP('Données projet'!$B$9,Paramètres!$A$1:$I$89,3,0)*VLOOKUP('Données projet'!$B$9,Paramètres!$A$1:$I$89,5,0)</f>
        <v>84.239999999999981</v>
      </c>
      <c r="P54" s="14">
        <f t="shared" si="33"/>
        <v>23.170749718409468</v>
      </c>
      <c r="Q54" s="22">
        <f t="shared" si="53"/>
        <v>187.07372242622978</v>
      </c>
      <c r="R54" s="62">
        <f t="shared" si="0"/>
        <v>442.8576028294766</v>
      </c>
      <c r="S54" s="62">
        <f ca="1">AVERAGE(OFFSET($R$3,0,0,'Données projet'!$E$9+1,1))-AVERAGE(OFFSET($H$3,0,0,'Données projet'!$E$9+1,1))</f>
        <v>196.48726929442091</v>
      </c>
      <c r="T54" s="62">
        <f t="shared" si="34"/>
        <v>193.28400454669347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1.097710181821273E-2</v>
      </c>
      <c r="AC54" s="24">
        <f t="shared" si="3"/>
        <v>1.097710181821273E-2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5.6</v>
      </c>
      <c r="AI54" s="14">
        <f>IF('Données projet'!$A$62&gt;35,AI53+AH54-AQ53,IF(A54&lt;'Données projet'!$A$62,$AF$205^A54,IF(A54='Données projet'!$A$62,'Données projet'!$B$62,AI53+AH54-AQ53)))</f>
        <v>126.59999999999995</v>
      </c>
      <c r="AJ54" s="14">
        <f>AI54*VLOOKUP('Données projet'!$B$10,Paramètres!$A$1:$I$89,3,0)*VLOOKUP('Données projet'!$B$10,Paramètres!$A$1:$I$89,5,0)</f>
        <v>128.37239999999997</v>
      </c>
      <c r="AK54" s="14">
        <f t="shared" si="35"/>
        <v>33.619993430877038</v>
      </c>
      <c r="AL54" s="22">
        <f t="shared" si="4"/>
        <v>282.13675189211079</v>
      </c>
      <c r="AM54" s="62">
        <f t="shared" si="5"/>
        <v>537.92063229535756</v>
      </c>
      <c r="AN54" s="62">
        <f ca="1">AVERAGE(OFFSET($AM$3,0,0,'Données projet'!$E$10+1,1))-AVERAGE(OFFSET($H$3,0,0,'Données projet'!$E$10+1,1))</f>
        <v>414.29294334114661</v>
      </c>
      <c r="AO54" s="62">
        <f t="shared" si="36"/>
        <v>178.72086185623849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5.6</v>
      </c>
      <c r="BD54" s="13">
        <f>IF('Données projet'!$A$88&gt;35,BD53+BC54-BL53,IF(A54&lt;'Données projet'!$A$88,$BA$205^A54,IF(A54='Données projet'!$A$88,'Données projet'!$B$88,BD53+BC54-BL53)))</f>
        <v>126.59999999999995</v>
      </c>
      <c r="BE54" s="14">
        <f>BD54*VLOOKUP('Données projet'!$B$11,Paramètres!$A$1:$I$89,3,0)*VLOOKUP('Données projet'!$B$11,Paramètres!$A$1:$I$89,5,0)</f>
        <v>136.27223999999993</v>
      </c>
      <c r="BF54" s="14">
        <f t="shared" si="37"/>
        <v>35.441691330456997</v>
      </c>
      <c r="BG54" s="22">
        <f t="shared" si="7"/>
        <v>299.06843040054582</v>
      </c>
      <c r="BH54" s="62">
        <f t="shared" si="8"/>
        <v>554.85231080379265</v>
      </c>
      <c r="BI54" s="62">
        <f ca="1">AVERAGE(OFFSET($BH$3,0,0,'Données projet'!$E$11+1,1))-AVERAGE(OFFSET($H$3,0,0,'Données projet'!$E$11+1,1))</f>
        <v>434.74983403680108</v>
      </c>
      <c r="BJ54" s="62">
        <f t="shared" si="38"/>
        <v>186.0840067781198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4.3589743589743595</v>
      </c>
      <c r="BY54" s="13">
        <f>IF('Données projet'!$A$114&gt;35,BY53+BX54-CG53,IF(A54&lt;'Données projet'!$A$114,$BV$205^A54,IF(A54='Données projet'!$A$114,'Données projet'!$B$114,BY53+BX54-CG53)))</f>
        <v>129.35897435897439</v>
      </c>
      <c r="BZ54" s="14">
        <f>BY54*VLOOKUP('Données projet'!$B$12,Paramètres!$A$1:$I$89,3,0)*VLOOKUP('Données projet'!$B$12,Paramètres!$A$1:$I$89,5,0)</f>
        <v>110.99000000000005</v>
      </c>
      <c r="CA54" s="14">
        <f t="shared" si="39"/>
        <v>29.564114524280392</v>
      </c>
      <c r="CB54" s="22">
        <f t="shared" si="10"/>
        <v>244.79841612978839</v>
      </c>
      <c r="CC54" s="62">
        <f t="shared" si="11"/>
        <v>500.58229653303522</v>
      </c>
      <c r="CD54" s="62">
        <f ca="1">AVERAGE(OFFSET($CC$3,0,0,'Données projet'!$E$12+1,1))-AVERAGE(OFFSET($H$3,0,0,'Données projet'!$E$12+1,1))</f>
        <v>288.24759203983547</v>
      </c>
      <c r="CE54" s="62">
        <f t="shared" si="40"/>
        <v>188.86613033148794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4.3589743589743595</v>
      </c>
      <c r="CT54" s="13">
        <f>IF('Données projet'!$A$140&gt;35,CT53+CS54-DB53,IF(A54&lt;'Données projet'!$A$140,$CQ$205^A54,IF(A54='Données projet'!$A$140,'Données projet'!$B$140,CT53+CS54-DB53)))</f>
        <v>129.35897435897439</v>
      </c>
      <c r="CU54" s="18">
        <f>CT54*VLOOKUP('Données projet'!$B$13,Paramètres!$A$1:$I$89,3,0)*VLOOKUP('Données projet'!$B$13,Paramètres!$A$1:$I$89,5,0)</f>
        <v>86.774000000000029</v>
      </c>
      <c r="CV54" s="14">
        <f t="shared" si="41"/>
        <v>23.785546313501843</v>
      </c>
      <c r="CW54" s="22">
        <f t="shared" si="13"/>
        <v>192.55787649601575</v>
      </c>
      <c r="CX54" s="62">
        <f t="shared" si="14"/>
        <v>448.34175689926258</v>
      </c>
      <c r="CY54" s="62">
        <f ca="1">AVERAGE(OFFSET($CX$3,0,0,'Données projet'!$E$13+1,1))-AVERAGE(OFFSET($H$3,0,0,'Données projet'!$E$13+1,1))</f>
        <v>240.40157928925146</v>
      </c>
      <c r="CZ54" s="62">
        <f t="shared" si="42"/>
        <v>160.5013084380258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5.6</v>
      </c>
      <c r="DO54" s="13">
        <f>IF('Données projet'!$A$166&gt;35,DO53+DN54-DW53,IF(A54&lt;'Données projet'!$A$166,$DL$205^A54,IF(A54='Données projet'!$A$166,'Données projet'!$B$166,DO53+DN54-DW53)))</f>
        <v>126.59999999999995</v>
      </c>
      <c r="DP54" s="18">
        <f>DO54*VLOOKUP('Données projet'!$B$14,Paramètres!$A$1:$I$89,3,0)*VLOOKUP('Données projet'!$B$14,Paramètres!$A$1:$I$89,5,0)</f>
        <v>122.44751999999997</v>
      </c>
      <c r="DQ54" s="14">
        <f t="shared" si="43"/>
        <v>32.245170611031256</v>
      </c>
      <c r="DR54" s="22">
        <f t="shared" si="16"/>
        <v>269.42310281421265</v>
      </c>
      <c r="DS54" s="62">
        <f t="shared" si="17"/>
        <v>525.20698321745954</v>
      </c>
      <c r="DT54" s="62">
        <f ca="1">AVERAGE(OFFSET($DS$3,0,0,'Données projet'!$E$14+1,1))-AVERAGE(OFFSET($H$3,0,0,'Données projet'!$E$14+1,1))</f>
        <v>398.93296311353788</v>
      </c>
      <c r="DU54" s="62">
        <f t="shared" si="44"/>
        <v>173.19148969173838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3.4</v>
      </c>
      <c r="EJ54" s="13">
        <f>IF('Données projet'!$A$192&gt;35,EJ53+EI54-ER53,IF(A54&lt;'Données projet'!$A$192,$EG$205^A54,IF(A54='Données projet'!$A$192,'Données projet'!$B$192,EJ53+EI54-ER53)))</f>
        <v>130.39999999999995</v>
      </c>
      <c r="EK54" s="18">
        <f>EJ54*VLOOKUP('Données projet'!$B$15,Paramètres!$A$1:$I$89,3,0)*VLOOKUP('Données projet'!$B$15,Paramètres!$A$1:$I$89,5,0)</f>
        <v>113.91743999999996</v>
      </c>
      <c r="EL54" s="14">
        <f t="shared" si="45"/>
        <v>30.252075834566813</v>
      </c>
      <c r="EM54" s="22">
        <f t="shared" si="19"/>
        <v>251.0952400785371</v>
      </c>
      <c r="EN54" s="62">
        <f t="shared" si="20"/>
        <v>506.87912048178396</v>
      </c>
      <c r="EO54" s="62">
        <f ca="1">AVERAGE(OFFSET($EN$3,0,0,'Données projet'!$E$15+1,1))-AVERAGE(OFFSET($H$3,0,0,'Données projet'!$E$15+1,1))</f>
        <v>226.37420733783091</v>
      </c>
      <c r="EP54" s="62">
        <f t="shared" si="46"/>
        <v>204.10961748628714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6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9">
        <f t="shared" si="1"/>
        <v>183.33333333333334</v>
      </c>
      <c r="I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7.333333333333333</v>
      </c>
      <c r="N55" s="14">
        <f>IF('Données projet'!$A$36&gt;35,N54+M55-V54,IF(A55&lt;'Données projet'!$A$36,$K$205^A55,IF(A55='Données projet'!$A$36,'Données projet'!$B$36,N54+M55-V54)))</f>
        <v>151.33333333333331</v>
      </c>
      <c r="O55" s="14">
        <f>N55*VLOOKUP('Données projet'!$B$9,Paramètres!$A$1:$I$89,3,0)*VLOOKUP('Données projet'!$B$9,Paramètres!$A$1:$I$89,5,0)</f>
        <v>88.53</v>
      </c>
      <c r="P55" s="14">
        <f t="shared" si="33"/>
        <v>24.210357310223298</v>
      </c>
      <c r="Q55" s="22">
        <f t="shared" si="53"/>
        <v>196.35612231530558</v>
      </c>
      <c r="R55" s="62">
        <f t="shared" si="0"/>
        <v>452.79140177888894</v>
      </c>
      <c r="S55" s="62">
        <f ca="1">AVERAGE(OFFSET($R$3,0,0,'Données projet'!$E$9+1,1))-AVERAGE(OFFSET($H$3,0,0,'Données projet'!$E$9+1,1))</f>
        <v>196.48726929442091</v>
      </c>
      <c r="T55" s="62">
        <f t="shared" si="34"/>
        <v>193.28400454669347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7.7619831334334024E-3</v>
      </c>
      <c r="AC55" s="24">
        <f t="shared" si="3"/>
        <v>7.7619831334334024E-3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5.6</v>
      </c>
      <c r="AI55" s="14">
        <f>IF('Données projet'!$A$62&gt;35,AI54+AH55-AQ54,IF(A55&lt;'Données projet'!$A$62,$AF$205^A55,IF(A55='Données projet'!$A$62,'Données projet'!$B$62,AI54+AH55-AQ54)))</f>
        <v>132.19999999999996</v>
      </c>
      <c r="AJ55" s="14">
        <f>AI55*VLOOKUP('Données projet'!$B$10,Paramètres!$A$1:$I$89,3,0)*VLOOKUP('Données projet'!$B$10,Paramètres!$A$1:$I$89,5,0)</f>
        <v>134.05079999999998</v>
      </c>
      <c r="AK55" s="14">
        <f t="shared" si="35"/>
        <v>34.930702157857986</v>
      </c>
      <c r="AL55" s="22">
        <f t="shared" si="4"/>
        <v>294.30944959160263</v>
      </c>
      <c r="AM55" s="62">
        <f t="shared" si="5"/>
        <v>550.74472905518599</v>
      </c>
      <c r="AN55" s="62">
        <f ca="1">AVERAGE(OFFSET($AM$3,0,0,'Données projet'!$E$10+1,1))-AVERAGE(OFFSET($H$3,0,0,'Données projet'!$E$10+1,1))</f>
        <v>414.29294334114661</v>
      </c>
      <c r="AO55" s="62">
        <f t="shared" si="36"/>
        <v>178.72086185623849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5.6</v>
      </c>
      <c r="BD55" s="13">
        <f>IF('Données projet'!$A$88&gt;35,BD54+BC55-BL54,IF(A55&lt;'Données projet'!$A$88,$BA$205^A55,IF(A55='Données projet'!$A$88,'Données projet'!$B$88,BD54+BC55-BL54)))</f>
        <v>132.19999999999996</v>
      </c>
      <c r="BE55" s="14">
        <f>BD55*VLOOKUP('Données projet'!$B$11,Paramètres!$A$1:$I$89,3,0)*VLOOKUP('Données projet'!$B$11,Paramètres!$A$1:$I$89,5,0)</f>
        <v>142.30007999999995</v>
      </c>
      <c r="BF55" s="14">
        <f t="shared" si="37"/>
        <v>36.823420753495235</v>
      </c>
      <c r="BG55" s="22">
        <f t="shared" si="7"/>
        <v>311.97343047900409</v>
      </c>
      <c r="BH55" s="62">
        <f t="shared" si="8"/>
        <v>568.40870994258739</v>
      </c>
      <c r="BI55" s="62">
        <f ca="1">AVERAGE(OFFSET($BH$3,0,0,'Données projet'!$E$11+1,1))-AVERAGE(OFFSET($H$3,0,0,'Données projet'!$E$11+1,1))</f>
        <v>434.74983403680108</v>
      </c>
      <c r="BJ55" s="62">
        <f t="shared" si="38"/>
        <v>186.0840067781198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4.3589743589743595</v>
      </c>
      <c r="BY55" s="13">
        <f>IF('Données projet'!$A$114&gt;35,BY54+BX55-CG54,IF(A55&lt;'Données projet'!$A$114,$BV$205^A55,IF(A55='Données projet'!$A$114,'Données projet'!$B$114,BY54+BX55-CG54)))</f>
        <v>133.71794871794876</v>
      </c>
      <c r="BZ55" s="14">
        <f>BY55*VLOOKUP('Données projet'!$B$12,Paramètres!$A$1:$I$89,3,0)*VLOOKUP('Données projet'!$B$12,Paramètres!$A$1:$I$89,5,0)</f>
        <v>114.73000000000005</v>
      </c>
      <c r="CA55" s="14">
        <f t="shared" si="39"/>
        <v>30.442664144734909</v>
      </c>
      <c r="CB55" s="22">
        <f t="shared" si="10"/>
        <v>252.84239005208005</v>
      </c>
      <c r="CC55" s="62">
        <f t="shared" si="11"/>
        <v>509.27766951566343</v>
      </c>
      <c r="CD55" s="62">
        <f ca="1">AVERAGE(OFFSET($CC$3,0,0,'Données projet'!$E$12+1,1))-AVERAGE(OFFSET($H$3,0,0,'Données projet'!$E$12+1,1))</f>
        <v>288.24759203983547</v>
      </c>
      <c r="CE55" s="62">
        <f t="shared" si="40"/>
        <v>188.86613033148794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4.3589743589743595</v>
      </c>
      <c r="CT55" s="13">
        <f>IF('Données projet'!$A$140&gt;35,CT54+CS55-DB54,IF(A55&lt;'Données projet'!$A$140,$CQ$205^A55,IF(A55='Données projet'!$A$140,'Données projet'!$B$140,CT54+CS55-DB54)))</f>
        <v>133.71794871794876</v>
      </c>
      <c r="CU55" s="18">
        <f>CT55*VLOOKUP('Données projet'!$B$13,Paramètres!$A$1:$I$89,3,0)*VLOOKUP('Données projet'!$B$13,Paramètres!$A$1:$I$89,5,0)</f>
        <v>89.698000000000036</v>
      </c>
      <c r="CV55" s="14">
        <f t="shared" si="41"/>
        <v>24.492375624045465</v>
      </c>
      <c r="CW55" s="22">
        <f t="shared" si="13"/>
        <v>198.88157087854589</v>
      </c>
      <c r="CX55" s="62">
        <f t="shared" si="14"/>
        <v>455.31685034212921</v>
      </c>
      <c r="CY55" s="62">
        <f ca="1">AVERAGE(OFFSET($CX$3,0,0,'Données projet'!$E$13+1,1))-AVERAGE(OFFSET($H$3,0,0,'Données projet'!$E$13+1,1))</f>
        <v>240.40157928925146</v>
      </c>
      <c r="CZ55" s="62">
        <f t="shared" si="42"/>
        <v>160.5013084380258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5.6</v>
      </c>
      <c r="DO55" s="13">
        <f>IF('Données projet'!$A$166&gt;35,DO54+DN55-DW54,IF(A55&lt;'Données projet'!$A$166,$DL$205^A55,IF(A55='Données projet'!$A$166,'Données projet'!$B$166,DO54+DN55-DW54)))</f>
        <v>132.19999999999996</v>
      </c>
      <c r="DP55" s="18">
        <f>DO55*VLOOKUP('Données projet'!$B$14,Paramètres!$A$1:$I$89,3,0)*VLOOKUP('Données projet'!$B$14,Paramètres!$A$1:$I$89,5,0)</f>
        <v>127.86383999999995</v>
      </c>
      <c r="DQ55" s="14">
        <f t="shared" si="43"/>
        <v>33.502280509335172</v>
      </c>
      <c r="DR55" s="22">
        <f t="shared" si="16"/>
        <v>281.04599322042532</v>
      </c>
      <c r="DS55" s="62">
        <f t="shared" si="17"/>
        <v>537.48127268400867</v>
      </c>
      <c r="DT55" s="62">
        <f ca="1">AVERAGE(OFFSET($DS$3,0,0,'Données projet'!$E$14+1,1))-AVERAGE(OFFSET($H$3,0,0,'Données projet'!$E$14+1,1))</f>
        <v>398.93296311353788</v>
      </c>
      <c r="DU55" s="62">
        <f t="shared" si="44"/>
        <v>173.19148969173838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3.4</v>
      </c>
      <c r="EJ55" s="13">
        <f>IF('Données projet'!$A$192&gt;35,EJ54+EI55-ER54,IF(A55&lt;'Données projet'!$A$192,$EG$205^A55,IF(A55='Données projet'!$A$192,'Données projet'!$B$192,EJ54+EI55-ER54)))</f>
        <v>133.79999999999995</v>
      </c>
      <c r="EK55" s="18">
        <f>EJ55*VLOOKUP('Données projet'!$B$15,Paramètres!$A$1:$I$89,3,0)*VLOOKUP('Données projet'!$B$15,Paramètres!$A$1:$I$89,5,0)</f>
        <v>116.88767999999997</v>
      </c>
      <c r="EL55" s="14">
        <f t="shared" si="45"/>
        <v>30.947995316838725</v>
      </c>
      <c r="EM55" s="22">
        <f t="shared" si="19"/>
        <v>257.48046784349401</v>
      </c>
      <c r="EN55" s="62">
        <f t="shared" si="20"/>
        <v>513.91574730707737</v>
      </c>
      <c r="EO55" s="62">
        <f ca="1">AVERAGE(OFFSET($EN$3,0,0,'Données projet'!$E$15+1,1))-AVERAGE(OFFSET($H$3,0,0,'Données projet'!$E$15+1,1))</f>
        <v>226.37420733783091</v>
      </c>
      <c r="EP55" s="62">
        <f t="shared" si="46"/>
        <v>204.10961748628714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6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9">
        <f t="shared" si="1"/>
        <v>183.33333333333334</v>
      </c>
      <c r="I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7.333333333333333</v>
      </c>
      <c r="N56" s="14">
        <f>IF('Données projet'!$A$36&gt;35,N55+M56-V55,IF(A56&lt;'Données projet'!$A$36,$K$205^A56,IF(A56='Données projet'!$A$36,'Données projet'!$B$36,N55+M56-V55)))</f>
        <v>158.66666666666666</v>
      </c>
      <c r="O56" s="14">
        <f>N56*VLOOKUP('Données projet'!$B$9,Paramètres!$A$1:$I$89,3,0)*VLOOKUP('Données projet'!$B$9,Paramètres!$A$1:$I$89,5,0)</f>
        <v>92.82</v>
      </c>
      <c r="P56" s="14">
        <f t="shared" si="33"/>
        <v>25.244115055224704</v>
      </c>
      <c r="Q56" s="22">
        <f t="shared" si="53"/>
        <v>205.62833372118303</v>
      </c>
      <c r="R56" s="62">
        <f t="shared" si="0"/>
        <v>462.70371192771626</v>
      </c>
      <c r="S56" s="62">
        <f ca="1">AVERAGE(OFFSET($R$3,0,0,'Données projet'!$E$9+1,1))-AVERAGE(OFFSET($H$3,0,0,'Données projet'!$E$9+1,1))</f>
        <v>196.48726929442091</v>
      </c>
      <c r="T56" s="62">
        <f t="shared" si="34"/>
        <v>193.28400454669347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5.4885509091063657E-3</v>
      </c>
      <c r="AC56" s="24">
        <f t="shared" si="3"/>
        <v>5.4885509091063657E-3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5.6</v>
      </c>
      <c r="AI56" s="14">
        <f>IF('Données projet'!$A$62&gt;35,AI55+AH56-AQ55,IF(A56&lt;'Données projet'!$A$62,$AF$205^A56,IF(A56='Données projet'!$A$62,'Données projet'!$B$62,AI55+AH56-AQ55)))</f>
        <v>137.79999999999995</v>
      </c>
      <c r="AJ56" s="14">
        <f>AI56*VLOOKUP('Données projet'!$B$10,Paramètres!$A$1:$I$89,3,0)*VLOOKUP('Données projet'!$B$10,Paramètres!$A$1:$I$89,5,0)</f>
        <v>139.72919999999996</v>
      </c>
      <c r="AK56" s="14">
        <f t="shared" si="35"/>
        <v>36.234962028891381</v>
      </c>
      <c r="AL56" s="22">
        <f t="shared" si="4"/>
        <v>306.47091553365243</v>
      </c>
      <c r="AM56" s="62">
        <f t="shared" si="5"/>
        <v>563.54629374018566</v>
      </c>
      <c r="AN56" s="62">
        <f ca="1">AVERAGE(OFFSET($AM$3,0,0,'Données projet'!$E$10+1,1))-AVERAGE(OFFSET($H$3,0,0,'Données projet'!$E$10+1,1))</f>
        <v>414.29294334114661</v>
      </c>
      <c r="AO56" s="62">
        <f t="shared" si="36"/>
        <v>178.72086185623849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5.6</v>
      </c>
      <c r="BD56" s="13">
        <f>IF('Données projet'!$A$88&gt;35,BD55+BC56-BL55,IF(A56&lt;'Données projet'!$A$88,$BA$205^A56,IF(A56='Données projet'!$A$88,'Données projet'!$B$88,BD55+BC56-BL55)))</f>
        <v>137.79999999999995</v>
      </c>
      <c r="BE56" s="14">
        <f>BD56*VLOOKUP('Données projet'!$B$11,Paramètres!$A$1:$I$89,3,0)*VLOOKUP('Données projet'!$B$11,Paramètres!$A$1:$I$89,5,0)</f>
        <v>148.32791999999995</v>
      </c>
      <c r="BF56" s="14">
        <f t="shared" si="37"/>
        <v>38.198351889603472</v>
      </c>
      <c r="BG56" s="22">
        <f t="shared" si="7"/>
        <v>324.86659020772595</v>
      </c>
      <c r="BH56" s="62">
        <f t="shared" si="8"/>
        <v>581.94196841425924</v>
      </c>
      <c r="BI56" s="62">
        <f ca="1">AVERAGE(OFFSET($BH$3,0,0,'Données projet'!$E$11+1,1))-AVERAGE(OFFSET($H$3,0,0,'Données projet'!$E$11+1,1))</f>
        <v>434.74983403680108</v>
      </c>
      <c r="BJ56" s="62">
        <f t="shared" si="38"/>
        <v>186.0840067781198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4.3589743589743595</v>
      </c>
      <c r="BY56" s="13">
        <f>IF('Données projet'!$A$114&gt;35,BY55+BX56-CG55,IF(A56&lt;'Données projet'!$A$114,$BV$205^A56,IF(A56='Données projet'!$A$114,'Données projet'!$B$114,BY55+BX56-CG55)))</f>
        <v>138.07692307692312</v>
      </c>
      <c r="BZ56" s="14">
        <f>BY56*VLOOKUP('Données projet'!$B$12,Paramètres!$A$1:$I$89,3,0)*VLOOKUP('Données projet'!$B$12,Paramètres!$A$1:$I$89,5,0)</f>
        <v>118.47000000000006</v>
      </c>
      <c r="CA56" s="14">
        <f t="shared" si="39"/>
        <v>31.317885856047653</v>
      </c>
      <c r="CB56" s="22">
        <f t="shared" si="10"/>
        <v>260.88056786594973</v>
      </c>
      <c r="CC56" s="62">
        <f t="shared" si="11"/>
        <v>517.9559460724829</v>
      </c>
      <c r="CD56" s="62">
        <f ca="1">AVERAGE(OFFSET($CC$3,0,0,'Données projet'!$E$12+1,1))-AVERAGE(OFFSET($H$3,0,0,'Données projet'!$E$12+1,1))</f>
        <v>288.24759203983547</v>
      </c>
      <c r="CE56" s="62">
        <f t="shared" si="40"/>
        <v>188.86613033148794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4.3589743589743595</v>
      </c>
      <c r="CT56" s="13">
        <f>IF('Données projet'!$A$140&gt;35,CT55+CS56-DB55,IF(A56&lt;'Données projet'!$A$140,$CQ$205^A56,IF(A56='Données projet'!$A$140,'Données projet'!$B$140,CT55+CS56-DB55)))</f>
        <v>138.07692307692312</v>
      </c>
      <c r="CU56" s="18">
        <f>CT56*VLOOKUP('Données projet'!$B$13,Paramètres!$A$1:$I$89,3,0)*VLOOKUP('Données projet'!$B$13,Paramètres!$A$1:$I$89,5,0)</f>
        <v>92.622000000000043</v>
      </c>
      <c r="CV56" s="14">
        <f t="shared" si="41"/>
        <v>25.196527494784391</v>
      </c>
      <c r="CW56" s="22">
        <f t="shared" si="13"/>
        <v>205.20060205341622</v>
      </c>
      <c r="CX56" s="62">
        <f t="shared" si="14"/>
        <v>462.27598025994945</v>
      </c>
      <c r="CY56" s="62">
        <f ca="1">AVERAGE(OFFSET($CX$3,0,0,'Données projet'!$E$13+1,1))-AVERAGE(OFFSET($H$3,0,0,'Données projet'!$E$13+1,1))</f>
        <v>240.40157928925146</v>
      </c>
      <c r="CZ56" s="62">
        <f t="shared" si="42"/>
        <v>160.5013084380258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5.6</v>
      </c>
      <c r="DO56" s="13">
        <f>IF('Données projet'!$A$166&gt;35,DO55+DN56-DW55,IF(A56&lt;'Données projet'!$A$166,$DL$205^A56,IF(A56='Données projet'!$A$166,'Données projet'!$B$166,DO55+DN56-DW55)))</f>
        <v>137.79999999999995</v>
      </c>
      <c r="DP56" s="18">
        <f>DO56*VLOOKUP('Données projet'!$B$14,Paramètres!$A$1:$I$89,3,0)*VLOOKUP('Données projet'!$B$14,Paramètres!$A$1:$I$89,5,0)</f>
        <v>133.28015999999994</v>
      </c>
      <c r="DQ56" s="14">
        <f t="shared" si="43"/>
        <v>34.753205264839991</v>
      </c>
      <c r="DR56" s="22">
        <f t="shared" si="16"/>
        <v>292.65811116959617</v>
      </c>
      <c r="DS56" s="62">
        <f t="shared" si="17"/>
        <v>549.73348937612946</v>
      </c>
      <c r="DT56" s="62">
        <f ca="1">AVERAGE(OFFSET($DS$3,0,0,'Données projet'!$E$14+1,1))-AVERAGE(OFFSET($H$3,0,0,'Données projet'!$E$14+1,1))</f>
        <v>398.93296311353788</v>
      </c>
      <c r="DU56" s="62">
        <f t="shared" si="44"/>
        <v>173.19148969173838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3.4</v>
      </c>
      <c r="EJ56" s="13">
        <f>IF('Données projet'!$A$192&gt;35,EJ55+EI56-ER55,IF(A56&lt;'Données projet'!$A$192,$EG$205^A56,IF(A56='Données projet'!$A$192,'Données projet'!$B$192,EJ55+EI56-ER55)))</f>
        <v>137.19999999999996</v>
      </c>
      <c r="EK56" s="18">
        <f>EJ56*VLOOKUP('Données projet'!$B$15,Paramètres!$A$1:$I$89,3,0)*VLOOKUP('Données projet'!$B$15,Paramètres!$A$1:$I$89,5,0)</f>
        <v>119.85791999999998</v>
      </c>
      <c r="EL56" s="14">
        <f t="shared" si="45"/>
        <v>31.641859182846893</v>
      </c>
      <c r="EM56" s="22">
        <f t="shared" si="19"/>
        <v>263.86211541012494</v>
      </c>
      <c r="EN56" s="62">
        <f t="shared" si="20"/>
        <v>520.93749361665823</v>
      </c>
      <c r="EO56" s="62">
        <f ca="1">AVERAGE(OFFSET($EN$3,0,0,'Données projet'!$E$15+1,1))-AVERAGE(OFFSET($H$3,0,0,'Données projet'!$E$15+1,1))</f>
        <v>226.37420733783091</v>
      </c>
      <c r="EP56" s="62">
        <f t="shared" si="46"/>
        <v>204.10961748628714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6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9">
        <f t="shared" si="1"/>
        <v>183.33333333333334</v>
      </c>
      <c r="I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7.333333333333333</v>
      </c>
      <c r="N57" s="14">
        <f>IF('Données projet'!$A$36&gt;35,N56+M57-V56,IF(A57&lt;'Données projet'!$A$36,$K$205^A57,IF(A57='Données projet'!$A$36,'Données projet'!$B$36,N56+M57-V56)))</f>
        <v>166</v>
      </c>
      <c r="O57" s="14">
        <f>N57*VLOOKUP('Données projet'!$B$9,Paramètres!$A$1:$I$89,3,0)*VLOOKUP('Données projet'!$B$9,Paramètres!$A$1:$I$89,5,0)</f>
        <v>97.110000000000014</v>
      </c>
      <c r="P57" s="14">
        <f t="shared" si="33"/>
        <v>26.272324204451365</v>
      </c>
      <c r="Q57" s="22">
        <f t="shared" si="53"/>
        <v>214.89088132275279</v>
      </c>
      <c r="R57" s="62">
        <f t="shared" si="0"/>
        <v>472.59525399009215</v>
      </c>
      <c r="S57" s="62">
        <f ca="1">AVERAGE(OFFSET($R$3,0,0,'Données projet'!$E$9+1,1))-AVERAGE(OFFSET($H$3,0,0,'Données projet'!$E$9+1,1))</f>
        <v>196.48726929442091</v>
      </c>
      <c r="T57" s="62">
        <f t="shared" si="34"/>
        <v>193.28400454669347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3.8809915667167016E-3</v>
      </c>
      <c r="AC57" s="24">
        <f t="shared" si="3"/>
        <v>3.8809915667167016E-3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5.6</v>
      </c>
      <c r="AI57" s="14">
        <f>IF('Données projet'!$A$62&gt;35,AI56+AH57-AQ56,IF(A57&lt;'Données projet'!$A$62,$AF$205^A57,IF(A57='Données projet'!$A$62,'Données projet'!$B$62,AI56+AH57-AQ56)))</f>
        <v>143.39999999999995</v>
      </c>
      <c r="AJ57" s="14">
        <f>AI57*VLOOKUP('Données projet'!$B$10,Paramètres!$A$1:$I$89,3,0)*VLOOKUP('Données projet'!$B$10,Paramètres!$A$1:$I$89,5,0)</f>
        <v>145.40759999999995</v>
      </c>
      <c r="AK57" s="14">
        <f t="shared" si="35"/>
        <v>37.533065094701904</v>
      </c>
      <c r="AL57" s="22">
        <f t="shared" si="4"/>
        <v>318.62165837327234</v>
      </c>
      <c r="AM57" s="62">
        <f t="shared" si="5"/>
        <v>576.32603104061172</v>
      </c>
      <c r="AN57" s="62">
        <f ca="1">AVERAGE(OFFSET($AM$3,0,0,'Données projet'!$E$10+1,1))-AVERAGE(OFFSET($H$3,0,0,'Données projet'!$E$10+1,1))</f>
        <v>414.29294334114661</v>
      </c>
      <c r="AO57" s="62">
        <f t="shared" si="36"/>
        <v>178.72086185623849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5.6</v>
      </c>
      <c r="BD57" s="13">
        <f>IF('Données projet'!$A$88&gt;35,BD56+BC57-BL56,IF(A57&lt;'Données projet'!$A$88,$BA$205^A57,IF(A57='Données projet'!$A$88,'Données projet'!$B$88,BD56+BC57-BL56)))</f>
        <v>143.39999999999995</v>
      </c>
      <c r="BE57" s="14">
        <f>BD57*VLOOKUP('Données projet'!$B$11,Paramètres!$A$1:$I$89,3,0)*VLOOKUP('Données projet'!$B$11,Paramètres!$A$1:$I$89,5,0)</f>
        <v>154.35575999999995</v>
      </c>
      <c r="BF57" s="14">
        <f t="shared" si="37"/>
        <v>39.566792614262397</v>
      </c>
      <c r="BG57" s="22">
        <f t="shared" si="7"/>
        <v>337.74844580317352</v>
      </c>
      <c r="BH57" s="62">
        <f t="shared" si="8"/>
        <v>595.45281847051285</v>
      </c>
      <c r="BI57" s="62">
        <f ca="1">AVERAGE(OFFSET($BH$3,0,0,'Données projet'!$E$11+1,1))-AVERAGE(OFFSET($H$3,0,0,'Données projet'!$E$11+1,1))</f>
        <v>434.74983403680108</v>
      </c>
      <c r="BJ57" s="62">
        <f t="shared" si="38"/>
        <v>186.0840067781198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4.3589743589743595</v>
      </c>
      <c r="BY57" s="13">
        <f>IF('Données projet'!$A$114&gt;35,BY56+BX57-CG56,IF(A57&lt;'Données projet'!$A$114,$BV$205^A57,IF(A57='Données projet'!$A$114,'Données projet'!$B$114,BY56+BX57-CG56)))</f>
        <v>142.43589743589749</v>
      </c>
      <c r="BZ57" s="14">
        <f>BY57*VLOOKUP('Données projet'!$B$12,Paramètres!$A$1:$I$89,3,0)*VLOOKUP('Données projet'!$B$12,Paramètres!$A$1:$I$89,5,0)</f>
        <v>122.21000000000005</v>
      </c>
      <c r="CA57" s="14">
        <f t="shared" si="39"/>
        <v>32.189896770711933</v>
      </c>
      <c r="CB57" s="22">
        <f t="shared" si="10"/>
        <v>268.91315354232341</v>
      </c>
      <c r="CC57" s="62">
        <f t="shared" si="11"/>
        <v>526.61752620966274</v>
      </c>
      <c r="CD57" s="62">
        <f ca="1">AVERAGE(OFFSET($CC$3,0,0,'Données projet'!$E$12+1,1))-AVERAGE(OFFSET($H$3,0,0,'Données projet'!$E$12+1,1))</f>
        <v>288.24759203983547</v>
      </c>
      <c r="CE57" s="62">
        <f t="shared" si="40"/>
        <v>188.86613033148794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4.3589743589743595</v>
      </c>
      <c r="CT57" s="13">
        <f>IF('Données projet'!$A$140&gt;35,CT56+CS57-DB56,IF(A57&lt;'Données projet'!$A$140,$CQ$205^A57,IF(A57='Données projet'!$A$140,'Données projet'!$B$140,CT56+CS57-DB56)))</f>
        <v>142.43589743589749</v>
      </c>
      <c r="CU57" s="18">
        <f>CT57*VLOOKUP('Données projet'!$B$13,Paramètres!$A$1:$I$89,3,0)*VLOOKUP('Données projet'!$B$13,Paramètres!$A$1:$I$89,5,0)</f>
        <v>95.546000000000035</v>
      </c>
      <c r="CV57" s="14">
        <f t="shared" si="41"/>
        <v>25.898096147537128</v>
      </c>
      <c r="CW57" s="22">
        <f t="shared" si="13"/>
        <v>211.51513412362723</v>
      </c>
      <c r="CX57" s="62">
        <f t="shared" si="14"/>
        <v>469.21950679096653</v>
      </c>
      <c r="CY57" s="62">
        <f ca="1">AVERAGE(OFFSET($CX$3,0,0,'Données projet'!$E$13+1,1))-AVERAGE(OFFSET($H$3,0,0,'Données projet'!$E$13+1,1))</f>
        <v>240.40157928925146</v>
      </c>
      <c r="CZ57" s="62">
        <f t="shared" si="42"/>
        <v>160.5013084380258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5.6</v>
      </c>
      <c r="DO57" s="13">
        <f>IF('Données projet'!$A$166&gt;35,DO56+DN57-DW56,IF(A57&lt;'Données projet'!$A$166,$DL$205^A57,IF(A57='Données projet'!$A$166,'Données projet'!$B$166,DO56+DN57-DW56)))</f>
        <v>143.39999999999995</v>
      </c>
      <c r="DP57" s="18">
        <f>DO57*VLOOKUP('Données projet'!$B$14,Paramètres!$A$1:$I$89,3,0)*VLOOKUP('Données projet'!$B$14,Paramètres!$A$1:$I$89,5,0)</f>
        <v>138.69647999999995</v>
      </c>
      <c r="DQ57" s="14">
        <f t="shared" si="43"/>
        <v>35.998224985436444</v>
      </c>
      <c r="DR57" s="22">
        <f t="shared" si="16"/>
        <v>304.25994451630169</v>
      </c>
      <c r="DS57" s="62">
        <f t="shared" si="17"/>
        <v>561.96431718364101</v>
      </c>
      <c r="DT57" s="62">
        <f ca="1">AVERAGE(OFFSET($DS$3,0,0,'Données projet'!$E$14+1,1))-AVERAGE(OFFSET($H$3,0,0,'Données projet'!$E$14+1,1))</f>
        <v>398.93296311353788</v>
      </c>
      <c r="DU57" s="62">
        <f t="shared" si="44"/>
        <v>173.19148969173838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3.4</v>
      </c>
      <c r="EJ57" s="13">
        <f>IF('Données projet'!$A$192&gt;35,EJ56+EI57-ER56,IF(A57&lt;'Données projet'!$A$192,$EG$205^A57,IF(A57='Données projet'!$A$192,'Données projet'!$B$192,EJ56+EI57-ER56)))</f>
        <v>140.59999999999997</v>
      </c>
      <c r="EK57" s="18">
        <f>EJ57*VLOOKUP('Données projet'!$B$15,Paramètres!$A$1:$I$89,3,0)*VLOOKUP('Données projet'!$B$15,Paramètres!$A$1:$I$89,5,0)</f>
        <v>122.82815999999998</v>
      </c>
      <c r="EL57" s="14">
        <f t="shared" si="45"/>
        <v>32.333724232859019</v>
      </c>
      <c r="EM57" s="22">
        <f t="shared" si="19"/>
        <v>270.24028170556272</v>
      </c>
      <c r="EN57" s="62">
        <f t="shared" si="20"/>
        <v>527.94465437290205</v>
      </c>
      <c r="EO57" s="62">
        <f ca="1">AVERAGE(OFFSET($EN$3,0,0,'Données projet'!$E$15+1,1))-AVERAGE(OFFSET($H$3,0,0,'Données projet'!$E$15+1,1))</f>
        <v>226.37420733783091</v>
      </c>
      <c r="EP57" s="62">
        <f t="shared" si="46"/>
        <v>204.10961748628714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6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9">
        <f t="shared" si="1"/>
        <v>183.33333333333334</v>
      </c>
      <c r="I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7.333333333333333</v>
      </c>
      <c r="N58" s="14">
        <f>IF('Données projet'!$A$36&gt;35,N57+M58-V57,IF(A58&lt;'Données projet'!$A$36,$K$205^A58,IF(A58='Données projet'!$A$36,'Données projet'!$B$36,N57+M58-V57)))</f>
        <v>173.33333333333334</v>
      </c>
      <c r="O58" s="14">
        <f>N58*VLOOKUP('Données projet'!$B$9,Paramètres!$A$1:$I$89,3,0)*VLOOKUP('Données projet'!$B$9,Paramètres!$A$1:$I$89,5,0)</f>
        <v>101.4</v>
      </c>
      <c r="P58" s="14">
        <f t="shared" si="33"/>
        <v>27.295257887453797</v>
      </c>
      <c r="Q58" s="22">
        <f t="shared" si="53"/>
        <v>224.14424082064872</v>
      </c>
      <c r="R58" s="62">
        <f t="shared" si="0"/>
        <v>482.46669630112012</v>
      </c>
      <c r="S58" s="62">
        <f ca="1">AVERAGE(OFFSET($R$3,0,0,'Données projet'!$E$9+1,1))-AVERAGE(OFFSET($H$3,0,0,'Données projet'!$E$9+1,1))</f>
        <v>196.48726929442091</v>
      </c>
      <c r="T58" s="62">
        <f t="shared" si="34"/>
        <v>193.28400454669347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2.7442754545531833E-3</v>
      </c>
      <c r="AC58" s="24">
        <f t="shared" si="3"/>
        <v>2.7442754545531833E-3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149</v>
      </c>
      <c r="AG58" s="13">
        <f>VLOOKUP(A58,'Données projet'!$A$61:$I$81,9,0)</f>
        <v>5.6</v>
      </c>
      <c r="AH58" s="13">
        <f t="array" ref="AH58">INDEX(AG:AG,MIN(IF(ISNUMBER(AG58:AG254),ROW(AG58:AG254),"")))</f>
        <v>5.6</v>
      </c>
      <c r="AI58" s="14">
        <f>IF('Données projet'!$A$62&gt;35,AI57+AH58-AQ57,IF(A58&lt;'Données projet'!$A$62,$AF$205^A58,IF(A58='Données projet'!$A$62,'Données projet'!$B$62,AI57+AH58-AQ57)))</f>
        <v>148.99999999999994</v>
      </c>
      <c r="AJ58" s="14">
        <f>AI58*VLOOKUP('Données projet'!$B$10,Paramètres!$A$1:$I$89,3,0)*VLOOKUP('Données projet'!$B$10,Paramètres!$A$1:$I$89,5,0)</f>
        <v>151.08599999999996</v>
      </c>
      <c r="AK58" s="14">
        <f t="shared" si="35"/>
        <v>38.825279304404233</v>
      </c>
      <c r="AL58" s="22">
        <f t="shared" si="4"/>
        <v>330.76214478850397</v>
      </c>
      <c r="AM58" s="62">
        <f t="shared" si="5"/>
        <v>589.08460026897535</v>
      </c>
      <c r="AN58" s="62">
        <f ca="1">AVERAGE(OFFSET($AM$3,0,0,'Données projet'!$E$10+1,1))-AVERAGE(OFFSET($H$3,0,0,'Données projet'!$E$10+1,1))</f>
        <v>414.29294334114661</v>
      </c>
      <c r="AO58" s="62">
        <f t="shared" si="36"/>
        <v>178.72086185623849</v>
      </c>
      <c r="AP58" s="16">
        <f>IF(ISNA(VLOOKUP(A58,'Données projet'!$A$61:$I$81,3,0)),0,VLOOKUP(A58,'Données projet'!$A$61:$I$81,3,0))</f>
        <v>3</v>
      </c>
      <c r="AQ58" s="16">
        <f>IF(ISNA(VLOOKUP(A58,'Données projet'!$A$61:$I$81,4,0)),0,VLOOKUP(A58,'Données projet'!$A$61:$I$81,4,0))</f>
        <v>28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149</v>
      </c>
      <c r="BB58" s="13">
        <f>VLOOKUP(A58,'Données projet'!$A$87:$I$107,9,0)</f>
        <v>5.6</v>
      </c>
      <c r="BC58" s="13">
        <f t="array" ref="BC58">INDEX(BB:BB,MIN(IF(ISNUMBER(BB58:BB254),ROW(BB58:BB254),"")))</f>
        <v>5.6</v>
      </c>
      <c r="BD58" s="13">
        <f>IF('Données projet'!$A$88&gt;35,BD57+BC58-BL57,IF(A58&lt;'Données projet'!$A$88,$BA$205^A58,IF(A58='Données projet'!$A$88,'Données projet'!$B$88,BD57+BC58-BL57)))</f>
        <v>148.99999999999994</v>
      </c>
      <c r="BE58" s="14">
        <f>BD58*VLOOKUP('Données projet'!$B$11,Paramètres!$A$1:$I$89,3,0)*VLOOKUP('Données projet'!$B$11,Paramètres!$A$1:$I$89,5,0)</f>
        <v>160.38359999999994</v>
      </c>
      <c r="BF58" s="14">
        <f t="shared" si="37"/>
        <v>40.929025395397851</v>
      </c>
      <c r="BG58" s="22">
        <f t="shared" si="7"/>
        <v>350.61948923031781</v>
      </c>
      <c r="BH58" s="62">
        <f t="shared" si="8"/>
        <v>608.94194471078913</v>
      </c>
      <c r="BI58" s="62">
        <f ca="1">AVERAGE(OFFSET($BH$3,0,0,'Données projet'!$E$11+1,1))-AVERAGE(OFFSET($H$3,0,0,'Données projet'!$E$11+1,1))</f>
        <v>434.74983403680108</v>
      </c>
      <c r="BJ58" s="62">
        <f t="shared" si="38"/>
        <v>186.0840067781198</v>
      </c>
      <c r="BK58" s="16">
        <f>IF(ISNA(VLOOKUP(A58,'Données projet'!$A$87:$I$107,3,0)),0,VLOOKUP(A58,'Données projet'!$A$87:$I$107,3,0))</f>
        <v>3</v>
      </c>
      <c r="BL58" s="16">
        <f>IF(ISNA(VLOOKUP(A58,'Données projet'!$A$87:$I$107,4,0)),0,VLOOKUP(A58,'Données projet'!$A$87:$I$107,4,0))</f>
        <v>28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146.7948717948718</v>
      </c>
      <c r="BW58" s="13">
        <f>VLOOKUP(A58,'Données projet'!$A$113:$I$133,9,0)</f>
        <v>4.3589743589743595</v>
      </c>
      <c r="BX58" s="13">
        <f t="array" ref="BX58">INDEX(BW:BW,MIN(IF(ISNUMBER(BW58:BW254),ROW(BW58:BW254),"")))</f>
        <v>4.3589743589743595</v>
      </c>
      <c r="BY58" s="13">
        <f>IF('Données projet'!$A$114&gt;35,BY57+BX58-CG57,IF(A58&lt;'Données projet'!$A$114,$BV$205^A58,IF(A58='Données projet'!$A$114,'Données projet'!$B$114,BY57+BX58-CG57)))</f>
        <v>146.79487179487185</v>
      </c>
      <c r="BZ58" s="14">
        <f>BY58*VLOOKUP('Données projet'!$B$12,Paramètres!$A$1:$I$89,3,0)*VLOOKUP('Données projet'!$B$12,Paramètres!$A$1:$I$89,5,0)</f>
        <v>125.95000000000007</v>
      </c>
      <c r="CA58" s="14">
        <f t="shared" si="39"/>
        <v>33.058806425950721</v>
      </c>
      <c r="CB58" s="22">
        <f t="shared" si="10"/>
        <v>276.940337858531</v>
      </c>
      <c r="CC58" s="62">
        <f t="shared" si="11"/>
        <v>535.26279333900243</v>
      </c>
      <c r="CD58" s="62">
        <f ca="1">AVERAGE(OFFSET($CC$3,0,0,'Données projet'!$E$12+1,1))-AVERAGE(OFFSET($H$3,0,0,'Données projet'!$E$12+1,1))</f>
        <v>288.24759203983547</v>
      </c>
      <c r="CE58" s="62">
        <f t="shared" si="40"/>
        <v>188.86613033148794</v>
      </c>
      <c r="CF58" s="16">
        <f>IF(ISNA(VLOOKUP(A58,'Données projet'!$A$113:$I$133,3,0)),0,VLOOKUP(A58,'Données projet'!$A$113:$I$133,3,0))</f>
        <v>4</v>
      </c>
      <c r="CG58" s="16">
        <f>IF(ISNA(VLOOKUP(A58,'Données projet'!$A$113:$I$133,4,0)),0,VLOOKUP(A58,'Données projet'!$A$113:$I$133,4,0))</f>
        <v>21.794871794871796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146.7948717948718</v>
      </c>
      <c r="CR58" s="13">
        <f>VLOOKUP(A58,'Données projet'!$A$139:$I$159,9,0)</f>
        <v>4.3589743589743595</v>
      </c>
      <c r="CS58" s="13">
        <f t="array" ref="CS58">INDEX(CR:CR,MIN(IF(ISNUMBER(CR58:CR254),ROW(CR58:CR254),"")))</f>
        <v>4.3589743589743595</v>
      </c>
      <c r="CT58" s="13">
        <f>IF('Données projet'!$A$140&gt;35,CT57+CS58-DB57,IF(A58&lt;'Données projet'!$A$140,$CQ$205^A58,IF(A58='Données projet'!$A$140,'Données projet'!$B$140,CT57+CS58-DB57)))</f>
        <v>146.79487179487185</v>
      </c>
      <c r="CU58" s="18">
        <f>CT58*VLOOKUP('Données projet'!$B$13,Paramètres!$A$1:$I$89,3,0)*VLOOKUP('Données projet'!$B$13,Paramètres!$A$1:$I$89,5,0)</f>
        <v>98.470000000000041</v>
      </c>
      <c r="CV58" s="14">
        <f t="shared" si="41"/>
        <v>26.597169709505504</v>
      </c>
      <c r="CW58" s="22">
        <f t="shared" si="13"/>
        <v>217.82532057738879</v>
      </c>
      <c r="CX58" s="62">
        <f t="shared" si="14"/>
        <v>476.14777605786014</v>
      </c>
      <c r="CY58" s="62">
        <f ca="1">AVERAGE(OFFSET($CX$3,0,0,'Données projet'!$E$13+1,1))-AVERAGE(OFFSET($H$3,0,0,'Données projet'!$E$13+1,1))</f>
        <v>240.40157928925146</v>
      </c>
      <c r="CZ58" s="62">
        <f t="shared" si="42"/>
        <v>160.5013084380258</v>
      </c>
      <c r="DA58" s="16">
        <f>IF(ISNA(VLOOKUP(A58,'Données projet'!$A$139:$I$159,3,0)),0,VLOOKUP(A58,'Données projet'!$A$139:$I$159,3,0))</f>
        <v>4</v>
      </c>
      <c r="DB58" s="16">
        <f>IF(ISNA(VLOOKUP(A58,'Données projet'!$A$139:$I$159,4,0)),0,VLOOKUP(A58,'Données projet'!$A$139:$I$159,4,0))</f>
        <v>21.794871794871796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149</v>
      </c>
      <c r="DM58" s="13">
        <f>VLOOKUP(A58,'Données projet'!$A$165:$I$185,9,0)</f>
        <v>5.6</v>
      </c>
      <c r="DN58" s="13">
        <f t="array" ref="DN58">INDEX(DM:DM,MIN(IF(ISNUMBER(DM58:DM254),ROW(DM58:DM254),"")))</f>
        <v>5.6</v>
      </c>
      <c r="DO58" s="13">
        <f>IF('Données projet'!$A$166&gt;35,DO57+DN58-DW57,IF(A58&lt;'Données projet'!$A$166,$DL$205^A58,IF(A58='Données projet'!$A$166,'Données projet'!$B$166,DO57+DN58-DW57)))</f>
        <v>148.99999999999994</v>
      </c>
      <c r="DP58" s="18">
        <f>DO58*VLOOKUP('Données projet'!$B$14,Paramètres!$A$1:$I$89,3,0)*VLOOKUP('Données projet'!$B$14,Paramètres!$A$1:$I$89,5,0)</f>
        <v>144.11279999999996</v>
      </c>
      <c r="DQ58" s="14">
        <f t="shared" si="43"/>
        <v>37.237596662992466</v>
      </c>
      <c r="DR58" s="22">
        <f t="shared" si="16"/>
        <v>315.85194085471181</v>
      </c>
      <c r="DS58" s="62">
        <f t="shared" si="17"/>
        <v>574.17439633518325</v>
      </c>
      <c r="DT58" s="62">
        <f ca="1">AVERAGE(OFFSET($DS$3,0,0,'Données projet'!$E$14+1,1))-AVERAGE(OFFSET($H$3,0,0,'Données projet'!$E$14+1,1))</f>
        <v>398.93296311353788</v>
      </c>
      <c r="DU58" s="62">
        <f t="shared" si="44"/>
        <v>173.19148969173838</v>
      </c>
      <c r="DV58" s="16">
        <f>IF(ISNA(VLOOKUP(A58,'Données projet'!$A$165:$I$185,3,0)),0,VLOOKUP(A58,'Données projet'!$A$165:$I$185,3,0))</f>
        <v>3</v>
      </c>
      <c r="DW58" s="16">
        <f>IF(ISNA(VLOOKUP(A58,'Données projet'!$A$165:$I$185,4,0)),0,VLOOKUP(A58,'Données projet'!$A$165:$I$185,4,0))</f>
        <v>28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144</v>
      </c>
      <c r="EH58" s="13">
        <f>VLOOKUP(A58,'Données projet'!$A$191:$I$211,9,0)</f>
        <v>3.4</v>
      </c>
      <c r="EI58" s="13">
        <f t="array" ref="EI58">INDEX(EH:EH,MIN(IF(ISNUMBER(EH58:EH254),ROW(EH58:EH254),"")))</f>
        <v>3.4</v>
      </c>
      <c r="EJ58" s="13">
        <f>IF('Données projet'!$A$192&gt;35,EJ57+EI58-ER57,IF(A58&lt;'Données projet'!$A$192,$EG$205^A58,IF(A58='Données projet'!$A$192,'Données projet'!$B$192,EJ57+EI58-ER57)))</f>
        <v>143.99999999999997</v>
      </c>
      <c r="EK58" s="18">
        <f>EJ58*VLOOKUP('Données projet'!$B$15,Paramètres!$A$1:$I$89,3,0)*VLOOKUP('Données projet'!$B$15,Paramètres!$A$1:$I$89,5,0)</f>
        <v>125.79839999999999</v>
      </c>
      <c r="EL58" s="14">
        <f t="shared" si="45"/>
        <v>33.023644363399924</v>
      </c>
      <c r="EM58" s="22">
        <f t="shared" si="19"/>
        <v>276.61506059958816</v>
      </c>
      <c r="EN58" s="62">
        <f t="shared" si="20"/>
        <v>534.93751608005959</v>
      </c>
      <c r="EO58" s="62">
        <f ca="1">AVERAGE(OFFSET($EN$3,0,0,'Données projet'!$E$15+1,1))-AVERAGE(OFFSET($H$3,0,0,'Données projet'!$E$15+1,1))</f>
        <v>226.37420733783091</v>
      </c>
      <c r="EP58" s="62">
        <f t="shared" si="46"/>
        <v>204.10961748628714</v>
      </c>
      <c r="EQ58" s="16">
        <f>IF(ISNA(VLOOKUP(A58,'Données projet'!$A$191:$I$211,3,0)),0,VLOOKUP(A58,'Données projet'!$A$191:$I$211,3,0))</f>
        <v>4</v>
      </c>
      <c r="ER58" s="16">
        <f>IF(ISNA(VLOOKUP(A58,'Données projet'!$A$191:$I$211,4,0)),0,VLOOKUP(A58,'Données projet'!$A$191:$I$211,4,0))</f>
        <v>20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6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9">
        <f t="shared" si="1"/>
        <v>183.33333333333334</v>
      </c>
      <c r="I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7.333333333333333</v>
      </c>
      <c r="N59" s="14">
        <f>IF('Données projet'!$A$36&gt;35,N58+M59-V58,IF(A59&lt;'Données projet'!$A$36,$K$205^A59,IF(A59='Données projet'!$A$36,'Données projet'!$B$36,N58+M59-V58)))</f>
        <v>180.66666666666669</v>
      </c>
      <c r="O59" s="14">
        <f>N59*VLOOKUP('Données projet'!$B$9,Paramètres!$A$1:$I$89,3,0)*VLOOKUP('Données projet'!$B$9,Paramètres!$A$1:$I$89,5,0)</f>
        <v>105.69000000000001</v>
      </c>
      <c r="P59" s="14">
        <f t="shared" si="33"/>
        <v>28.31316481551837</v>
      </c>
      <c r="Q59" s="22">
        <f t="shared" si="53"/>
        <v>233.38884538702783</v>
      </c>
      <c r="R59" s="62">
        <f t="shared" si="0"/>
        <v>492.3186613256496</v>
      </c>
      <c r="S59" s="62">
        <f ca="1">AVERAGE(OFFSET($R$3,0,0,'Données projet'!$E$9+1,1))-AVERAGE(OFFSET($H$3,0,0,'Données projet'!$E$9+1,1))</f>
        <v>196.48726929442091</v>
      </c>
      <c r="T59" s="62">
        <f t="shared" si="34"/>
        <v>193.28400454669347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1.9404957833583513E-3</v>
      </c>
      <c r="AC59" s="24">
        <f t="shared" si="3"/>
        <v>1.9404957833583513E-3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5.4</v>
      </c>
      <c r="AI59" s="14">
        <f>IF('Données projet'!$A$62&gt;35,AI58+AH59-AQ58,IF(A59&lt;'Données projet'!$A$62,$AF$205^A59,IF(A59='Données projet'!$A$62,'Données projet'!$B$62,AI58+AH59-AQ58)))</f>
        <v>126.39999999999995</v>
      </c>
      <c r="AJ59" s="14">
        <f>AI59*VLOOKUP('Données projet'!$B$10,Paramètres!$A$1:$I$89,3,0)*VLOOKUP('Données projet'!$B$10,Paramètres!$A$1:$I$89,5,0)</f>
        <v>128.16959999999995</v>
      </c>
      <c r="AK59" s="14">
        <f t="shared" si="35"/>
        <v>33.573059214253476</v>
      </c>
      <c r="AL59" s="22">
        <f t="shared" si="4"/>
        <v>281.70179813149139</v>
      </c>
      <c r="AM59" s="62">
        <f t="shared" si="5"/>
        <v>540.63161407011307</v>
      </c>
      <c r="AN59" s="62">
        <f ca="1">AVERAGE(OFFSET($AM$3,0,0,'Données projet'!$E$10+1,1))-AVERAGE(OFFSET($H$3,0,0,'Données projet'!$E$10+1,1))</f>
        <v>414.29294334114661</v>
      </c>
      <c r="AO59" s="62">
        <f t="shared" si="36"/>
        <v>178.72086185623849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5.4</v>
      </c>
      <c r="BD59" s="13">
        <f>IF('Données projet'!$A$88&gt;35,BD58+BC59-BL58,IF(A59&lt;'Données projet'!$A$88,$BA$205^A59,IF(A59='Données projet'!$A$88,'Données projet'!$B$88,BD58+BC59-BL58)))</f>
        <v>126.39999999999995</v>
      </c>
      <c r="BE59" s="14">
        <f>BD59*VLOOKUP('Données projet'!$B$11,Paramètres!$A$1:$I$89,3,0)*VLOOKUP('Données projet'!$B$11,Paramètres!$A$1:$I$89,5,0)</f>
        <v>136.05695999999992</v>
      </c>
      <c r="BF59" s="14">
        <f t="shared" si="37"/>
        <v>35.392213985322201</v>
      </c>
      <c r="BG59" s="22">
        <f t="shared" si="7"/>
        <v>298.60731135776933</v>
      </c>
      <c r="BH59" s="62">
        <f t="shared" si="8"/>
        <v>557.53712729639108</v>
      </c>
      <c r="BI59" s="62">
        <f ca="1">AVERAGE(OFFSET($BH$3,0,0,'Données projet'!$E$11+1,1))-AVERAGE(OFFSET($H$3,0,0,'Données projet'!$E$11+1,1))</f>
        <v>434.74983403680108</v>
      </c>
      <c r="BJ59" s="62">
        <f t="shared" si="38"/>
        <v>186.0840067781198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3.9743589743589722</v>
      </c>
      <c r="BY59" s="13">
        <f>IF('Données projet'!$A$114&gt;35,BY58+BX59-CG58,IF(A59&lt;'Données projet'!$A$114,$BV$205^A59,IF(A59='Données projet'!$A$114,'Données projet'!$B$114,BY58+BX59-CG58)))</f>
        <v>128.97435897435903</v>
      </c>
      <c r="BZ59" s="14">
        <f>BY59*VLOOKUP('Données projet'!$B$12,Paramètres!$A$1:$I$89,3,0)*VLOOKUP('Données projet'!$B$12,Paramètres!$A$1:$I$89,5,0)</f>
        <v>110.66000000000007</v>
      </c>
      <c r="CA59" s="14">
        <f t="shared" si="39"/>
        <v>29.48643154022793</v>
      </c>
      <c r="CB59" s="22">
        <f t="shared" si="10"/>
        <v>244.08836826589712</v>
      </c>
      <c r="CC59" s="62">
        <f t="shared" si="11"/>
        <v>503.01818420451889</v>
      </c>
      <c r="CD59" s="62">
        <f ca="1">AVERAGE(OFFSET($CC$3,0,0,'Données projet'!$E$12+1,1))-AVERAGE(OFFSET($H$3,0,0,'Données projet'!$E$12+1,1))</f>
        <v>288.24759203983547</v>
      </c>
      <c r="CE59" s="62">
        <f t="shared" si="40"/>
        <v>188.86613033148794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3.9743589743589722</v>
      </c>
      <c r="CT59" s="13">
        <f>IF('Données projet'!$A$140&gt;35,CT58+CS59-DB58,IF(A59&lt;'Données projet'!$A$140,$CQ$205^A59,IF(A59='Données projet'!$A$140,'Données projet'!$B$140,CT58+CS59-DB58)))</f>
        <v>128.97435897435903</v>
      </c>
      <c r="CU59" s="18">
        <f>CT59*VLOOKUP('Données projet'!$B$13,Paramètres!$A$1:$I$89,3,0)*VLOOKUP('Données projet'!$B$13,Paramètres!$A$1:$I$89,5,0)</f>
        <v>86.516000000000048</v>
      </c>
      <c r="CV59" s="14">
        <f t="shared" si="41"/>
        <v>23.723047157187409</v>
      </c>
      <c r="CW59" s="22">
        <f t="shared" si="13"/>
        <v>191.99967379876816</v>
      </c>
      <c r="CX59" s="62">
        <f t="shared" si="14"/>
        <v>450.92948973738987</v>
      </c>
      <c r="CY59" s="62">
        <f ca="1">AVERAGE(OFFSET($CX$3,0,0,'Données projet'!$E$13+1,1))-AVERAGE(OFFSET($H$3,0,0,'Données projet'!$E$13+1,1))</f>
        <v>240.40157928925146</v>
      </c>
      <c r="CZ59" s="62">
        <f t="shared" si="42"/>
        <v>160.5013084380258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5.4</v>
      </c>
      <c r="DO59" s="13">
        <f>IF('Données projet'!$A$166&gt;35,DO58+DN59-DW58,IF(A59&lt;'Données projet'!$A$166,$DL$205^A59,IF(A59='Données projet'!$A$166,'Données projet'!$B$166,DO58+DN59-DW58)))</f>
        <v>126.39999999999995</v>
      </c>
      <c r="DP59" s="18">
        <f>DO59*VLOOKUP('Données projet'!$B$14,Paramètres!$A$1:$I$89,3,0)*VLOOKUP('Données projet'!$B$14,Paramètres!$A$1:$I$89,5,0)</f>
        <v>122.25407999999995</v>
      </c>
      <c r="DQ59" s="14">
        <f t="shared" si="43"/>
        <v>32.20015567592624</v>
      </c>
      <c r="DR59" s="22">
        <f t="shared" si="16"/>
        <v>269.0077938022381</v>
      </c>
      <c r="DS59" s="62">
        <f t="shared" si="17"/>
        <v>527.9376097408599</v>
      </c>
      <c r="DT59" s="62">
        <f ca="1">AVERAGE(OFFSET($DS$3,0,0,'Données projet'!$E$14+1,1))-AVERAGE(OFFSET($H$3,0,0,'Données projet'!$E$14+1,1))</f>
        <v>398.93296311353788</v>
      </c>
      <c r="DU59" s="62">
        <f t="shared" si="44"/>
        <v>173.19148969173838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3.2</v>
      </c>
      <c r="EJ59" s="13">
        <f>IF('Données projet'!$A$192&gt;35,EJ58+EI59-ER58,IF(A59&lt;'Données projet'!$A$192,$EG$205^A59,IF(A59='Données projet'!$A$192,'Données projet'!$B$192,EJ58+EI59-ER58)))</f>
        <v>127.19999999999996</v>
      </c>
      <c r="EK59" s="18">
        <f>EJ59*VLOOKUP('Données projet'!$B$15,Paramètres!$A$1:$I$89,3,0)*VLOOKUP('Données projet'!$B$15,Paramètres!$A$1:$I$89,5,0)</f>
        <v>111.12191999999997</v>
      </c>
      <c r="EL59" s="14">
        <f t="shared" si="45"/>
        <v>29.595161360044589</v>
      </c>
      <c r="EM59" s="22">
        <f t="shared" si="19"/>
        <v>245.08225003541096</v>
      </c>
      <c r="EN59" s="62">
        <f t="shared" si="20"/>
        <v>504.01206597403268</v>
      </c>
      <c r="EO59" s="62">
        <f ca="1">AVERAGE(OFFSET($EN$3,0,0,'Données projet'!$E$15+1,1))-AVERAGE(OFFSET($H$3,0,0,'Données projet'!$E$15+1,1))</f>
        <v>226.37420733783091</v>
      </c>
      <c r="EP59" s="62">
        <f t="shared" si="46"/>
        <v>204.10961748628714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6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9">
        <f t="shared" si="1"/>
        <v>183.33333333333334</v>
      </c>
      <c r="I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7.333333333333333</v>
      </c>
      <c r="N60" s="14">
        <f>IF('Données projet'!$A$36&gt;35,N59+M60-V59,IF(A60&lt;'Données projet'!$A$36,$K$205^A60,IF(A60='Données projet'!$A$36,'Données projet'!$B$36,N59+M60-V59)))</f>
        <v>188.00000000000003</v>
      </c>
      <c r="O60" s="14">
        <f>N60*VLOOKUP('Données projet'!$B$9,Paramètres!$A$1:$I$89,3,0)*VLOOKUP('Données projet'!$B$9,Paramètres!$A$1:$I$89,5,0)</f>
        <v>109.98000000000002</v>
      </c>
      <c r="P60" s="14">
        <f t="shared" si="33"/>
        <v>29.326272366698259</v>
      </c>
      <c r="Q60" s="22">
        <f t="shared" si="53"/>
        <v>242.62509103866611</v>
      </c>
      <c r="R60" s="62">
        <f t="shared" si="0"/>
        <v>502.1517310893438</v>
      </c>
      <c r="S60" s="62">
        <f ca="1">AVERAGE(OFFSET($R$3,0,0,'Données projet'!$E$9+1,1))-AVERAGE(OFFSET($H$3,0,0,'Données projet'!$E$9+1,1))</f>
        <v>196.48726929442091</v>
      </c>
      <c r="T60" s="62">
        <f t="shared" si="34"/>
        <v>193.28400454669347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1.3721377272765919E-3</v>
      </c>
      <c r="AC60" s="24">
        <f t="shared" si="3"/>
        <v>1.3721377272765919E-3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5.4</v>
      </c>
      <c r="AI60" s="14">
        <f>IF('Données projet'!$A$62&gt;35,AI59+AH60-AQ59,IF(A60&lt;'Données projet'!$A$62,$AF$205^A60,IF(A60='Données projet'!$A$62,'Données projet'!$B$62,AI59+AH60-AQ59)))</f>
        <v>131.79999999999995</v>
      </c>
      <c r="AJ60" s="14">
        <f>AI60*VLOOKUP('Données projet'!$B$10,Paramètres!$A$1:$I$89,3,0)*VLOOKUP('Données projet'!$B$10,Paramètres!$A$1:$I$89,5,0)</f>
        <v>133.64519999999996</v>
      </c>
      <c r="AK60" s="14">
        <f t="shared" si="35"/>
        <v>34.837297589797373</v>
      </c>
      <c r="AL60" s="22">
        <f t="shared" si="4"/>
        <v>293.44034996889701</v>
      </c>
      <c r="AM60" s="62">
        <f t="shared" si="5"/>
        <v>552.96699001957472</v>
      </c>
      <c r="AN60" s="62">
        <f ca="1">AVERAGE(OFFSET($AM$3,0,0,'Données projet'!$E$10+1,1))-AVERAGE(OFFSET($H$3,0,0,'Données projet'!$E$10+1,1))</f>
        <v>414.29294334114661</v>
      </c>
      <c r="AO60" s="62">
        <f t="shared" si="36"/>
        <v>178.72086185623849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5.4</v>
      </c>
      <c r="BD60" s="13">
        <f>IF('Données projet'!$A$88&gt;35,BD59+BC60-BL59,IF(A60&lt;'Données projet'!$A$88,$BA$205^A60,IF(A60='Données projet'!$A$88,'Données projet'!$B$88,BD59+BC60-BL59)))</f>
        <v>131.79999999999995</v>
      </c>
      <c r="BE60" s="14">
        <f>BD60*VLOOKUP('Données projet'!$B$11,Paramètres!$A$1:$I$89,3,0)*VLOOKUP('Données projet'!$B$11,Paramètres!$A$1:$I$89,5,0)</f>
        <v>141.86951999999994</v>
      </c>
      <c r="BF60" s="14">
        <f t="shared" si="37"/>
        <v>36.724955062927357</v>
      </c>
      <c r="BG60" s="22">
        <f t="shared" si="7"/>
        <v>311.05204406793172</v>
      </c>
      <c r="BH60" s="62">
        <f t="shared" si="8"/>
        <v>570.57868411860943</v>
      </c>
      <c r="BI60" s="62">
        <f ca="1">AVERAGE(OFFSET($BH$3,0,0,'Données projet'!$E$11+1,1))-AVERAGE(OFFSET($H$3,0,0,'Données projet'!$E$11+1,1))</f>
        <v>434.74983403680108</v>
      </c>
      <c r="BJ60" s="62">
        <f t="shared" si="38"/>
        <v>186.0840067781198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3.9743589743589722</v>
      </c>
      <c r="BY60" s="13">
        <f>IF('Données projet'!$A$114&gt;35,BY59+BX60-CG59,IF(A60&lt;'Données projet'!$A$114,$BV$205^A60,IF(A60='Données projet'!$A$114,'Données projet'!$B$114,BY59+BX60-CG59)))</f>
        <v>132.94871794871801</v>
      </c>
      <c r="BZ60" s="14">
        <f>BY60*VLOOKUP('Données projet'!$B$12,Paramètres!$A$1:$I$89,3,0)*VLOOKUP('Données projet'!$B$12,Paramètres!$A$1:$I$89,5,0)</f>
        <v>114.07000000000008</v>
      </c>
      <c r="CA60" s="14">
        <f t="shared" si="39"/>
        <v>30.287871259015709</v>
      </c>
      <c r="CB60" s="22">
        <f t="shared" si="10"/>
        <v>251.42329244278582</v>
      </c>
      <c r="CC60" s="62">
        <f t="shared" si="11"/>
        <v>510.94993249346351</v>
      </c>
      <c r="CD60" s="62">
        <f ca="1">AVERAGE(OFFSET($CC$3,0,0,'Données projet'!$E$12+1,1))-AVERAGE(OFFSET($H$3,0,0,'Données projet'!$E$12+1,1))</f>
        <v>288.24759203983547</v>
      </c>
      <c r="CE60" s="62">
        <f t="shared" si="40"/>
        <v>188.86613033148794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3.9743589743589722</v>
      </c>
      <c r="CT60" s="13">
        <f>IF('Données projet'!$A$140&gt;35,CT59+CS60-DB59,IF(A60&lt;'Données projet'!$A$140,$CQ$205^A60,IF(A60='Données projet'!$A$140,'Données projet'!$B$140,CT59+CS60-DB59)))</f>
        <v>132.94871794871801</v>
      </c>
      <c r="CU60" s="18">
        <f>CT60*VLOOKUP('Données projet'!$B$13,Paramètres!$A$1:$I$89,3,0)*VLOOKUP('Données projet'!$B$13,Paramètres!$A$1:$I$89,5,0)</f>
        <v>89.182000000000045</v>
      </c>
      <c r="CV60" s="14">
        <f t="shared" si="41"/>
        <v>24.367838379770813</v>
      </c>
      <c r="CW60" s="22">
        <f t="shared" si="13"/>
        <v>197.76596851143424</v>
      </c>
      <c r="CX60" s="62">
        <f t="shared" si="14"/>
        <v>457.29260856211192</v>
      </c>
      <c r="CY60" s="62">
        <f ca="1">AVERAGE(OFFSET($CX$3,0,0,'Données projet'!$E$13+1,1))-AVERAGE(OFFSET($H$3,0,0,'Données projet'!$E$13+1,1))</f>
        <v>240.40157928925146</v>
      </c>
      <c r="CZ60" s="62">
        <f t="shared" si="42"/>
        <v>160.5013084380258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5.4</v>
      </c>
      <c r="DO60" s="13">
        <f>IF('Données projet'!$A$166&gt;35,DO59+DN60-DW59,IF(A60&lt;'Données projet'!$A$166,$DL$205^A60,IF(A60='Données projet'!$A$166,'Données projet'!$B$166,DO59+DN60-DW59)))</f>
        <v>131.79999999999995</v>
      </c>
      <c r="DP60" s="18">
        <f>DO60*VLOOKUP('Données projet'!$B$14,Paramètres!$A$1:$I$89,3,0)*VLOOKUP('Données projet'!$B$14,Paramètres!$A$1:$I$89,5,0)</f>
        <v>127.47695999999995</v>
      </c>
      <c r="DQ60" s="14">
        <f t="shared" si="43"/>
        <v>33.412695535466739</v>
      </c>
      <c r="DR60" s="22">
        <f t="shared" si="16"/>
        <v>280.21615005760447</v>
      </c>
      <c r="DS60" s="62">
        <f t="shared" si="17"/>
        <v>539.74279010828218</v>
      </c>
      <c r="DT60" s="62">
        <f ca="1">AVERAGE(OFFSET($DS$3,0,0,'Données projet'!$E$14+1,1))-AVERAGE(OFFSET($H$3,0,0,'Données projet'!$E$14+1,1))</f>
        <v>398.93296311353788</v>
      </c>
      <c r="DU60" s="62">
        <f t="shared" si="44"/>
        <v>173.19148969173838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3.2</v>
      </c>
      <c r="EJ60" s="13">
        <f>IF('Données projet'!$A$192&gt;35,EJ59+EI60-ER59,IF(A60&lt;'Données projet'!$A$192,$EG$205^A60,IF(A60='Données projet'!$A$192,'Données projet'!$B$192,EJ59+EI60-ER59)))</f>
        <v>130.39999999999995</v>
      </c>
      <c r="EK60" s="18">
        <f>EJ60*VLOOKUP('Données projet'!$B$15,Paramètres!$A$1:$I$89,3,0)*VLOOKUP('Données projet'!$B$15,Paramètres!$A$1:$I$89,5,0)</f>
        <v>113.91743999999996</v>
      </c>
      <c r="EL60" s="14">
        <f t="shared" si="45"/>
        <v>30.252075834566813</v>
      </c>
      <c r="EM60" s="22">
        <f t="shared" si="19"/>
        <v>251.0952400785371</v>
      </c>
      <c r="EN60" s="62">
        <f t="shared" si="20"/>
        <v>510.62188012921479</v>
      </c>
      <c r="EO60" s="62">
        <f ca="1">AVERAGE(OFFSET($EN$3,0,0,'Données projet'!$E$15+1,1))-AVERAGE(OFFSET($H$3,0,0,'Données projet'!$E$15+1,1))</f>
        <v>226.37420733783091</v>
      </c>
      <c r="EP60" s="62">
        <f t="shared" si="46"/>
        <v>204.10961748628714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6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9">
        <f t="shared" si="1"/>
        <v>183.33333333333334</v>
      </c>
      <c r="I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7.333333333333333</v>
      </c>
      <c r="N61" s="14">
        <f>IF('Données projet'!$A$36&gt;35,N60+M61-V60,IF(A61&lt;'Données projet'!$A$36,$K$205^A61,IF(A61='Données projet'!$A$36,'Données projet'!$B$36,N60+M61-V60)))</f>
        <v>195.33333333333337</v>
      </c>
      <c r="O61" s="14">
        <f>N61*VLOOKUP('Données projet'!$B$9,Paramètres!$A$1:$I$89,3,0)*VLOOKUP('Données projet'!$B$9,Paramètres!$A$1:$I$89,5,0)</f>
        <v>114.27000000000002</v>
      </c>
      <c r="P61" s="14">
        <f t="shared" si="33"/>
        <v>30.334789175949812</v>
      </c>
      <c r="Q61" s="22">
        <f t="shared" si="53"/>
        <v>251.85334114811266</v>
      </c>
      <c r="R61" s="62">
        <f t="shared" si="0"/>
        <v>511.96645174680111</v>
      </c>
      <c r="S61" s="62">
        <f ca="1">AVERAGE(OFFSET($R$3,0,0,'Données projet'!$E$9+1,1))-AVERAGE(OFFSET($H$3,0,0,'Données projet'!$E$9+1,1))</f>
        <v>196.48726929442091</v>
      </c>
      <c r="T61" s="62">
        <f t="shared" si="34"/>
        <v>193.28400454669347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9.7024789167917574E-4</v>
      </c>
      <c r="AC61" s="24">
        <f t="shared" si="3"/>
        <v>9.7024789167917574E-4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5.4</v>
      </c>
      <c r="AI61" s="14">
        <f>IF('Données projet'!$A$62&gt;35,AI60+AH61-AQ60,IF(A61&lt;'Données projet'!$A$62,$AF$205^A61,IF(A61='Données projet'!$A$62,'Données projet'!$B$62,AI60+AH61-AQ60)))</f>
        <v>137.19999999999996</v>
      </c>
      <c r="AJ61" s="14">
        <f>AI61*VLOOKUP('Données projet'!$B$10,Paramètres!$A$1:$I$89,3,0)*VLOOKUP('Données projet'!$B$10,Paramètres!$A$1:$I$89,5,0)</f>
        <v>139.12079999999997</v>
      </c>
      <c r="AK61" s="14">
        <f t="shared" si="35"/>
        <v>36.095519333110218</v>
      </c>
      <c r="AL61" s="22">
        <f t="shared" si="4"/>
        <v>305.16842283850025</v>
      </c>
      <c r="AM61" s="62">
        <f t="shared" si="5"/>
        <v>565.28153343718873</v>
      </c>
      <c r="AN61" s="62">
        <f ca="1">AVERAGE(OFFSET($AM$3,0,0,'Données projet'!$E$10+1,1))-AVERAGE(OFFSET($H$3,0,0,'Données projet'!$E$10+1,1))</f>
        <v>414.29294334114661</v>
      </c>
      <c r="AO61" s="62">
        <f t="shared" si="36"/>
        <v>178.72086185623849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5.4</v>
      </c>
      <c r="BD61" s="13">
        <f>IF('Données projet'!$A$88&gt;35,BD60+BC61-BL60,IF(A61&lt;'Données projet'!$A$88,$BA$205^A61,IF(A61='Données projet'!$A$88,'Données projet'!$B$88,BD60+BC61-BL60)))</f>
        <v>137.19999999999996</v>
      </c>
      <c r="BE61" s="14">
        <f>BD61*VLOOKUP('Données projet'!$B$11,Paramètres!$A$1:$I$89,3,0)*VLOOKUP('Données projet'!$B$11,Paramètres!$A$1:$I$89,5,0)</f>
        <v>147.68207999999996</v>
      </c>
      <c r="BF61" s="14">
        <f t="shared" si="37"/>
        <v>38.051353497342525</v>
      </c>
      <c r="BG61" s="22">
        <f t="shared" si="7"/>
        <v>323.48573000787144</v>
      </c>
      <c r="BH61" s="62">
        <f t="shared" si="8"/>
        <v>583.59884060655986</v>
      </c>
      <c r="BI61" s="62">
        <f ca="1">AVERAGE(OFFSET($BH$3,0,0,'Données projet'!$E$11+1,1))-AVERAGE(OFFSET($H$3,0,0,'Données projet'!$E$11+1,1))</f>
        <v>434.74983403680108</v>
      </c>
      <c r="BJ61" s="62">
        <f t="shared" si="38"/>
        <v>186.0840067781198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3.9743589743589722</v>
      </c>
      <c r="BY61" s="13">
        <f>IF('Données projet'!$A$114&gt;35,BY60+BX61-CG60,IF(A61&lt;'Données projet'!$A$114,$BV$205^A61,IF(A61='Données projet'!$A$114,'Données projet'!$B$114,BY60+BX61-CG60)))</f>
        <v>136.92307692307699</v>
      </c>
      <c r="BZ61" s="14">
        <f>BY61*VLOOKUP('Données projet'!$B$12,Paramètres!$A$1:$I$89,3,0)*VLOOKUP('Données projet'!$B$12,Paramètres!$A$1:$I$89,5,0)</f>
        <v>117.48000000000008</v>
      </c>
      <c r="CA61" s="14">
        <f t="shared" si="39"/>
        <v>31.086526653925215</v>
      </c>
      <c r="CB61" s="22">
        <f t="shared" si="10"/>
        <v>258.75336725558651</v>
      </c>
      <c r="CC61" s="62">
        <f t="shared" si="11"/>
        <v>518.86647785427499</v>
      </c>
      <c r="CD61" s="62">
        <f ca="1">AVERAGE(OFFSET($CC$3,0,0,'Données projet'!$E$12+1,1))-AVERAGE(OFFSET($H$3,0,0,'Données projet'!$E$12+1,1))</f>
        <v>288.24759203983547</v>
      </c>
      <c r="CE61" s="62">
        <f t="shared" si="40"/>
        <v>188.86613033148794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3.9743589743589722</v>
      </c>
      <c r="CT61" s="13">
        <f>IF('Données projet'!$A$140&gt;35,CT60+CS61-DB60,IF(A61&lt;'Données projet'!$A$140,$CQ$205^A61,IF(A61='Données projet'!$A$140,'Données projet'!$B$140,CT60+CS61-DB60)))</f>
        <v>136.92307692307699</v>
      </c>
      <c r="CU61" s="18">
        <f>CT61*VLOOKUP('Données projet'!$B$13,Paramètres!$A$1:$I$89,3,0)*VLOOKUP('Données projet'!$B$13,Paramètres!$A$1:$I$89,5,0)</f>
        <v>91.848000000000042</v>
      </c>
      <c r="CV61" s="14">
        <f t="shared" si="41"/>
        <v>25.010389499255435</v>
      </c>
      <c r="CW61" s="22">
        <f t="shared" si="13"/>
        <v>203.52836171120327</v>
      </c>
      <c r="CX61" s="62">
        <f t="shared" si="14"/>
        <v>463.6414723098917</v>
      </c>
      <c r="CY61" s="62">
        <f ca="1">AVERAGE(OFFSET($CX$3,0,0,'Données projet'!$E$13+1,1))-AVERAGE(OFFSET($H$3,0,0,'Données projet'!$E$13+1,1))</f>
        <v>240.40157928925146</v>
      </c>
      <c r="CZ61" s="62">
        <f t="shared" si="42"/>
        <v>160.5013084380258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5.4</v>
      </c>
      <c r="DO61" s="13">
        <f>IF('Données projet'!$A$166&gt;35,DO60+DN61-DW60,IF(A61&lt;'Données projet'!$A$166,$DL$205^A61,IF(A61='Données projet'!$A$166,'Données projet'!$B$166,DO60+DN61-DW60)))</f>
        <v>137.19999999999996</v>
      </c>
      <c r="DP61" s="18">
        <f>DO61*VLOOKUP('Données projet'!$B$14,Paramètres!$A$1:$I$89,3,0)*VLOOKUP('Données projet'!$B$14,Paramètres!$A$1:$I$89,5,0)</f>
        <v>132.69983999999997</v>
      </c>
      <c r="DQ61" s="14">
        <f t="shared" si="43"/>
        <v>34.619464800994599</v>
      </c>
      <c r="DR61" s="22">
        <f t="shared" si="16"/>
        <v>291.41445586173216</v>
      </c>
      <c r="DS61" s="62">
        <f t="shared" si="17"/>
        <v>551.52756646042053</v>
      </c>
      <c r="DT61" s="62">
        <f ca="1">AVERAGE(OFFSET($DS$3,0,0,'Données projet'!$E$14+1,1))-AVERAGE(OFFSET($H$3,0,0,'Données projet'!$E$14+1,1))</f>
        <v>398.93296311353788</v>
      </c>
      <c r="DU61" s="62">
        <f t="shared" si="44"/>
        <v>173.19148969173838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3.2</v>
      </c>
      <c r="EJ61" s="13">
        <f>IF('Données projet'!$A$192&gt;35,EJ60+EI61-ER60,IF(A61&lt;'Données projet'!$A$192,$EG$205^A61,IF(A61='Données projet'!$A$192,'Données projet'!$B$192,EJ60+EI61-ER60)))</f>
        <v>133.59999999999994</v>
      </c>
      <c r="EK61" s="18">
        <f>EJ61*VLOOKUP('Données projet'!$B$15,Paramètres!$A$1:$I$89,3,0)*VLOOKUP('Données projet'!$B$15,Paramètres!$A$1:$I$89,5,0)</f>
        <v>116.71295999999997</v>
      </c>
      <c r="EL61" s="14">
        <f t="shared" si="45"/>
        <v>30.90711634982064</v>
      </c>
      <c r="EM61" s="22">
        <f t="shared" si="19"/>
        <v>257.10496630927088</v>
      </c>
      <c r="EN61" s="62">
        <f t="shared" si="20"/>
        <v>517.21807690795936</v>
      </c>
      <c r="EO61" s="62">
        <f ca="1">AVERAGE(OFFSET($EN$3,0,0,'Données projet'!$E$15+1,1))-AVERAGE(OFFSET($H$3,0,0,'Données projet'!$E$15+1,1))</f>
        <v>226.37420733783091</v>
      </c>
      <c r="EP61" s="62">
        <f t="shared" si="46"/>
        <v>204.10961748628714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6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9">
        <f t="shared" si="1"/>
        <v>183.33333333333334</v>
      </c>
      <c r="I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7.333333333333333</v>
      </c>
      <c r="N62" s="14">
        <f>IF('Données projet'!$A$36&gt;35,N61+M62-V61,IF(A62&lt;'Données projet'!$A$36,$K$205^A62,IF(A62='Données projet'!$A$36,'Données projet'!$B$36,N61+M62-V61)))</f>
        <v>202.66666666666671</v>
      </c>
      <c r="O62" s="14">
        <f>N62*VLOOKUP('Données projet'!$B$9,Paramètres!$A$1:$I$89,3,0)*VLOOKUP('Données projet'!$B$9,Paramètres!$A$1:$I$89,5,0)</f>
        <v>118.56000000000003</v>
      </c>
      <c r="P62" s="14">
        <f t="shared" si="33"/>
        <v>31.33890732536991</v>
      </c>
      <c r="Q62" s="22">
        <f t="shared" si="53"/>
        <v>261.07393025835268</v>
      </c>
      <c r="R62" s="62">
        <f t="shared" si="0"/>
        <v>521.7633374521954</v>
      </c>
      <c r="S62" s="62">
        <f ca="1">AVERAGE(OFFSET($R$3,0,0,'Données projet'!$E$9+1,1))-AVERAGE(OFFSET($H$3,0,0,'Données projet'!$E$9+1,1))</f>
        <v>196.48726929442091</v>
      </c>
      <c r="T62" s="62">
        <f t="shared" si="34"/>
        <v>193.28400454669347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6.8606886363829604E-4</v>
      </c>
      <c r="AC62" s="24">
        <f t="shared" si="3"/>
        <v>6.8606886363829604E-4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5.4</v>
      </c>
      <c r="AI62" s="14">
        <f>IF('Données projet'!$A$62&gt;35,AI61+AH62-AQ61,IF(A62&lt;'Données projet'!$A$62,$AF$205^A62,IF(A62='Données projet'!$A$62,'Données projet'!$B$62,AI61+AH62-AQ61)))</f>
        <v>142.59999999999997</v>
      </c>
      <c r="AJ62" s="14">
        <f>AI62*VLOOKUP('Données projet'!$B$10,Paramètres!$A$1:$I$89,3,0)*VLOOKUP('Données projet'!$B$10,Paramètres!$A$1:$I$89,5,0)</f>
        <v>144.59639999999999</v>
      </c>
      <c r="AK62" s="14">
        <f t="shared" si="35"/>
        <v>37.347988348805522</v>
      </c>
      <c r="AL62" s="22">
        <f t="shared" si="4"/>
        <v>316.8864763741696</v>
      </c>
      <c r="AM62" s="62">
        <f t="shared" si="5"/>
        <v>577.57588356801239</v>
      </c>
      <c r="AN62" s="62">
        <f ca="1">AVERAGE(OFFSET($AM$3,0,0,'Données projet'!$E$10+1,1))-AVERAGE(OFFSET($H$3,0,0,'Données projet'!$E$10+1,1))</f>
        <v>414.29294334114661</v>
      </c>
      <c r="AO62" s="62">
        <f t="shared" si="36"/>
        <v>178.72086185623849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5.4</v>
      </c>
      <c r="BD62" s="13">
        <f>IF('Données projet'!$A$88&gt;35,BD61+BC62-BL61,IF(A62&lt;'Données projet'!$A$88,$BA$205^A62,IF(A62='Données projet'!$A$88,'Données projet'!$B$88,BD61+BC62-BL61)))</f>
        <v>142.59999999999997</v>
      </c>
      <c r="BE62" s="14">
        <f>BD62*VLOOKUP('Données projet'!$B$11,Paramètres!$A$1:$I$89,3,0)*VLOOKUP('Données projet'!$B$11,Paramètres!$A$1:$I$89,5,0)</f>
        <v>153.49463999999995</v>
      </c>
      <c r="BF62" s="14">
        <f t="shared" si="37"/>
        <v>39.371687492841346</v>
      </c>
      <c r="BG62" s="22">
        <f t="shared" si="7"/>
        <v>335.90885371669856</v>
      </c>
      <c r="BH62" s="62">
        <f t="shared" si="8"/>
        <v>596.59826091054128</v>
      </c>
      <c r="BI62" s="62">
        <f ca="1">AVERAGE(OFFSET($BH$3,0,0,'Données projet'!$E$11+1,1))-AVERAGE(OFFSET($H$3,0,0,'Données projet'!$E$11+1,1))</f>
        <v>434.74983403680108</v>
      </c>
      <c r="BJ62" s="62">
        <f t="shared" si="38"/>
        <v>186.0840067781198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3.9743589743589722</v>
      </c>
      <c r="BY62" s="13">
        <f>IF('Données projet'!$A$114&gt;35,BY61+BX62-CG61,IF(A62&lt;'Données projet'!$A$114,$BV$205^A62,IF(A62='Données projet'!$A$114,'Données projet'!$B$114,BY61+BX62-CG61)))</f>
        <v>140.89743589743597</v>
      </c>
      <c r="BZ62" s="14">
        <f>BY62*VLOOKUP('Données projet'!$B$12,Paramètres!$A$1:$I$89,3,0)*VLOOKUP('Données projet'!$B$12,Paramètres!$A$1:$I$89,5,0)</f>
        <v>120.89000000000009</v>
      </c>
      <c r="CA62" s="14">
        <f t="shared" si="39"/>
        <v>31.882487824001771</v>
      </c>
      <c r="CB62" s="22">
        <f t="shared" si="10"/>
        <v>266.07874962680324</v>
      </c>
      <c r="CC62" s="62">
        <f t="shared" si="11"/>
        <v>526.76815682064603</v>
      </c>
      <c r="CD62" s="62">
        <f ca="1">AVERAGE(OFFSET($CC$3,0,0,'Données projet'!$E$12+1,1))-AVERAGE(OFFSET($H$3,0,0,'Données projet'!$E$12+1,1))</f>
        <v>288.24759203983547</v>
      </c>
      <c r="CE62" s="62">
        <f t="shared" si="40"/>
        <v>188.86613033148794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3.9743589743589722</v>
      </c>
      <c r="CT62" s="13">
        <f>IF('Données projet'!$A$140&gt;35,CT61+CS62-DB61,IF(A62&lt;'Données projet'!$A$140,$CQ$205^A62,IF(A62='Données projet'!$A$140,'Données projet'!$B$140,CT61+CS62-DB61)))</f>
        <v>140.89743589743597</v>
      </c>
      <c r="CU62" s="18">
        <f>CT62*VLOOKUP('Données projet'!$B$13,Paramètres!$A$1:$I$89,3,0)*VLOOKUP('Données projet'!$B$13,Paramètres!$A$1:$I$89,5,0)</f>
        <v>94.514000000000053</v>
      </c>
      <c r="CV62" s="14">
        <f t="shared" si="41"/>
        <v>25.650773004029649</v>
      </c>
      <c r="CW62" s="22">
        <f t="shared" si="13"/>
        <v>209.28697964868505</v>
      </c>
      <c r="CX62" s="62">
        <f t="shared" si="14"/>
        <v>469.97638684252786</v>
      </c>
      <c r="CY62" s="62">
        <f ca="1">AVERAGE(OFFSET($CX$3,0,0,'Données projet'!$E$13+1,1))-AVERAGE(OFFSET($H$3,0,0,'Données projet'!$E$13+1,1))</f>
        <v>240.40157928925146</v>
      </c>
      <c r="CZ62" s="62">
        <f t="shared" si="42"/>
        <v>160.5013084380258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5.4</v>
      </c>
      <c r="DO62" s="13">
        <f>IF('Données projet'!$A$166&gt;35,DO61+DN62-DW61,IF(A62&lt;'Données projet'!$A$166,$DL$205^A62,IF(A62='Données projet'!$A$166,'Données projet'!$B$166,DO61+DN62-DW61)))</f>
        <v>142.59999999999997</v>
      </c>
      <c r="DP62" s="18">
        <f>DO62*VLOOKUP('Données projet'!$B$14,Paramètres!$A$1:$I$89,3,0)*VLOOKUP('Données projet'!$B$14,Paramètres!$A$1:$I$89,5,0)</f>
        <v>137.92271999999997</v>
      </c>
      <c r="DQ62" s="14">
        <f t="shared" si="43"/>
        <v>35.82071658526872</v>
      </c>
      <c r="DR62" s="22">
        <f t="shared" si="16"/>
        <v>302.60315205267631</v>
      </c>
      <c r="DS62" s="62">
        <f t="shared" si="17"/>
        <v>563.29255924651909</v>
      </c>
      <c r="DT62" s="62">
        <f ca="1">AVERAGE(OFFSET($DS$3,0,0,'Données projet'!$E$14+1,1))-AVERAGE(OFFSET($H$3,0,0,'Données projet'!$E$14+1,1))</f>
        <v>398.93296311353788</v>
      </c>
      <c r="DU62" s="62">
        <f t="shared" si="44"/>
        <v>173.19148969173838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3.2</v>
      </c>
      <c r="EJ62" s="13">
        <f>IF('Données projet'!$A$192&gt;35,EJ61+EI62-ER61,IF(A62&lt;'Données projet'!$A$192,$EG$205^A62,IF(A62='Données projet'!$A$192,'Données projet'!$B$192,EJ61+EI62-ER61)))</f>
        <v>136.79999999999993</v>
      </c>
      <c r="EK62" s="18">
        <f>EJ62*VLOOKUP('Données projet'!$B$15,Paramètres!$A$1:$I$89,3,0)*VLOOKUP('Données projet'!$B$15,Paramètres!$A$1:$I$89,5,0)</f>
        <v>119.50847999999995</v>
      </c>
      <c r="EL62" s="14">
        <f t="shared" si="45"/>
        <v>31.560332955588933</v>
      </c>
      <c r="EM62" s="22">
        <f t="shared" si="19"/>
        <v>263.11151589765069</v>
      </c>
      <c r="EN62" s="62">
        <f t="shared" si="20"/>
        <v>523.80092309149347</v>
      </c>
      <c r="EO62" s="62">
        <f ca="1">AVERAGE(OFFSET($EN$3,0,0,'Données projet'!$E$15+1,1))-AVERAGE(OFFSET($H$3,0,0,'Données projet'!$E$15+1,1))</f>
        <v>226.37420733783091</v>
      </c>
      <c r="EP62" s="62">
        <f t="shared" si="46"/>
        <v>204.10961748628714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6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9">
        <f t="shared" si="1"/>
        <v>183.33333333333334</v>
      </c>
      <c r="I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210</v>
      </c>
      <c r="L63" s="13">
        <f>VLOOKUP(A63,'Données projet'!$A$35:$I$55,9,0)</f>
        <v>7.333333333333333</v>
      </c>
      <c r="M63" s="13">
        <f t="array" ref="M63">INDEX(L:L,MIN(IF(ISNUMBER(L63:L259),ROW(L63:L259),"")))</f>
        <v>7.333333333333333</v>
      </c>
      <c r="N63" s="14">
        <f>IF('Données projet'!$A$36&gt;35,N62+M63-V62,IF(A63&lt;'Données projet'!$A$36,$K$205^A63,IF(A63='Données projet'!$A$36,'Données projet'!$B$36,N62+M63-V62)))</f>
        <v>210.00000000000006</v>
      </c>
      <c r="O63" s="14">
        <f>N63*VLOOKUP('Données projet'!$B$9,Paramètres!$A$1:$I$89,3,0)*VLOOKUP('Données projet'!$B$9,Paramètres!$A$1:$I$89,5,0)</f>
        <v>122.85000000000004</v>
      </c>
      <c r="P63" s="14">
        <f t="shared" si="33"/>
        <v>32.338804208515896</v>
      </c>
      <c r="Q63" s="22">
        <f t="shared" si="53"/>
        <v>270.2871673298319</v>
      </c>
      <c r="R63" s="62">
        <f t="shared" si="0"/>
        <v>531.54287366130939</v>
      </c>
      <c r="S63" s="62">
        <f ca="1">AVERAGE(OFFSET($R$3,0,0,'Données projet'!$E$9+1,1))-AVERAGE(OFFSET($H$3,0,0,'Données projet'!$E$9+1,1))</f>
        <v>196.48726929442091</v>
      </c>
      <c r="T63" s="62">
        <f t="shared" si="34"/>
        <v>193.28400454669347</v>
      </c>
      <c r="U63" s="16">
        <f>IF(ISNA(VLOOKUP(A63,'Données projet'!$A$35:$I$55,3,0)),0,VLOOKUP(A63,'Données projet'!$A$35:$I$55,3,0))</f>
        <v>3</v>
      </c>
      <c r="V63" s="16">
        <f>IF(ISNA(VLOOKUP(A63,'Données projet'!$A$35:$I$55,4,0)),0,VLOOKUP(A63,'Données projet'!$A$35:$I$55,4,0))</f>
        <v>77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4.8512394583958792E-4</v>
      </c>
      <c r="AC63" s="24">
        <f t="shared" si="3"/>
        <v>4.8512394583958792E-4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148</v>
      </c>
      <c r="AG63" s="13">
        <f>VLOOKUP(A63,'Données projet'!$A$61:$I$81,9,0)</f>
        <v>5.4</v>
      </c>
      <c r="AH63" s="13">
        <f t="array" ref="AH63">INDEX(AG:AG,MIN(IF(ISNUMBER(AG63:AG259),ROW(AG63:AG259),"")))</f>
        <v>5.4</v>
      </c>
      <c r="AI63" s="14">
        <f>IF('Données projet'!$A$62&gt;35,AI62+AH63-AQ62,IF(A63&lt;'Données projet'!$A$62,$AF$205^A63,IF(A63='Données projet'!$A$62,'Données projet'!$B$62,AI62+AH63-AQ62)))</f>
        <v>147.99999999999997</v>
      </c>
      <c r="AJ63" s="14">
        <f>AI63*VLOOKUP('Données projet'!$B$10,Paramètres!$A$1:$I$89,3,0)*VLOOKUP('Données projet'!$B$10,Paramètres!$A$1:$I$89,5,0)</f>
        <v>150.07199999999997</v>
      </c>
      <c r="AK63" s="14">
        <f t="shared" si="35"/>
        <v>38.594947422201457</v>
      </c>
      <c r="AL63" s="22">
        <f t="shared" si="4"/>
        <v>328.5949334270008</v>
      </c>
      <c r="AM63" s="62">
        <f t="shared" si="5"/>
        <v>589.85063975847834</v>
      </c>
      <c r="AN63" s="62">
        <f ca="1">AVERAGE(OFFSET($AM$3,0,0,'Données projet'!$E$10+1,1))-AVERAGE(OFFSET($H$3,0,0,'Données projet'!$E$10+1,1))</f>
        <v>414.29294334114661</v>
      </c>
      <c r="AO63" s="62">
        <f t="shared" si="36"/>
        <v>178.72086185623849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148</v>
      </c>
      <c r="BB63" s="13">
        <f>VLOOKUP(A63,'Données projet'!$A$87:$I$107,9,0)</f>
        <v>5.4</v>
      </c>
      <c r="BC63" s="13">
        <f t="array" ref="BC63">INDEX(BB:BB,MIN(IF(ISNUMBER(BB63:BB259),ROW(BB63:BB259),"")))</f>
        <v>5.4</v>
      </c>
      <c r="BD63" s="13">
        <f>IF('Données projet'!$A$88&gt;35,BD62+BC63-BL62,IF(A63&lt;'Données projet'!$A$88,$BA$205^A63,IF(A63='Données projet'!$A$88,'Données projet'!$B$88,BD62+BC63-BL62)))</f>
        <v>147.99999999999997</v>
      </c>
      <c r="BE63" s="14">
        <f>BD63*VLOOKUP('Données projet'!$B$11,Paramètres!$A$1:$I$89,3,0)*VLOOKUP('Données projet'!$B$11,Paramètres!$A$1:$I$89,5,0)</f>
        <v>159.30719999999997</v>
      </c>
      <c r="BF63" s="14">
        <f t="shared" si="37"/>
        <v>40.686212990054052</v>
      </c>
      <c r="BG63" s="22">
        <f t="shared" si="7"/>
        <v>348.32186095767742</v>
      </c>
      <c r="BH63" s="62">
        <f t="shared" si="8"/>
        <v>609.5775672891549</v>
      </c>
      <c r="BI63" s="62">
        <f ca="1">AVERAGE(OFFSET($BH$3,0,0,'Données projet'!$E$11+1,1))-AVERAGE(OFFSET($H$3,0,0,'Données projet'!$E$11+1,1))</f>
        <v>434.74983403680108</v>
      </c>
      <c r="BJ63" s="62">
        <f t="shared" si="38"/>
        <v>186.0840067781198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144.87179487179486</v>
      </c>
      <c r="BW63" s="13">
        <f>VLOOKUP(A63,'Données projet'!$A$113:$I$133,9,0)</f>
        <v>3.9743589743589722</v>
      </c>
      <c r="BX63" s="13">
        <f t="array" ref="BX63">INDEX(BW:BW,MIN(IF(ISNUMBER(BW63:BW259),ROW(BW63:BW259),"")))</f>
        <v>3.9743589743589722</v>
      </c>
      <c r="BY63" s="13">
        <f>IF('Données projet'!$A$114&gt;35,BY62+BX63-CG62,IF(A63&lt;'Données projet'!$A$114,$BV$205^A63,IF(A63='Données projet'!$A$114,'Données projet'!$B$114,BY62+BX63-CG62)))</f>
        <v>144.87179487179495</v>
      </c>
      <c r="BZ63" s="14">
        <f>BY63*VLOOKUP('Données projet'!$B$12,Paramètres!$A$1:$I$89,3,0)*VLOOKUP('Données projet'!$B$12,Paramètres!$A$1:$I$89,5,0)</f>
        <v>124.30000000000007</v>
      </c>
      <c r="CA63" s="14">
        <f t="shared" si="39"/>
        <v>32.675839496199259</v>
      </c>
      <c r="CB63" s="22">
        <f t="shared" si="10"/>
        <v>273.39958712254719</v>
      </c>
      <c r="CC63" s="62">
        <f t="shared" si="11"/>
        <v>534.65529345402467</v>
      </c>
      <c r="CD63" s="62">
        <f ca="1">AVERAGE(OFFSET($CC$3,0,0,'Données projet'!$E$12+1,1))-AVERAGE(OFFSET($H$3,0,0,'Données projet'!$E$12+1,1))</f>
        <v>288.24759203983547</v>
      </c>
      <c r="CE63" s="62">
        <f t="shared" si="40"/>
        <v>188.86613033148794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144.87179487179486</v>
      </c>
      <c r="CR63" s="13">
        <f>VLOOKUP(A63,'Données projet'!$A$139:$I$159,9,0)</f>
        <v>3.9743589743589722</v>
      </c>
      <c r="CS63" s="13">
        <f t="array" ref="CS63">INDEX(CR:CR,MIN(IF(ISNUMBER(CR63:CR259),ROW(CR63:CR259),"")))</f>
        <v>3.9743589743589722</v>
      </c>
      <c r="CT63" s="13">
        <f>IF('Données projet'!$A$140&gt;35,CT62+CS63-DB62,IF(A63&lt;'Données projet'!$A$140,$CQ$205^A63,IF(A63='Données projet'!$A$140,'Données projet'!$B$140,CT62+CS63-DB62)))</f>
        <v>144.87179487179495</v>
      </c>
      <c r="CU63" s="18">
        <f>CT63*VLOOKUP('Données projet'!$B$13,Paramètres!$A$1:$I$89,3,0)*VLOOKUP('Données projet'!$B$13,Paramètres!$A$1:$I$89,5,0)</f>
        <v>97.180000000000049</v>
      </c>
      <c r="CV63" s="14">
        <f t="shared" si="41"/>
        <v>26.289057060413271</v>
      </c>
      <c r="CW63" s="22">
        <f t="shared" si="13"/>
        <v>215.04194104688654</v>
      </c>
      <c r="CX63" s="62">
        <f t="shared" si="14"/>
        <v>476.29764737836399</v>
      </c>
      <c r="CY63" s="62">
        <f ca="1">AVERAGE(OFFSET($CX$3,0,0,'Données projet'!$E$13+1,1))-AVERAGE(OFFSET($H$3,0,0,'Données projet'!$E$13+1,1))</f>
        <v>240.40157928925146</v>
      </c>
      <c r="CZ63" s="62">
        <f t="shared" si="42"/>
        <v>160.5013084380258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148</v>
      </c>
      <c r="DM63" s="13">
        <f>VLOOKUP(A63,'Données projet'!$A$165:$I$185,9,0)</f>
        <v>5.4</v>
      </c>
      <c r="DN63" s="13">
        <f t="array" ref="DN63">INDEX(DM:DM,MIN(IF(ISNUMBER(DM63:DM259),ROW(DM63:DM259),"")))</f>
        <v>5.4</v>
      </c>
      <c r="DO63" s="13">
        <f>IF('Données projet'!$A$166&gt;35,DO62+DN63-DW62,IF(A63&lt;'Données projet'!$A$166,$DL$205^A63,IF(A63='Données projet'!$A$166,'Données projet'!$B$166,DO62+DN63-DW62)))</f>
        <v>147.99999999999997</v>
      </c>
      <c r="DP63" s="18">
        <f>DO63*VLOOKUP('Données projet'!$B$14,Paramètres!$A$1:$I$89,3,0)*VLOOKUP('Données projet'!$B$14,Paramètres!$A$1:$I$89,5,0)</f>
        <v>143.14559999999997</v>
      </c>
      <c r="DQ63" s="14">
        <f t="shared" si="43"/>
        <v>37.01668374538415</v>
      </c>
      <c r="DR63" s="22">
        <f t="shared" si="16"/>
        <v>313.78264418987732</v>
      </c>
      <c r="DS63" s="62">
        <f t="shared" si="17"/>
        <v>575.0383505213548</v>
      </c>
      <c r="DT63" s="62">
        <f ca="1">AVERAGE(OFFSET($DS$3,0,0,'Données projet'!$E$14+1,1))-AVERAGE(OFFSET($H$3,0,0,'Données projet'!$E$14+1,1))</f>
        <v>398.93296311353788</v>
      </c>
      <c r="DU63" s="62">
        <f t="shared" si="44"/>
        <v>173.19148969173838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140</v>
      </c>
      <c r="EH63" s="13">
        <f>VLOOKUP(A63,'Données projet'!$A$191:$I$211,9,0)</f>
        <v>3.2</v>
      </c>
      <c r="EI63" s="13">
        <f t="array" ref="EI63">INDEX(EH:EH,MIN(IF(ISNUMBER(EH63:EH259),ROW(EH63:EH259),"")))</f>
        <v>3.2</v>
      </c>
      <c r="EJ63" s="13">
        <f>IF('Données projet'!$A$192&gt;35,EJ62+EI63-ER62,IF(A63&lt;'Données projet'!$A$192,$EG$205^A63,IF(A63='Données projet'!$A$192,'Données projet'!$B$192,EJ62+EI63-ER62)))</f>
        <v>139.99999999999991</v>
      </c>
      <c r="EK63" s="18">
        <f>EJ63*VLOOKUP('Données projet'!$B$15,Paramètres!$A$1:$I$89,3,0)*VLOOKUP('Données projet'!$B$15,Paramètres!$A$1:$I$89,5,0)</f>
        <v>122.30399999999995</v>
      </c>
      <c r="EL63" s="14">
        <f t="shared" si="45"/>
        <v>32.211773226559345</v>
      </c>
      <c r="EM63" s="22">
        <f t="shared" si="19"/>
        <v>269.11497170292409</v>
      </c>
      <c r="EN63" s="62">
        <f t="shared" si="20"/>
        <v>530.37067803440164</v>
      </c>
      <c r="EO63" s="62">
        <f ca="1">AVERAGE(OFFSET($EN$3,0,0,'Données projet'!$E$15+1,1))-AVERAGE(OFFSET($H$3,0,0,'Données projet'!$E$15+1,1))</f>
        <v>226.37420733783091</v>
      </c>
      <c r="EP63" s="62">
        <f t="shared" si="46"/>
        <v>204.10961748628714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6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9">
        <f t="shared" si="1"/>
        <v>183.33333333333334</v>
      </c>
      <c r="I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6.55</v>
      </c>
      <c r="N64" s="14">
        <f>IF('Données projet'!$A$36&gt;35,N63+M64-V63,IF(A64&lt;'Données projet'!$A$36,$K$205^A64,IF(A64='Données projet'!$A$36,'Données projet'!$B$36,N63+M64-V63)))</f>
        <v>139.55000000000007</v>
      </c>
      <c r="O64" s="14">
        <f>N64*VLOOKUP('Données projet'!$B$9,Paramètres!$A$1:$I$89,3,0)*VLOOKUP('Données projet'!$B$9,Paramètres!$A$1:$I$89,5,0)</f>
        <v>81.636750000000049</v>
      </c>
      <c r="P64" s="14">
        <f t="shared" si="33"/>
        <v>22.536905076819465</v>
      </c>
      <c r="Q64" s="22">
        <f t="shared" si="53"/>
        <v>181.43578259212734</v>
      </c>
      <c r="R64" s="62">
        <f t="shared" si="0"/>
        <v>443.24796403725668</v>
      </c>
      <c r="S64" s="62">
        <f ca="1">AVERAGE(OFFSET($R$3,0,0,'Données projet'!$E$9+1,1))-AVERAGE(OFFSET($H$3,0,0,'Données projet'!$E$9+1,1))</f>
        <v>196.48726929442091</v>
      </c>
      <c r="T64" s="62">
        <f t="shared" si="34"/>
        <v>193.28400454669347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3.4303443181914808E-4</v>
      </c>
      <c r="AC64" s="24">
        <f t="shared" si="3"/>
        <v>3.4303443181914808E-4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5.4</v>
      </c>
      <c r="AI64" s="14">
        <f>IF('Données projet'!$A$62&gt;35,AI63+AH64-AQ63,IF(A64&lt;'Données projet'!$A$62,$AF$205^A64,IF(A64='Données projet'!$A$62,'Données projet'!$B$62,AI63+AH64-AQ63)))</f>
        <v>153.39999999999998</v>
      </c>
      <c r="AJ64" s="14">
        <f>AI64*VLOOKUP('Données projet'!$B$10,Paramètres!$A$1:$I$89,3,0)*VLOOKUP('Données projet'!$B$10,Paramètres!$A$1:$I$89,5,0)</f>
        <v>155.54759999999999</v>
      </c>
      <c r="AK64" s="14">
        <f t="shared" si="35"/>
        <v>39.836620617816237</v>
      </c>
      <c r="AL64" s="22">
        <f t="shared" si="4"/>
        <v>340.29418424269653</v>
      </c>
      <c r="AM64" s="62">
        <f t="shared" si="5"/>
        <v>602.10636568782593</v>
      </c>
      <c r="AN64" s="62">
        <f ca="1">AVERAGE(OFFSET($AM$3,0,0,'Données projet'!$E$10+1,1))-AVERAGE(OFFSET($H$3,0,0,'Données projet'!$E$10+1,1))</f>
        <v>414.29294334114661</v>
      </c>
      <c r="AO64" s="62">
        <f t="shared" si="36"/>
        <v>178.72086185623849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5.4</v>
      </c>
      <c r="BD64" s="13">
        <f>IF('Données projet'!$A$88&gt;35,BD63+BC64-BL63,IF(A64&lt;'Données projet'!$A$88,$BA$205^A64,IF(A64='Données projet'!$A$88,'Données projet'!$B$88,BD63+BC64-BL63)))</f>
        <v>153.39999999999998</v>
      </c>
      <c r="BE64" s="14">
        <f>BD64*VLOOKUP('Données projet'!$B$11,Paramètres!$A$1:$I$89,3,0)*VLOOKUP('Données projet'!$B$11,Paramètres!$A$1:$I$89,5,0)</f>
        <v>165.11975999999996</v>
      </c>
      <c r="BF64" s="14">
        <f t="shared" si="37"/>
        <v>41.995166194425131</v>
      </c>
      <c r="BG64" s="22">
        <f t="shared" si="7"/>
        <v>360.725163121957</v>
      </c>
      <c r="BH64" s="62">
        <f t="shared" si="8"/>
        <v>622.53734456708639</v>
      </c>
      <c r="BI64" s="62">
        <f ca="1">AVERAGE(OFFSET($BH$3,0,0,'Données projet'!$E$11+1,1))-AVERAGE(OFFSET($H$3,0,0,'Données projet'!$E$11+1,1))</f>
        <v>434.74983403680108</v>
      </c>
      <c r="BJ64" s="62">
        <f t="shared" si="38"/>
        <v>186.0840067781198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3.974358974358978</v>
      </c>
      <c r="BY64" s="13">
        <f>IF('Données projet'!$A$114&gt;35,BY63+BX64-CG63,IF(A64&lt;'Données projet'!$A$114,$BV$205^A64,IF(A64='Données projet'!$A$114,'Données projet'!$B$114,BY63+BX64-CG63)))</f>
        <v>148.84615384615392</v>
      </c>
      <c r="BZ64" s="14">
        <f>BY64*VLOOKUP('Données projet'!$B$12,Paramètres!$A$1:$I$89,3,0)*VLOOKUP('Données projet'!$B$12,Paramètres!$A$1:$I$89,5,0)</f>
        <v>127.71000000000009</v>
      </c>
      <c r="CA64" s="14">
        <f t="shared" si="39"/>
        <v>33.466661484163012</v>
      </c>
      <c r="CB64" s="22">
        <f t="shared" si="10"/>
        <v>280.71601875158404</v>
      </c>
      <c r="CC64" s="62">
        <f t="shared" si="11"/>
        <v>542.52820019671344</v>
      </c>
      <c r="CD64" s="62">
        <f ca="1">AVERAGE(OFFSET($CC$3,0,0,'Données projet'!$E$12+1,1))-AVERAGE(OFFSET($H$3,0,0,'Données projet'!$E$12+1,1))</f>
        <v>288.24759203983547</v>
      </c>
      <c r="CE64" s="62">
        <f t="shared" si="40"/>
        <v>188.86613033148794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3.974358974358978</v>
      </c>
      <c r="CT64" s="13">
        <f>IF('Données projet'!$A$140&gt;35,CT63+CS64-DB63,IF(A64&lt;'Données projet'!$A$140,$CQ$205^A64,IF(A64='Données projet'!$A$140,'Données projet'!$B$140,CT63+CS64-DB63)))</f>
        <v>148.84615384615392</v>
      </c>
      <c r="CU64" s="18">
        <f>CT64*VLOOKUP('Données projet'!$B$13,Paramètres!$A$1:$I$89,3,0)*VLOOKUP('Données projet'!$B$13,Paramètres!$A$1:$I$89,5,0)</f>
        <v>99.846000000000046</v>
      </c>
      <c r="CV64" s="14">
        <f t="shared" si="41"/>
        <v>26.925305881767247</v>
      </c>
      <c r="CW64" s="22">
        <f t="shared" si="13"/>
        <v>220.79335774407801</v>
      </c>
      <c r="CX64" s="62">
        <f t="shared" si="14"/>
        <v>482.60553918920732</v>
      </c>
      <c r="CY64" s="62">
        <f ca="1">AVERAGE(OFFSET($CX$3,0,0,'Données projet'!$E$13+1,1))-AVERAGE(OFFSET($H$3,0,0,'Données projet'!$E$13+1,1))</f>
        <v>240.40157928925146</v>
      </c>
      <c r="CZ64" s="62">
        <f t="shared" si="42"/>
        <v>160.5013084380258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5.4</v>
      </c>
      <c r="DO64" s="13">
        <f>IF('Données projet'!$A$166&gt;35,DO63+DN64-DW63,IF(A64&lt;'Données projet'!$A$166,$DL$205^A64,IF(A64='Données projet'!$A$166,'Données projet'!$B$166,DO63+DN64-DW63)))</f>
        <v>153.39999999999998</v>
      </c>
      <c r="DP64" s="18">
        <f>DO64*VLOOKUP('Données projet'!$B$14,Paramètres!$A$1:$I$89,3,0)*VLOOKUP('Données projet'!$B$14,Paramètres!$A$1:$I$89,5,0)</f>
        <v>148.36847999999998</v>
      </c>
      <c r="DQ64" s="14">
        <f t="shared" si="43"/>
        <v>38.207581183185901</v>
      </c>
      <c r="DR64" s="22">
        <f t="shared" si="16"/>
        <v>324.95330656071542</v>
      </c>
      <c r="DS64" s="62">
        <f t="shared" si="17"/>
        <v>586.76548800584476</v>
      </c>
      <c r="DT64" s="62">
        <f ca="1">AVERAGE(OFFSET($DS$3,0,0,'Données projet'!$E$14+1,1))-AVERAGE(OFFSET($H$3,0,0,'Données projet'!$E$14+1,1))</f>
        <v>398.93296311353788</v>
      </c>
      <c r="DU64" s="62">
        <f t="shared" si="44"/>
        <v>173.19148969173838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2.6</v>
      </c>
      <c r="EJ64" s="13">
        <f>IF('Données projet'!$A$192&gt;35,EJ63+EI64-ER63,IF(A64&lt;'Données projet'!$A$192,$EG$205^A64,IF(A64='Données projet'!$A$192,'Données projet'!$B$192,EJ63+EI64-ER63)))</f>
        <v>142.59999999999991</v>
      </c>
      <c r="EK64" s="18">
        <f>EJ64*VLOOKUP('Données projet'!$B$15,Paramètres!$A$1:$I$89,3,0)*VLOOKUP('Données projet'!$B$15,Paramètres!$A$1:$I$89,5,0)</f>
        <v>124.57535999999993</v>
      </c>
      <c r="EL64" s="14">
        <f t="shared" si="45"/>
        <v>32.739791806000952</v>
      </c>
      <c r="EM64" s="22">
        <f t="shared" si="19"/>
        <v>273.99055606211817</v>
      </c>
      <c r="EN64" s="62">
        <f t="shared" si="20"/>
        <v>535.80273750724746</v>
      </c>
      <c r="EO64" s="62">
        <f ca="1">AVERAGE(OFFSET($EN$3,0,0,'Données projet'!$E$15+1,1))-AVERAGE(OFFSET($H$3,0,0,'Données projet'!$E$15+1,1))</f>
        <v>226.37420733783091</v>
      </c>
      <c r="EP64" s="62">
        <f t="shared" si="46"/>
        <v>204.10961748628714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6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9">
        <f t="shared" si="1"/>
        <v>183.33333333333334</v>
      </c>
      <c r="I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6.55</v>
      </c>
      <c r="N65" s="14">
        <f>IF('Données projet'!$A$36&gt;35,N64+M65-V64,IF(A65&lt;'Données projet'!$A$36,$K$205^A65,IF(A65='Données projet'!$A$36,'Données projet'!$B$36,N64+M65-V64)))</f>
        <v>146.10000000000008</v>
      </c>
      <c r="O65" s="14">
        <f>N65*VLOOKUP('Données projet'!$B$9,Paramètres!$A$1:$I$89,3,0)*VLOOKUP('Données projet'!$B$9,Paramètres!$A$1:$I$89,5,0)</f>
        <v>85.468500000000049</v>
      </c>
      <c r="P65" s="14">
        <f t="shared" si="33"/>
        <v>23.469072087204289</v>
      </c>
      <c r="Q65" s="22">
        <f t="shared" si="53"/>
        <v>189.73293805188086</v>
      </c>
      <c r="R65" s="62">
        <f t="shared" si="0"/>
        <v>452.09194101153219</v>
      </c>
      <c r="S65" s="62">
        <f ca="1">AVERAGE(OFFSET($R$3,0,0,'Données projet'!$E$9+1,1))-AVERAGE(OFFSET($H$3,0,0,'Données projet'!$E$9+1,1))</f>
        <v>196.48726929442091</v>
      </c>
      <c r="T65" s="62">
        <f t="shared" si="34"/>
        <v>193.28400454669347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2.4256197291979402E-4</v>
      </c>
      <c r="AC65" s="24">
        <f t="shared" si="3"/>
        <v>2.4256197291979402E-4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5.4</v>
      </c>
      <c r="AI65" s="14">
        <f>IF('Données projet'!$A$62&gt;35,AI64+AH65-AQ64,IF(A65&lt;'Données projet'!$A$62,$AF$205^A65,IF(A65='Données projet'!$A$62,'Données projet'!$B$62,AI64+AH65-AQ64)))</f>
        <v>158.79999999999998</v>
      </c>
      <c r="AJ65" s="14">
        <f>AI65*VLOOKUP('Données projet'!$B$10,Paramètres!$A$1:$I$89,3,0)*VLOOKUP('Données projet'!$B$10,Paramètres!$A$1:$I$89,5,0)</f>
        <v>161.0232</v>
      </c>
      <c r="AK65" s="14">
        <f t="shared" si="35"/>
        <v>41.073215330646036</v>
      </c>
      <c r="AL65" s="22">
        <f t="shared" si="4"/>
        <v>351.98459003420857</v>
      </c>
      <c r="AM65" s="62">
        <f t="shared" si="5"/>
        <v>614.34359299385983</v>
      </c>
      <c r="AN65" s="62">
        <f ca="1">AVERAGE(OFFSET($AM$3,0,0,'Données projet'!$E$10+1,1))-AVERAGE(OFFSET($H$3,0,0,'Données projet'!$E$10+1,1))</f>
        <v>414.29294334114661</v>
      </c>
      <c r="AO65" s="62">
        <f t="shared" si="36"/>
        <v>178.72086185623849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5.4</v>
      </c>
      <c r="BD65" s="13">
        <f>IF('Données projet'!$A$88&gt;35,BD64+BC65-BL64,IF(A65&lt;'Données projet'!$A$88,$BA$205^A65,IF(A65='Données projet'!$A$88,'Données projet'!$B$88,BD64+BC65-BL64)))</f>
        <v>158.79999999999998</v>
      </c>
      <c r="BE65" s="14">
        <f>BD65*VLOOKUP('Données projet'!$B$11,Paramètres!$A$1:$I$89,3,0)*VLOOKUP('Données projet'!$B$11,Paramètres!$A$1:$I$89,5,0)</f>
        <v>170.93231999999998</v>
      </c>
      <c r="BF65" s="14">
        <f t="shared" si="37"/>
        <v>43.298765738639716</v>
      </c>
      <c r="BG65" s="22">
        <f t="shared" si="7"/>
        <v>373.11914099479742</v>
      </c>
      <c r="BH65" s="62">
        <f t="shared" si="8"/>
        <v>635.4781439544488</v>
      </c>
      <c r="BI65" s="62">
        <f ca="1">AVERAGE(OFFSET($BH$3,0,0,'Données projet'!$E$11+1,1))-AVERAGE(OFFSET($H$3,0,0,'Données projet'!$E$11+1,1))</f>
        <v>434.74983403680108</v>
      </c>
      <c r="BJ65" s="62">
        <f t="shared" si="38"/>
        <v>186.0840067781198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3.974358974358978</v>
      </c>
      <c r="BY65" s="13">
        <f>IF('Données projet'!$A$114&gt;35,BY64+BX65-CG64,IF(A65&lt;'Données projet'!$A$114,$BV$205^A65,IF(A65='Données projet'!$A$114,'Données projet'!$B$114,BY64+BX65-CG64)))</f>
        <v>152.8205128205129</v>
      </c>
      <c r="BZ65" s="14">
        <f>BY65*VLOOKUP('Données projet'!$B$12,Paramètres!$A$1:$I$89,3,0)*VLOOKUP('Données projet'!$B$12,Paramètres!$A$1:$I$89,5,0)</f>
        <v>131.12000000000009</v>
      </c>
      <c r="CA65" s="14">
        <f t="shared" si="39"/>
        <v>34.255029096634516</v>
      </c>
      <c r="CB65" s="22">
        <f t="shared" si="10"/>
        <v>288.02817567663857</v>
      </c>
      <c r="CC65" s="62">
        <f t="shared" si="11"/>
        <v>550.38717863628995</v>
      </c>
      <c r="CD65" s="62">
        <f ca="1">AVERAGE(OFFSET($CC$3,0,0,'Données projet'!$E$12+1,1))-AVERAGE(OFFSET($H$3,0,0,'Données projet'!$E$12+1,1))</f>
        <v>288.24759203983547</v>
      </c>
      <c r="CE65" s="62">
        <f t="shared" si="40"/>
        <v>188.86613033148794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3.974358974358978</v>
      </c>
      <c r="CT65" s="13">
        <f>IF('Données projet'!$A$140&gt;35,CT64+CS65-DB64,IF(A65&lt;'Données projet'!$A$140,$CQ$205^A65,IF(A65='Données projet'!$A$140,'Données projet'!$B$140,CT64+CS65-DB64)))</f>
        <v>152.8205128205129</v>
      </c>
      <c r="CU65" s="18">
        <f>CT65*VLOOKUP('Données projet'!$B$13,Paramètres!$A$1:$I$89,3,0)*VLOOKUP('Données projet'!$B$13,Paramètres!$A$1:$I$89,5,0)</f>
        <v>102.51200000000004</v>
      </c>
      <c r="CV65" s="14">
        <f t="shared" si="41"/>
        <v>27.559580057072086</v>
      </c>
      <c r="CW65" s="22">
        <f t="shared" si="13"/>
        <v>226.54133526606731</v>
      </c>
      <c r="CX65" s="62">
        <f t="shared" si="14"/>
        <v>488.90033822571866</v>
      </c>
      <c r="CY65" s="62">
        <f ca="1">AVERAGE(OFFSET($CX$3,0,0,'Données projet'!$E$13+1,1))-AVERAGE(OFFSET($H$3,0,0,'Données projet'!$E$13+1,1))</f>
        <v>240.40157928925146</v>
      </c>
      <c r="CZ65" s="62">
        <f t="shared" si="42"/>
        <v>160.5013084380258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5.4</v>
      </c>
      <c r="DO65" s="13">
        <f>IF('Données projet'!$A$166&gt;35,DO64+DN65-DW64,IF(A65&lt;'Données projet'!$A$166,$DL$205^A65,IF(A65='Données projet'!$A$166,'Données projet'!$B$166,DO64+DN65-DW64)))</f>
        <v>158.79999999999998</v>
      </c>
      <c r="DP65" s="18">
        <f>DO65*VLOOKUP('Données projet'!$B$14,Paramètres!$A$1:$I$89,3,0)*VLOOKUP('Données projet'!$B$14,Paramètres!$A$1:$I$89,5,0)</f>
        <v>153.59135999999998</v>
      </c>
      <c r="DQ65" s="14">
        <f t="shared" si="43"/>
        <v>39.393607812663873</v>
      </c>
      <c r="DR65" s="22">
        <f t="shared" si="16"/>
        <v>336.1154856070562</v>
      </c>
      <c r="DS65" s="62">
        <f t="shared" si="17"/>
        <v>598.47448856670758</v>
      </c>
      <c r="DT65" s="62">
        <f ca="1">AVERAGE(OFFSET($DS$3,0,0,'Données projet'!$E$14+1,1))-AVERAGE(OFFSET($H$3,0,0,'Données projet'!$E$14+1,1))</f>
        <v>398.93296311353788</v>
      </c>
      <c r="DU65" s="62">
        <f t="shared" si="44"/>
        <v>173.19148969173838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2.6</v>
      </c>
      <c r="EJ65" s="13">
        <f>IF('Données projet'!$A$192&gt;35,EJ64+EI65-ER64,IF(A65&lt;'Données projet'!$A$192,$EG$205^A65,IF(A65='Données projet'!$A$192,'Données projet'!$B$192,EJ64+EI65-ER64)))</f>
        <v>145.1999999999999</v>
      </c>
      <c r="EK65" s="18">
        <f>EJ65*VLOOKUP('Données projet'!$B$15,Paramètres!$A$1:$I$89,3,0)*VLOOKUP('Données projet'!$B$15,Paramètres!$A$1:$I$89,5,0)</f>
        <v>126.84671999999993</v>
      </c>
      <c r="EL65" s="14">
        <f t="shared" si="45"/>
        <v>33.266690894263967</v>
      </c>
      <c r="EM65" s="22">
        <f t="shared" si="19"/>
        <v>278.86419064084293</v>
      </c>
      <c r="EN65" s="62">
        <f t="shared" si="20"/>
        <v>541.22319360049426</v>
      </c>
      <c r="EO65" s="62">
        <f ca="1">AVERAGE(OFFSET($EN$3,0,0,'Données projet'!$E$15+1,1))-AVERAGE(OFFSET($H$3,0,0,'Données projet'!$E$15+1,1))</f>
        <v>226.37420733783091</v>
      </c>
      <c r="EP65" s="62">
        <f t="shared" si="46"/>
        <v>204.10961748628714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6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9">
        <f t="shared" si="1"/>
        <v>183.33333333333334</v>
      </c>
      <c r="I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6.55</v>
      </c>
      <c r="N66" s="14">
        <f>IF('Données projet'!$A$36&gt;35,N65+M66-V65,IF(A66&lt;'Données projet'!$A$36,$K$205^A66,IF(A66='Données projet'!$A$36,'Données projet'!$B$36,N65+M66-V65)))</f>
        <v>152.65000000000009</v>
      </c>
      <c r="O66" s="14">
        <f>N66*VLOOKUP('Données projet'!$B$9,Paramètres!$A$1:$I$89,3,0)*VLOOKUP('Données projet'!$B$9,Paramètres!$A$1:$I$89,5,0)</f>
        <v>89.300250000000048</v>
      </c>
      <c r="P66" s="14">
        <f t="shared" si="33"/>
        <v>24.396385555954065</v>
      </c>
      <c r="Q66" s="22">
        <f t="shared" si="53"/>
        <v>198.02164025995341</v>
      </c>
      <c r="R66" s="62">
        <f t="shared" si="0"/>
        <v>460.91797860335953</v>
      </c>
      <c r="S66" s="62">
        <f ca="1">AVERAGE(OFFSET($R$3,0,0,'Données projet'!$E$9+1,1))-AVERAGE(OFFSET($H$3,0,0,'Données projet'!$E$9+1,1))</f>
        <v>196.48726929442091</v>
      </c>
      <c r="T66" s="62">
        <f t="shared" si="34"/>
        <v>193.28400454669347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1.7151721590957406E-4</v>
      </c>
      <c r="AC66" s="24">
        <f t="shared" si="3"/>
        <v>1.7151721590957406E-4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5.4</v>
      </c>
      <c r="AI66" s="14">
        <f>IF('Données projet'!$A$62&gt;35,AI65+AH66-AQ65,IF(A66&lt;'Données projet'!$A$62,$AF$205^A66,IF(A66='Données projet'!$A$62,'Données projet'!$B$62,AI65+AH66-AQ65)))</f>
        <v>164.2</v>
      </c>
      <c r="AJ66" s="14">
        <f>AI66*VLOOKUP('Données projet'!$B$10,Paramètres!$A$1:$I$89,3,0)*VLOOKUP('Données projet'!$B$10,Paramètres!$A$1:$I$89,5,0)</f>
        <v>166.49879999999999</v>
      </c>
      <c r="AK66" s="14">
        <f t="shared" si="35"/>
        <v>42.304924050589179</v>
      </c>
      <c r="AL66" s="22">
        <f t="shared" si="4"/>
        <v>363.66648605477604</v>
      </c>
      <c r="AM66" s="62">
        <f t="shared" si="5"/>
        <v>626.5628243981821</v>
      </c>
      <c r="AN66" s="62">
        <f ca="1">AVERAGE(OFFSET($AM$3,0,0,'Données projet'!$E$10+1,1))-AVERAGE(OFFSET($H$3,0,0,'Données projet'!$E$10+1,1))</f>
        <v>414.29294334114661</v>
      </c>
      <c r="AO66" s="62">
        <f t="shared" si="36"/>
        <v>178.72086185623849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5.4</v>
      </c>
      <c r="BD66" s="13">
        <f>IF('Données projet'!$A$88&gt;35,BD65+BC66-BL65,IF(A66&lt;'Données projet'!$A$88,$BA$205^A66,IF(A66='Données projet'!$A$88,'Données projet'!$B$88,BD65+BC66-BL65)))</f>
        <v>164.2</v>
      </c>
      <c r="BE66" s="14">
        <f>BD66*VLOOKUP('Données projet'!$B$11,Paramètres!$A$1:$I$89,3,0)*VLOOKUP('Données projet'!$B$11,Paramètres!$A$1:$I$89,5,0)</f>
        <v>176.74487999999999</v>
      </c>
      <c r="BF66" s="14">
        <f t="shared" si="37"/>
        <v>44.59721454265302</v>
      </c>
      <c r="BG66" s="22">
        <f t="shared" si="7"/>
        <v>385.5041479951206</v>
      </c>
      <c r="BH66" s="62">
        <f t="shared" si="8"/>
        <v>648.40048633852666</v>
      </c>
      <c r="BI66" s="62">
        <f ca="1">AVERAGE(OFFSET($BH$3,0,0,'Données projet'!$E$11+1,1))-AVERAGE(OFFSET($H$3,0,0,'Données projet'!$E$11+1,1))</f>
        <v>434.74983403680108</v>
      </c>
      <c r="BJ66" s="62">
        <f t="shared" si="38"/>
        <v>186.0840067781198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3.974358974358978</v>
      </c>
      <c r="BY66" s="13">
        <f>IF('Données projet'!$A$114&gt;35,BY65+BX66-CG65,IF(A66&lt;'Données projet'!$A$114,$BV$205^A66,IF(A66='Données projet'!$A$114,'Données projet'!$B$114,BY65+BX66-CG65)))</f>
        <v>156.79487179487188</v>
      </c>
      <c r="BZ66" s="14">
        <f>BY66*VLOOKUP('Données projet'!$B$12,Paramètres!$A$1:$I$89,3,0)*VLOOKUP('Données projet'!$B$12,Paramètres!$A$1:$I$89,5,0)</f>
        <v>134.53000000000009</v>
      </c>
      <c r="CA66" s="14">
        <f t="shared" si="39"/>
        <v>35.041013502175822</v>
      </c>
      <c r="CB66" s="22">
        <f t="shared" si="10"/>
        <v>295.33618184962302</v>
      </c>
      <c r="CC66" s="62">
        <f t="shared" si="11"/>
        <v>558.23252019302913</v>
      </c>
      <c r="CD66" s="62">
        <f ca="1">AVERAGE(OFFSET($CC$3,0,0,'Données projet'!$E$12+1,1))-AVERAGE(OFFSET($H$3,0,0,'Données projet'!$E$12+1,1))</f>
        <v>288.24759203983547</v>
      </c>
      <c r="CE66" s="62">
        <f t="shared" si="40"/>
        <v>188.86613033148794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3.974358974358978</v>
      </c>
      <c r="CT66" s="13">
        <f>IF('Données projet'!$A$140&gt;35,CT65+CS66-DB65,IF(A66&lt;'Données projet'!$A$140,$CQ$205^A66,IF(A66='Données projet'!$A$140,'Données projet'!$B$140,CT65+CS66-DB65)))</f>
        <v>156.79487179487188</v>
      </c>
      <c r="CU66" s="18">
        <f>CT66*VLOOKUP('Données projet'!$B$13,Paramètres!$A$1:$I$89,3,0)*VLOOKUP('Données projet'!$B$13,Paramètres!$A$1:$I$89,5,0)</f>
        <v>105.17800000000005</v>
      </c>
      <c r="CV66" s="14">
        <f t="shared" si="41"/>
        <v>28.191936844363621</v>
      </c>
      <c r="CW66" s="22">
        <f t="shared" si="13"/>
        <v>232.28597333726671</v>
      </c>
      <c r="CX66" s="62">
        <f t="shared" si="14"/>
        <v>495.1823116806728</v>
      </c>
      <c r="CY66" s="62">
        <f ca="1">AVERAGE(OFFSET($CX$3,0,0,'Données projet'!$E$13+1,1))-AVERAGE(OFFSET($H$3,0,0,'Données projet'!$E$13+1,1))</f>
        <v>240.40157928925146</v>
      </c>
      <c r="CZ66" s="62">
        <f t="shared" si="42"/>
        <v>160.5013084380258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5.4</v>
      </c>
      <c r="DO66" s="13">
        <f>IF('Données projet'!$A$166&gt;35,DO65+DN66-DW65,IF(A66&lt;'Données projet'!$A$166,$DL$205^A66,IF(A66='Données projet'!$A$166,'Données projet'!$B$166,DO65+DN66-DW65)))</f>
        <v>164.2</v>
      </c>
      <c r="DP66" s="18">
        <f>DO66*VLOOKUP('Données projet'!$B$14,Paramètres!$A$1:$I$89,3,0)*VLOOKUP('Données projet'!$B$14,Paramètres!$A$1:$I$89,5,0)</f>
        <v>158.81423999999998</v>
      </c>
      <c r="DQ66" s="14">
        <f t="shared" si="43"/>
        <v>40.574948252224658</v>
      </c>
      <c r="DR66" s="22">
        <f t="shared" si="16"/>
        <v>347.26950287262457</v>
      </c>
      <c r="DS66" s="62">
        <f t="shared" si="17"/>
        <v>610.16584121603069</v>
      </c>
      <c r="DT66" s="62">
        <f ca="1">AVERAGE(OFFSET($DS$3,0,0,'Données projet'!$E$14+1,1))-AVERAGE(OFFSET($H$3,0,0,'Données projet'!$E$14+1,1))</f>
        <v>398.93296311353788</v>
      </c>
      <c r="DU66" s="62">
        <f t="shared" si="44"/>
        <v>173.19148969173838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2.6</v>
      </c>
      <c r="EJ66" s="13">
        <f>IF('Données projet'!$A$192&gt;35,EJ65+EI66-ER65,IF(A66&lt;'Données projet'!$A$192,$EG$205^A66,IF(A66='Données projet'!$A$192,'Données projet'!$B$192,EJ65+EI66-ER65)))</f>
        <v>147.7999999999999</v>
      </c>
      <c r="EK66" s="18">
        <f>EJ66*VLOOKUP('Données projet'!$B$15,Paramètres!$A$1:$I$89,3,0)*VLOOKUP('Données projet'!$B$15,Paramètres!$A$1:$I$89,5,0)</f>
        <v>129.11807999999991</v>
      </c>
      <c r="EL66" s="14">
        <f t="shared" si="45"/>
        <v>33.792492849789163</v>
      </c>
      <c r="EM66" s="22">
        <f t="shared" si="19"/>
        <v>283.73591438004928</v>
      </c>
      <c r="EN66" s="62">
        <f t="shared" si="20"/>
        <v>546.63225272345539</v>
      </c>
      <c r="EO66" s="62">
        <f ca="1">AVERAGE(OFFSET($EN$3,0,0,'Données projet'!$E$15+1,1))-AVERAGE(OFFSET($H$3,0,0,'Données projet'!$E$15+1,1))</f>
        <v>226.37420733783091</v>
      </c>
      <c r="EP66" s="62">
        <f t="shared" si="46"/>
        <v>204.10961748628714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6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9">
        <f t="shared" si="1"/>
        <v>183.33333333333334</v>
      </c>
      <c r="I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6.55</v>
      </c>
      <c r="N67" s="14">
        <f>IF('Données projet'!$A$36&gt;35,N66+M67-V66,IF(A67&lt;'Données projet'!$A$36,$K$205^A67,IF(A67='Données projet'!$A$36,'Données projet'!$B$36,N66+M67-V66)))</f>
        <v>159.2000000000001</v>
      </c>
      <c r="O67" s="14">
        <f>N67*VLOOKUP('Données projet'!$B$9,Paramètres!$A$1:$I$89,3,0)*VLOOKUP('Données projet'!$B$9,Paramètres!$A$1:$I$89,5,0)</f>
        <v>93.132000000000062</v>
      </c>
      <c r="P67" s="14">
        <f t="shared" si="33"/>
        <v>25.319077548810455</v>
      </c>
      <c r="Q67" s="22">
        <f t="shared" ref="Q67:Q98" si="54">(O67+P67)*0.475*44/12</f>
        <v>206.30229339751165</v>
      </c>
      <c r="R67" s="62">
        <f t="shared" ref="R67:R130" si="55">Q67+(I67+J67)*44/12</f>
        <v>469.72664555706638</v>
      </c>
      <c r="S67" s="62">
        <f ca="1">AVERAGE(OFFSET($R$3,0,0,'Données projet'!$E$9+1,1))-AVERAGE(OFFSET($H$3,0,0,'Données projet'!$E$9+1,1))</f>
        <v>196.48726929442091</v>
      </c>
      <c r="T67" s="62">
        <f t="shared" si="34"/>
        <v>193.28400454669347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1.2128098645989702E-4</v>
      </c>
      <c r="AC67" s="24">
        <f t="shared" si="3"/>
        <v>1.2128098645989702E-4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5.4</v>
      </c>
      <c r="AI67" s="14">
        <f>IF('Données projet'!$A$62&gt;35,AI66+AH67-AQ66,IF(A67&lt;'Données projet'!$A$62,$AF$205^A67,IF(A67='Données projet'!$A$62,'Données projet'!$B$62,AI66+AH67-AQ66)))</f>
        <v>169.6</v>
      </c>
      <c r="AJ67" s="14">
        <f>AI67*VLOOKUP('Données projet'!$B$10,Paramètres!$A$1:$I$89,3,0)*VLOOKUP('Données projet'!$B$10,Paramètres!$A$1:$I$89,5,0)</f>
        <v>171.9744</v>
      </c>
      <c r="AK67" s="14">
        <f t="shared" si="35"/>
        <v>43.531925888246128</v>
      </c>
      <c r="AL67" s="22">
        <f t="shared" si="4"/>
        <v>375.34018425536198</v>
      </c>
      <c r="AM67" s="62">
        <f t="shared" si="5"/>
        <v>638.76453641491673</v>
      </c>
      <c r="AN67" s="62">
        <f ca="1">AVERAGE(OFFSET($AM$3,0,0,'Données projet'!$E$10+1,1))-AVERAGE(OFFSET($H$3,0,0,'Données projet'!$E$10+1,1))</f>
        <v>414.29294334114661</v>
      </c>
      <c r="AO67" s="62">
        <f t="shared" si="36"/>
        <v>178.72086185623849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5.4</v>
      </c>
      <c r="BD67" s="13">
        <f>IF('Données projet'!$A$88&gt;35,BD66+BC67-BL66,IF(A67&lt;'Données projet'!$A$88,$BA$205^A67,IF(A67='Données projet'!$A$88,'Données projet'!$B$88,BD66+BC67-BL66)))</f>
        <v>169.6</v>
      </c>
      <c r="BE67" s="14">
        <f>BD67*VLOOKUP('Données projet'!$B$11,Paramètres!$A$1:$I$89,3,0)*VLOOKUP('Données projet'!$B$11,Paramètres!$A$1:$I$89,5,0)</f>
        <v>182.55743999999999</v>
      </c>
      <c r="BF67" s="14">
        <f t="shared" si="37"/>
        <v>45.890701422165712</v>
      </c>
      <c r="BG67" s="22">
        <f t="shared" si="7"/>
        <v>397.88051297693852</v>
      </c>
      <c r="BH67" s="62">
        <f t="shared" si="8"/>
        <v>661.30486513649328</v>
      </c>
      <c r="BI67" s="62">
        <f ca="1">AVERAGE(OFFSET($BH$3,0,0,'Données projet'!$E$11+1,1))-AVERAGE(OFFSET($H$3,0,0,'Données projet'!$E$11+1,1))</f>
        <v>434.74983403680108</v>
      </c>
      <c r="BJ67" s="62">
        <f t="shared" si="38"/>
        <v>186.0840067781198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3.974358974358978</v>
      </c>
      <c r="BY67" s="13">
        <f>IF('Données projet'!$A$114&gt;35,BY66+BX67-CG66,IF(A67&lt;'Données projet'!$A$114,$BV$205^A67,IF(A67='Données projet'!$A$114,'Données projet'!$B$114,BY66+BX67-CG66)))</f>
        <v>160.76923076923086</v>
      </c>
      <c r="BZ67" s="14">
        <f>BY67*VLOOKUP('Données projet'!$B$12,Paramètres!$A$1:$I$89,3,0)*VLOOKUP('Données projet'!$B$12,Paramètres!$A$1:$I$89,5,0)</f>
        <v>137.94000000000008</v>
      </c>
      <c r="CA67" s="14">
        <f t="shared" si="39"/>
        <v>35.824682055873737</v>
      </c>
      <c r="CB67" s="22">
        <f t="shared" si="10"/>
        <v>302.64015458064688</v>
      </c>
      <c r="CC67" s="62">
        <f t="shared" si="11"/>
        <v>566.06450674020164</v>
      </c>
      <c r="CD67" s="62">
        <f ca="1">AVERAGE(OFFSET($CC$3,0,0,'Données projet'!$E$12+1,1))-AVERAGE(OFFSET($H$3,0,0,'Données projet'!$E$12+1,1))</f>
        <v>288.24759203983547</v>
      </c>
      <c r="CE67" s="62">
        <f t="shared" si="40"/>
        <v>188.86613033148794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3.974358974358978</v>
      </c>
      <c r="CT67" s="13">
        <f>IF('Données projet'!$A$140&gt;35,CT66+CS67-DB66,IF(A67&lt;'Données projet'!$A$140,$CQ$205^A67,IF(A67='Données projet'!$A$140,'Données projet'!$B$140,CT66+CS67-DB66)))</f>
        <v>160.76923076923086</v>
      </c>
      <c r="CU67" s="18">
        <f>CT67*VLOOKUP('Données projet'!$B$13,Paramètres!$A$1:$I$89,3,0)*VLOOKUP('Données projet'!$B$13,Paramètres!$A$1:$I$89,5,0)</f>
        <v>107.84400000000007</v>
      </c>
      <c r="CV67" s="14">
        <f t="shared" si="41"/>
        <v>28.822430433579967</v>
      </c>
      <c r="CW67" s="22">
        <f t="shared" si="13"/>
        <v>238.02736633848522</v>
      </c>
      <c r="CX67" s="62">
        <f t="shared" si="14"/>
        <v>501.45171849804001</v>
      </c>
      <c r="CY67" s="62">
        <f ca="1">AVERAGE(OFFSET($CX$3,0,0,'Données projet'!$E$13+1,1))-AVERAGE(OFFSET($H$3,0,0,'Données projet'!$E$13+1,1))</f>
        <v>240.40157928925146</v>
      </c>
      <c r="CZ67" s="62">
        <f t="shared" si="42"/>
        <v>160.5013084380258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5.4</v>
      </c>
      <c r="DO67" s="13">
        <f>IF('Données projet'!$A$166&gt;35,DO66+DN67-DW66,IF(A67&lt;'Données projet'!$A$166,$DL$205^A67,IF(A67='Données projet'!$A$166,'Données projet'!$B$166,DO66+DN67-DW66)))</f>
        <v>169.6</v>
      </c>
      <c r="DP67" s="18">
        <f>DO67*VLOOKUP('Données projet'!$B$14,Paramètres!$A$1:$I$89,3,0)*VLOOKUP('Données projet'!$B$14,Paramètres!$A$1:$I$89,5,0)</f>
        <v>164.03712000000002</v>
      </c>
      <c r="DQ67" s="14">
        <f t="shared" si="43"/>
        <v>41.75177428809652</v>
      </c>
      <c r="DR67" s="22">
        <f t="shared" si="16"/>
        <v>358.41565755176816</v>
      </c>
      <c r="DS67" s="62">
        <f t="shared" si="17"/>
        <v>621.84000971132286</v>
      </c>
      <c r="DT67" s="62">
        <f ca="1">AVERAGE(OFFSET($DS$3,0,0,'Données projet'!$E$14+1,1))-AVERAGE(OFFSET($H$3,0,0,'Données projet'!$E$14+1,1))</f>
        <v>398.93296311353788</v>
      </c>
      <c r="DU67" s="62">
        <f t="shared" si="44"/>
        <v>173.19148969173838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2.6</v>
      </c>
      <c r="EJ67" s="13">
        <f>IF('Données projet'!$A$192&gt;35,EJ66+EI67-ER66,IF(A67&lt;'Données projet'!$A$192,$EG$205^A67,IF(A67='Données projet'!$A$192,'Données projet'!$B$192,EJ66+EI67-ER66)))</f>
        <v>150.39999999999989</v>
      </c>
      <c r="EK67" s="18">
        <f>EJ67*VLOOKUP('Données projet'!$B$15,Paramètres!$A$1:$I$89,3,0)*VLOOKUP('Données projet'!$B$15,Paramètres!$A$1:$I$89,5,0)</f>
        <v>131.38943999999992</v>
      </c>
      <c r="EL67" s="14">
        <f t="shared" si="45"/>
        <v>34.317219199328726</v>
      </c>
      <c r="EM67" s="22">
        <f t="shared" si="19"/>
        <v>288.60576477216404</v>
      </c>
      <c r="EN67" s="62">
        <f t="shared" si="20"/>
        <v>552.03011693171879</v>
      </c>
      <c r="EO67" s="62">
        <f ca="1">AVERAGE(OFFSET($EN$3,0,0,'Données projet'!$E$15+1,1))-AVERAGE(OFFSET($H$3,0,0,'Données projet'!$E$15+1,1))</f>
        <v>226.37420733783091</v>
      </c>
      <c r="EP67" s="62">
        <f t="shared" si="46"/>
        <v>204.10961748628714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6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9">
        <f t="shared" ref="H68:H131" si="56">(B68+E68+F68)*44/12+(C68+D68)*0.475*44/12</f>
        <v>183.33333333333334</v>
      </c>
      <c r="I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6.55</v>
      </c>
      <c r="N68" s="14">
        <f>IF('Données projet'!$A$36&gt;35,N67+M68-V67,IF(A68&lt;'Données projet'!$A$36,$K$205^A68,IF(A68='Données projet'!$A$36,'Données projet'!$B$36,N67+M68-V67)))</f>
        <v>165.75000000000011</v>
      </c>
      <c r="O68" s="14">
        <f>N68*VLOOKUP('Données projet'!$B$9,Paramètres!$A$1:$I$89,3,0)*VLOOKUP('Données projet'!$B$9,Paramètres!$A$1:$I$89,5,0)</f>
        <v>96.963750000000061</v>
      </c>
      <c r="P68" s="14">
        <f t="shared" si="33"/>
        <v>26.237359955130323</v>
      </c>
      <c r="Q68" s="22">
        <f t="shared" si="54"/>
        <v>214.5752665051854</v>
      </c>
      <c r="R68" s="62">
        <f t="shared" si="55"/>
        <v>478.51847262164063</v>
      </c>
      <c r="S68" s="62">
        <f ca="1">AVERAGE(OFFSET($R$3,0,0,'Données projet'!$E$9+1,1))-AVERAGE(OFFSET($H$3,0,0,'Données projet'!$E$9+1,1))</f>
        <v>196.48726929442091</v>
      </c>
      <c r="T68" s="62">
        <f t="shared" si="34"/>
        <v>193.28400454669347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8.5758607954787046E-5</v>
      </c>
      <c r="AC68" s="24">
        <f t="shared" ref="AC68:AC131" si="57">SUM(Z68:AB68)</f>
        <v>8.5758607954787046E-5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175</v>
      </c>
      <c r="AG68" s="13">
        <f>VLOOKUP(A68,'Données projet'!$A$61:$I$81,9,0)</f>
        <v>5.4</v>
      </c>
      <c r="AH68" s="13">
        <f t="array" ref="AH68">INDEX(AG:AG,MIN(IF(ISNUMBER(AG68:AG264),ROW(AG68:AG264),"")))</f>
        <v>5.4</v>
      </c>
      <c r="AI68" s="14">
        <f>IF('Données projet'!$A$62&gt;35,AI67+AH68-AQ67,IF(A68&lt;'Données projet'!$A$62,$AF$205^A68,IF(A68='Données projet'!$A$62,'Données projet'!$B$62,AI67+AH68-AQ67)))</f>
        <v>175</v>
      </c>
      <c r="AJ68" s="14">
        <f>AI68*VLOOKUP('Données projet'!$B$10,Paramètres!$A$1:$I$89,3,0)*VLOOKUP('Données projet'!$B$10,Paramètres!$A$1:$I$89,5,0)</f>
        <v>177.45000000000002</v>
      </c>
      <c r="AK68" s="14">
        <f t="shared" si="35"/>
        <v>44.754387900936791</v>
      </c>
      <c r="AL68" s="22">
        <f t="shared" ref="AL68:AL131" si="58">(AJ68+AK68)*0.475*44/12</f>
        <v>387.0059755941316</v>
      </c>
      <c r="AM68" s="62">
        <f t="shared" ref="AM68:AM131" si="59">AL68+(AD68+AE68)*44/12</f>
        <v>650.9491817105868</v>
      </c>
      <c r="AN68" s="62">
        <f ca="1">AVERAGE(OFFSET($AM$3,0,0,'Données projet'!$E$10+1,1))-AVERAGE(OFFSET($H$3,0,0,'Données projet'!$E$10+1,1))</f>
        <v>414.29294334114661</v>
      </c>
      <c r="AO68" s="62">
        <f t="shared" si="36"/>
        <v>178.72086185623849</v>
      </c>
      <c r="AP68" s="16">
        <f>IF(ISNA(VLOOKUP(A68,'Données projet'!$A$61:$I$81,3,0)),0,VLOOKUP(A68,'Données projet'!$A$61:$I$81,3,0))</f>
        <v>4</v>
      </c>
      <c r="AQ68" s="16">
        <f>IF(ISNA(VLOOKUP(A68,'Données projet'!$A$61:$I$81,4,0)),0,VLOOKUP(A68,'Données projet'!$A$61:$I$81,4,0))</f>
        <v>28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175</v>
      </c>
      <c r="BB68" s="13">
        <f>VLOOKUP(A68,'Données projet'!$A$87:$I$107,9,0)</f>
        <v>5.4</v>
      </c>
      <c r="BC68" s="13">
        <f t="array" ref="BC68">INDEX(BB:BB,MIN(IF(ISNUMBER(BB68:BB264),ROW(BB68:BB264),"")))</f>
        <v>5.4</v>
      </c>
      <c r="BD68" s="13">
        <f>IF('Données projet'!$A$88&gt;35,BD67+BC68-BL67,IF(A68&lt;'Données projet'!$A$88,$BA$205^A68,IF(A68='Données projet'!$A$88,'Données projet'!$B$88,BD67+BC68-BL67)))</f>
        <v>175</v>
      </c>
      <c r="BE68" s="14">
        <f>BD68*VLOOKUP('Données projet'!$B$11,Paramètres!$A$1:$I$89,3,0)*VLOOKUP('Données projet'!$B$11,Paramètres!$A$1:$I$89,5,0)</f>
        <v>188.36999999999998</v>
      </c>
      <c r="BF68" s="14">
        <f t="shared" si="37"/>
        <v>47.179402486491298</v>
      </c>
      <c r="BG68" s="22">
        <f t="shared" ref="BG68:BG131" si="61">(BE68+BF68)*0.475*44/12</f>
        <v>410.24854266397227</v>
      </c>
      <c r="BH68" s="62">
        <f t="shared" ref="BH68:BH131" si="62">BG68+(AY68+AZ68)*44/12</f>
        <v>674.19174878042747</v>
      </c>
      <c r="BI68" s="62">
        <f ca="1">AVERAGE(OFFSET($BH$3,0,0,'Données projet'!$E$11+1,1))-AVERAGE(OFFSET($H$3,0,0,'Données projet'!$E$11+1,1))</f>
        <v>434.74983403680108</v>
      </c>
      <c r="BJ68" s="62">
        <f t="shared" si="38"/>
        <v>186.0840067781198</v>
      </c>
      <c r="BK68" s="16">
        <f>IF(ISNA(VLOOKUP(A68,'Données projet'!$A$87:$I$107,3,0)),0,VLOOKUP(A68,'Données projet'!$A$87:$I$107,3,0))</f>
        <v>4</v>
      </c>
      <c r="BL68" s="16">
        <f>IF(ISNA(VLOOKUP(A68,'Données projet'!$A$87:$I$107,4,0)),0,VLOOKUP(A68,'Données projet'!$A$87:$I$107,4,0))</f>
        <v>28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164.74358974358975</v>
      </c>
      <c r="BW68" s="13">
        <f>VLOOKUP(A68,'Données projet'!$A$113:$I$133,9,0)</f>
        <v>3.974358974358978</v>
      </c>
      <c r="BX68" s="13">
        <f t="array" ref="BX68">INDEX(BW:BW,MIN(IF(ISNUMBER(BW68:BW264),ROW(BW68:BW264),"")))</f>
        <v>3.974358974358978</v>
      </c>
      <c r="BY68" s="13">
        <f>IF('Données projet'!$A$114&gt;35,BY67+BX68-CG67,IF(A68&lt;'Données projet'!$A$114,$BV$205^A68,IF(A68='Données projet'!$A$114,'Données projet'!$B$114,BY67+BX68-CG67)))</f>
        <v>164.74358974358984</v>
      </c>
      <c r="BZ68" s="14">
        <f>BY68*VLOOKUP('Données projet'!$B$12,Paramètres!$A$1:$I$89,3,0)*VLOOKUP('Données projet'!$B$12,Paramètres!$A$1:$I$89,5,0)</f>
        <v>141.35000000000011</v>
      </c>
      <c r="CA68" s="14">
        <f t="shared" si="39"/>
        <v>36.606098592828943</v>
      </c>
      <c r="CB68" s="22">
        <f t="shared" ref="CB68:CB131" si="64">(BZ68+CA68)*0.475*44/12</f>
        <v>309.94020504917722</v>
      </c>
      <c r="CC68" s="62">
        <f t="shared" ref="CC68:CC131" si="65">CB68+(BT68+BU68)*44/12</f>
        <v>573.88341116563242</v>
      </c>
      <c r="CD68" s="62">
        <f ca="1">AVERAGE(OFFSET($CC$3,0,0,'Données projet'!$E$12+1,1))-AVERAGE(OFFSET($H$3,0,0,'Données projet'!$E$12+1,1))</f>
        <v>288.24759203983547</v>
      </c>
      <c r="CE68" s="62">
        <f t="shared" si="40"/>
        <v>188.86613033148794</v>
      </c>
      <c r="CF68" s="16">
        <f>IF(ISNA(VLOOKUP(A68,'Données projet'!$A$113:$I$133,3,0)),0,VLOOKUP(A68,'Données projet'!$A$113:$I$133,3,0))</f>
        <v>5</v>
      </c>
      <c r="CG68" s="16">
        <f>IF(ISNA(VLOOKUP(A68,'Données projet'!$A$113:$I$133,4,0)),0,VLOOKUP(A68,'Données projet'!$A$113:$I$133,4,0))</f>
        <v>21.153846153846153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164.74358974358975</v>
      </c>
      <c r="CR68" s="13">
        <f>VLOOKUP(A68,'Données projet'!$A$139:$I$159,9,0)</f>
        <v>3.974358974358978</v>
      </c>
      <c r="CS68" s="13">
        <f t="array" ref="CS68">INDEX(CR:CR,MIN(IF(ISNUMBER(CR68:CR264),ROW(CR68:CR264),"")))</f>
        <v>3.974358974358978</v>
      </c>
      <c r="CT68" s="13">
        <f>IF('Données projet'!$A$140&gt;35,CT67+CS68-DB67,IF(A68&lt;'Données projet'!$A$140,$CQ$205^A68,IF(A68='Données projet'!$A$140,'Données projet'!$B$140,CT67+CS68-DB67)))</f>
        <v>164.74358974358984</v>
      </c>
      <c r="CU68" s="18">
        <f>CT68*VLOOKUP('Données projet'!$B$13,Paramètres!$A$1:$I$89,3,0)*VLOOKUP('Données projet'!$B$13,Paramètres!$A$1:$I$89,5,0)</f>
        <v>110.51000000000008</v>
      </c>
      <c r="CV68" s="14">
        <f t="shared" si="41"/>
        <v>29.45111218268562</v>
      </c>
      <c r="CW68" s="22">
        <f t="shared" ref="CW68:CW131" si="67">(CU68+CV68)*0.475*44/12</f>
        <v>243.76560371817754</v>
      </c>
      <c r="CX68" s="62">
        <f t="shared" ref="CX68:CX131" si="68">CW68+(CO68+CP68)*44/12</f>
        <v>507.70880983463275</v>
      </c>
      <c r="CY68" s="62">
        <f ca="1">AVERAGE(OFFSET($CX$3,0,0,'Données projet'!$E$13+1,1))-AVERAGE(OFFSET($H$3,0,0,'Données projet'!$E$13+1,1))</f>
        <v>240.40157928925146</v>
      </c>
      <c r="CZ68" s="62">
        <f t="shared" si="42"/>
        <v>160.5013084380258</v>
      </c>
      <c r="DA68" s="16">
        <f>IF(ISNA(VLOOKUP(A68,'Données projet'!$A$139:$I$159,3,0)),0,VLOOKUP(A68,'Données projet'!$A$139:$I$159,3,0))</f>
        <v>5</v>
      </c>
      <c r="DB68" s="16">
        <f>IF(ISNA(VLOOKUP(A68,'Données projet'!$A$139:$I$159,4,0)),0,VLOOKUP(A68,'Données projet'!$A$139:$I$159,4,0))</f>
        <v>21.153846153846153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175</v>
      </c>
      <c r="DM68" s="13">
        <f>VLOOKUP(A68,'Données projet'!$A$165:$I$185,9,0)</f>
        <v>5.4</v>
      </c>
      <c r="DN68" s="13">
        <f t="array" ref="DN68">INDEX(DM:DM,MIN(IF(ISNUMBER(DM68:DM264),ROW(DM68:DM264),"")))</f>
        <v>5.4</v>
      </c>
      <c r="DO68" s="13">
        <f>IF('Données projet'!$A$166&gt;35,DO67+DN68-DW67,IF(A68&lt;'Données projet'!$A$166,$DL$205^A68,IF(A68='Données projet'!$A$166,'Données projet'!$B$166,DO67+DN68-DW67)))</f>
        <v>175</v>
      </c>
      <c r="DP68" s="18">
        <f>DO68*VLOOKUP('Données projet'!$B$14,Paramètres!$A$1:$I$89,3,0)*VLOOKUP('Données projet'!$B$14,Paramètres!$A$1:$I$89,5,0)</f>
        <v>169.26000000000002</v>
      </c>
      <c r="DQ68" s="14">
        <f t="shared" si="43"/>
        <v>42.924246146122272</v>
      </c>
      <c r="DR68" s="22">
        <f t="shared" ref="DR68:DR131" si="70">(DP68+DQ68)*0.475*44/12</f>
        <v>369.55422870449632</v>
      </c>
      <c r="DS68" s="62">
        <f t="shared" ref="DS68:DS131" si="71">DR68+(DJ68+DK68)*44/12</f>
        <v>633.49743482095153</v>
      </c>
      <c r="DT68" s="62">
        <f ca="1">AVERAGE(OFFSET($DS$3,0,0,'Données projet'!$E$14+1,1))-AVERAGE(OFFSET($H$3,0,0,'Données projet'!$E$14+1,1))</f>
        <v>398.93296311353788</v>
      </c>
      <c r="DU68" s="62">
        <f t="shared" si="44"/>
        <v>173.19148969173838</v>
      </c>
      <c r="DV68" s="16">
        <f>IF(ISNA(VLOOKUP(A68,'Données projet'!$A$165:$I$185,3,0)),0,VLOOKUP(A68,'Données projet'!$A$165:$I$185,3,0))</f>
        <v>4</v>
      </c>
      <c r="DW68" s="16">
        <f>IF(ISNA(VLOOKUP(A68,'Données projet'!$A$165:$I$185,4,0)),0,VLOOKUP(A68,'Données projet'!$A$165:$I$185,4,0))</f>
        <v>28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153</v>
      </c>
      <c r="EH68" s="13">
        <f>VLOOKUP(A68,'Données projet'!$A$191:$I$211,9,0)</f>
        <v>2.6</v>
      </c>
      <c r="EI68" s="13">
        <f t="array" ref="EI68">INDEX(EH:EH,MIN(IF(ISNUMBER(EH68:EH264),ROW(EH68:EH264),"")))</f>
        <v>2.6</v>
      </c>
      <c r="EJ68" s="13">
        <f>IF('Données projet'!$A$192&gt;35,EJ67+EI68-ER67,IF(A68&lt;'Données projet'!$A$192,$EG$205^A68,IF(A68='Données projet'!$A$192,'Données projet'!$B$192,EJ67+EI68-ER67)))</f>
        <v>152.99999999999989</v>
      </c>
      <c r="EK68" s="18">
        <f>EJ68*VLOOKUP('Données projet'!$B$15,Paramètres!$A$1:$I$89,3,0)*VLOOKUP('Données projet'!$B$15,Paramètres!$A$1:$I$89,5,0)</f>
        <v>133.66079999999994</v>
      </c>
      <c r="EL68" s="14">
        <f t="shared" si="45"/>
        <v>34.840890682716719</v>
      </c>
      <c r="EM68" s="22">
        <f t="shared" ref="EM68:EM131" si="73">(EK68+EL68)*0.475*44/12</f>
        <v>293.47377793906486</v>
      </c>
      <c r="EN68" s="62">
        <f t="shared" ref="EN68:EN131" si="74">EM68+(EE68+EF68)*44/12</f>
        <v>557.41698405552006</v>
      </c>
      <c r="EO68" s="62">
        <f ca="1">AVERAGE(OFFSET($EN$3,0,0,'Données projet'!$E$15+1,1))-AVERAGE(OFFSET($H$3,0,0,'Données projet'!$E$15+1,1))</f>
        <v>226.37420733783091</v>
      </c>
      <c r="EP68" s="62">
        <f t="shared" si="46"/>
        <v>204.10961748628714</v>
      </c>
      <c r="EQ68" s="16">
        <f>IF(ISNA(VLOOKUP(A68,'Données projet'!$A$191:$I$211,3,0)),0,VLOOKUP(A68,'Données projet'!$A$191:$I$211,3,0))</f>
        <v>5</v>
      </c>
      <c r="ER68" s="16">
        <f>IF(ISNA(VLOOKUP(A68,'Données projet'!$A$191:$I$211,4,0)),0,VLOOKUP(A68,'Données projet'!$A$191:$I$211,4,0))</f>
        <v>13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6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9">
        <f t="shared" si="56"/>
        <v>183.33333333333334</v>
      </c>
      <c r="I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6.55</v>
      </c>
      <c r="N69" s="14">
        <f>IF('Données projet'!$A$36&gt;35,N68+M69-V68,IF(A69&lt;'Données projet'!$A$36,$K$205^A69,IF(A69='Données projet'!$A$36,'Données projet'!$B$36,N68+M69-V68)))</f>
        <v>172.30000000000013</v>
      </c>
      <c r="O69" s="14">
        <f>N69*VLOOKUP('Données projet'!$B$9,Paramètres!$A$1:$I$89,3,0)*VLOOKUP('Données projet'!$B$9,Paramètres!$A$1:$I$89,5,0)</f>
        <v>100.79550000000008</v>
      </c>
      <c r="P69" s="14">
        <f t="shared" ref="P69:P132" si="87">EXP(-1.0587+0.8836*LN(O69)+0.284)</f>
        <v>27.151426969606639</v>
      </c>
      <c r="Q69" s="22">
        <f t="shared" si="54"/>
        <v>222.84089780539838</v>
      </c>
      <c r="R69" s="62">
        <f t="shared" si="55"/>
        <v>487.29395692258549</v>
      </c>
      <c r="S69" s="62">
        <f ca="1">AVERAGE(OFFSET($R$3,0,0,'Données projet'!$E$9+1,1))-AVERAGE(OFFSET($H$3,0,0,'Données projet'!$E$9+1,1))</f>
        <v>196.48726929442091</v>
      </c>
      <c r="T69" s="62">
        <f t="shared" ref="T69:T132" si="88">$T$3</f>
        <v>193.28400454669347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6.0640493229948524E-5</v>
      </c>
      <c r="AC69" s="24">
        <f t="shared" si="57"/>
        <v>6.0640493229948524E-5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5</v>
      </c>
      <c r="AI69" s="14">
        <f>IF('Données projet'!$A$62&gt;35,AI68+AH69-AQ68,IF(A69&lt;'Données projet'!$A$62,$AF$205^A69,IF(A69='Données projet'!$A$62,'Données projet'!$B$62,AI68+AH69-AQ68)))</f>
        <v>152</v>
      </c>
      <c r="AJ69" s="14">
        <f>AI69*VLOOKUP('Données projet'!$B$10,Paramètres!$A$1:$I$89,3,0)*VLOOKUP('Données projet'!$B$10,Paramètres!$A$1:$I$89,5,0)</f>
        <v>154.12800000000001</v>
      </c>
      <c r="AK69" s="14">
        <f t="shared" ref="AK69:AK132" si="89">EXP(-1.0587+0.8836*LN(AJ69)+0.284)</f>
        <v>39.515201075361155</v>
      </c>
      <c r="AL69" s="22">
        <f t="shared" si="58"/>
        <v>337.26190853958735</v>
      </c>
      <c r="AM69" s="62">
        <f t="shared" si="59"/>
        <v>601.71496765677443</v>
      </c>
      <c r="AN69" s="62">
        <f ca="1">AVERAGE(OFFSET($AM$3,0,0,'Données projet'!$E$10+1,1))-AVERAGE(OFFSET($H$3,0,0,'Données projet'!$E$10+1,1))</f>
        <v>414.29294334114661</v>
      </c>
      <c r="AO69" s="62">
        <f t="shared" ref="AO69:AO132" si="90">$AO$3</f>
        <v>178.72086185623849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5</v>
      </c>
      <c r="BD69" s="13">
        <f>IF('Données projet'!$A$88&gt;35,BD68+BC69-BL68,IF(A69&lt;'Données projet'!$A$88,$BA$205^A69,IF(A69='Données projet'!$A$88,'Données projet'!$B$88,BD68+BC69-BL68)))</f>
        <v>152</v>
      </c>
      <c r="BE69" s="14">
        <f>BD69*VLOOKUP('Données projet'!$B$11,Paramètres!$A$1:$I$89,3,0)*VLOOKUP('Données projet'!$B$11,Paramètres!$A$1:$I$89,5,0)</f>
        <v>163.61279999999999</v>
      </c>
      <c r="BF69" s="14">
        <f t="shared" ref="BF69:BF132" si="91">EXP(-1.0587+0.8836*LN(BE69)+0.284)</f>
        <v>41.656330547871804</v>
      </c>
      <c r="BG69" s="22">
        <f t="shared" si="61"/>
        <v>357.51040237087665</v>
      </c>
      <c r="BH69" s="62">
        <f t="shared" si="62"/>
        <v>621.96346148806379</v>
      </c>
      <c r="BI69" s="62">
        <f ca="1">AVERAGE(OFFSET($BH$3,0,0,'Données projet'!$E$11+1,1))-AVERAGE(OFFSET($H$3,0,0,'Données projet'!$E$11+1,1))</f>
        <v>434.74983403680108</v>
      </c>
      <c r="BJ69" s="62">
        <f t="shared" ref="BJ69:BJ132" si="92">$BJ$3</f>
        <v>186.0840067781198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3.4615384615384586</v>
      </c>
      <c r="BY69" s="13">
        <f>IF('Données projet'!$A$114&gt;35,BY68+BX69-CG68,IF(A69&lt;'Données projet'!$A$114,$BV$205^A69,IF(A69='Données projet'!$A$114,'Données projet'!$B$114,BY68+BX69-CG68)))</f>
        <v>147.05128205128213</v>
      </c>
      <c r="BZ69" s="14">
        <f>BY69*VLOOKUP('Données projet'!$B$12,Paramètres!$A$1:$I$89,3,0)*VLOOKUP('Données projet'!$B$12,Paramètres!$A$1:$I$89,5,0)</f>
        <v>126.17000000000009</v>
      </c>
      <c r="CA69" s="14">
        <f t="shared" ref="CA69:CA132" si="93">EXP(-1.0587+0.8836*LN(BZ69)+0.284)</f>
        <v>33.109824406279607</v>
      </c>
      <c r="CB69" s="22">
        <f t="shared" si="64"/>
        <v>277.41236084093708</v>
      </c>
      <c r="CC69" s="62">
        <f t="shared" si="65"/>
        <v>541.86541995812422</v>
      </c>
      <c r="CD69" s="62">
        <f ca="1">AVERAGE(OFFSET($CC$3,0,0,'Données projet'!$E$12+1,1))-AVERAGE(OFFSET($H$3,0,0,'Données projet'!$E$12+1,1))</f>
        <v>288.24759203983547</v>
      </c>
      <c r="CE69" s="62">
        <f t="shared" ref="CE69:CE132" si="94">$CE$3</f>
        <v>188.86613033148794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3.4615384615384586</v>
      </c>
      <c r="CT69" s="13">
        <f>IF('Données projet'!$A$140&gt;35,CT68+CS69-DB68,IF(A69&lt;'Données projet'!$A$140,$CQ$205^A69,IF(A69='Données projet'!$A$140,'Données projet'!$B$140,CT68+CS69-DB68)))</f>
        <v>147.05128205128213</v>
      </c>
      <c r="CU69" s="18">
        <f>CT69*VLOOKUP('Données projet'!$B$13,Paramètres!$A$1:$I$89,3,0)*VLOOKUP('Données projet'!$B$13,Paramètres!$A$1:$I$89,5,0)</f>
        <v>98.642000000000053</v>
      </c>
      <c r="CV69" s="14">
        <f t="shared" ref="CV69:CV132" si="95">EXP(-1.0587+0.8836*LN(CU69)+0.284)</f>
        <v>26.638215773406319</v>
      </c>
      <c r="CW69" s="22">
        <f t="shared" si="67"/>
        <v>218.19637580534945</v>
      </c>
      <c r="CX69" s="62">
        <f t="shared" si="68"/>
        <v>482.64943492253656</v>
      </c>
      <c r="CY69" s="62">
        <f ca="1">AVERAGE(OFFSET($CX$3,0,0,'Données projet'!$E$13+1,1))-AVERAGE(OFFSET($H$3,0,0,'Données projet'!$E$13+1,1))</f>
        <v>240.40157928925146</v>
      </c>
      <c r="CZ69" s="62">
        <f t="shared" ref="CZ69:CZ132" si="96">$CZ$3</f>
        <v>160.5013084380258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5</v>
      </c>
      <c r="DO69" s="13">
        <f>IF('Données projet'!$A$166&gt;35,DO68+DN69-DW68,IF(A69&lt;'Données projet'!$A$166,$DL$205^A69,IF(A69='Données projet'!$A$166,'Données projet'!$B$166,DO68+DN69-DW68)))</f>
        <v>152</v>
      </c>
      <c r="DP69" s="18">
        <f>DO69*VLOOKUP('Données projet'!$B$14,Paramètres!$A$1:$I$89,3,0)*VLOOKUP('Données projet'!$B$14,Paramètres!$A$1:$I$89,5,0)</f>
        <v>147.01439999999999</v>
      </c>
      <c r="DQ69" s="14">
        <f t="shared" ref="DQ69:DQ132" si="97">EXP(-1.0587+0.8836*LN(DP69)+0.284)</f>
        <v>37.899305454176826</v>
      </c>
      <c r="DR69" s="22">
        <f t="shared" si="70"/>
        <v>322.05803699935797</v>
      </c>
      <c r="DS69" s="62">
        <f t="shared" si="71"/>
        <v>586.5110961165451</v>
      </c>
      <c r="DT69" s="62">
        <f ca="1">AVERAGE(OFFSET($DS$3,0,0,'Données projet'!$E$14+1,1))-AVERAGE(OFFSET($H$3,0,0,'Données projet'!$E$14+1,1))</f>
        <v>398.93296311353788</v>
      </c>
      <c r="DU69" s="62">
        <f t="shared" ref="DU69:DU132" si="98">$DU$3</f>
        <v>173.19148969173838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2.2000000000000002</v>
      </c>
      <c r="EJ69" s="13">
        <f>IF('Données projet'!$A$192&gt;35,EJ68+EI69-ER68,IF(A69&lt;'Données projet'!$A$192,$EG$205^A69,IF(A69='Données projet'!$A$192,'Données projet'!$B$192,EJ68+EI69-ER68)))</f>
        <v>142.19999999999987</v>
      </c>
      <c r="EK69" s="18">
        <f>EJ69*VLOOKUP('Données projet'!$B$15,Paramètres!$A$1:$I$89,3,0)*VLOOKUP('Données projet'!$B$15,Paramètres!$A$1:$I$89,5,0)</f>
        <v>124.2259199999999</v>
      </c>
      <c r="EL69" s="14">
        <f t="shared" ref="EL69:EL132" si="99">EXP(-1.0587+0.8836*LN(EK69)+0.284)</f>
        <v>32.658631616019996</v>
      </c>
      <c r="EM69" s="22">
        <f t="shared" si="73"/>
        <v>273.24059406456797</v>
      </c>
      <c r="EN69" s="62">
        <f t="shared" si="74"/>
        <v>537.69365318175505</v>
      </c>
      <c r="EO69" s="62">
        <f ca="1">AVERAGE(OFFSET($EN$3,0,0,'Données projet'!$E$15+1,1))-AVERAGE(OFFSET($H$3,0,0,'Données projet'!$E$15+1,1))</f>
        <v>226.37420733783091</v>
      </c>
      <c r="EP69" s="62">
        <f t="shared" ref="EP69:EP132" si="100">$EP$3</f>
        <v>204.10961748628714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6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9">
        <f t="shared" si="56"/>
        <v>183.33333333333334</v>
      </c>
      <c r="I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6.55</v>
      </c>
      <c r="N70" s="14">
        <f>IF('Données projet'!$A$36&gt;35,N69+M70-V69,IF(A70&lt;'Données projet'!$A$36,$K$205^A70,IF(A70='Données projet'!$A$36,'Données projet'!$B$36,N69+M70-V69)))</f>
        <v>178.85000000000014</v>
      </c>
      <c r="O70" s="14">
        <f>N70*VLOOKUP('Données projet'!$B$9,Paramètres!$A$1:$I$89,3,0)*VLOOKUP('Données projet'!$B$9,Paramètres!$A$1:$I$89,5,0)</f>
        <v>104.62725000000007</v>
      </c>
      <c r="P70" s="14">
        <f t="shared" si="87"/>
        <v>28.061457186005786</v>
      </c>
      <c r="Q70" s="22">
        <f t="shared" si="54"/>
        <v>231.09949834896022</v>
      </c>
      <c r="R70" s="62">
        <f t="shared" si="55"/>
        <v>496.05356565717716</v>
      </c>
      <c r="S70" s="62">
        <f ca="1">AVERAGE(OFFSET($R$3,0,0,'Données projet'!$E$9+1,1))-AVERAGE(OFFSET($H$3,0,0,'Données projet'!$E$9+1,1))</f>
        <v>196.48726929442091</v>
      </c>
      <c r="T70" s="62">
        <f t="shared" si="88"/>
        <v>193.28400454669347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4.287930397739353E-5</v>
      </c>
      <c r="AC70" s="24">
        <f t="shared" si="57"/>
        <v>4.287930397739353E-5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5</v>
      </c>
      <c r="AI70" s="14">
        <f>IF('Données projet'!$A$62&gt;35,AI69+AH70-AQ69,IF(A70&lt;'Données projet'!$A$62,$AF$205^A70,IF(A70='Données projet'!$A$62,'Données projet'!$B$62,AI69+AH70-AQ69)))</f>
        <v>157</v>
      </c>
      <c r="AJ70" s="14">
        <f>AI70*VLOOKUP('Données projet'!$B$10,Paramètres!$A$1:$I$89,3,0)*VLOOKUP('Données projet'!$B$10,Paramètres!$A$1:$I$89,5,0)</f>
        <v>159.19800000000001</v>
      </c>
      <c r="AK70" s="14">
        <f t="shared" si="89"/>
        <v>40.661569197787308</v>
      </c>
      <c r="AL70" s="22">
        <f t="shared" si="58"/>
        <v>348.08874968614623</v>
      </c>
      <c r="AM70" s="62">
        <f t="shared" si="59"/>
        <v>613.04281699436319</v>
      </c>
      <c r="AN70" s="62">
        <f ca="1">AVERAGE(OFFSET($AM$3,0,0,'Données projet'!$E$10+1,1))-AVERAGE(OFFSET($H$3,0,0,'Données projet'!$E$10+1,1))</f>
        <v>414.29294334114661</v>
      </c>
      <c r="AO70" s="62">
        <f t="shared" si="90"/>
        <v>178.72086185623849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5</v>
      </c>
      <c r="BD70" s="13">
        <f>IF('Données projet'!$A$88&gt;35,BD69+BC70-BL69,IF(A70&lt;'Données projet'!$A$88,$BA$205^A70,IF(A70='Données projet'!$A$88,'Données projet'!$B$88,BD69+BC70-BL69)))</f>
        <v>157</v>
      </c>
      <c r="BE70" s="14">
        <f>BD70*VLOOKUP('Données projet'!$B$11,Paramètres!$A$1:$I$89,3,0)*VLOOKUP('Données projet'!$B$11,Paramètres!$A$1:$I$89,5,0)</f>
        <v>168.9948</v>
      </c>
      <c r="BF70" s="14">
        <f t="shared" si="91"/>
        <v>42.864814577758281</v>
      </c>
      <c r="BG70" s="22">
        <f t="shared" si="61"/>
        <v>368.98882872292899</v>
      </c>
      <c r="BH70" s="62">
        <f t="shared" si="62"/>
        <v>633.94289603114589</v>
      </c>
      <c r="BI70" s="62">
        <f ca="1">AVERAGE(OFFSET($BH$3,0,0,'Données projet'!$E$11+1,1))-AVERAGE(OFFSET($H$3,0,0,'Données projet'!$E$11+1,1))</f>
        <v>434.74983403680108</v>
      </c>
      <c r="BJ70" s="62">
        <f t="shared" si="92"/>
        <v>186.0840067781198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3.4615384615384586</v>
      </c>
      <c r="BY70" s="13">
        <f>IF('Données projet'!$A$114&gt;35,BY69+BX70-CG69,IF(A70&lt;'Données projet'!$A$114,$BV$205^A70,IF(A70='Données projet'!$A$114,'Données projet'!$B$114,BY69+BX70-CG69)))</f>
        <v>150.51282051282058</v>
      </c>
      <c r="BZ70" s="14">
        <f>BY70*VLOOKUP('Données projet'!$B$12,Paramètres!$A$1:$I$89,3,0)*VLOOKUP('Données projet'!$B$12,Paramètres!$A$1:$I$89,5,0)</f>
        <v>129.14000000000007</v>
      </c>
      <c r="CA70" s="14">
        <f t="shared" si="93"/>
        <v>33.797561883009244</v>
      </c>
      <c r="CB70" s="22">
        <f t="shared" si="64"/>
        <v>283.78292027957451</v>
      </c>
      <c r="CC70" s="62">
        <f t="shared" si="65"/>
        <v>548.73698758779142</v>
      </c>
      <c r="CD70" s="62">
        <f ca="1">AVERAGE(OFFSET($CC$3,0,0,'Données projet'!$E$12+1,1))-AVERAGE(OFFSET($H$3,0,0,'Données projet'!$E$12+1,1))</f>
        <v>288.24759203983547</v>
      </c>
      <c r="CE70" s="62">
        <f t="shared" si="94"/>
        <v>188.86613033148794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3.4615384615384586</v>
      </c>
      <c r="CT70" s="13">
        <f>IF('Données projet'!$A$140&gt;35,CT69+CS70-DB69,IF(A70&lt;'Données projet'!$A$140,$CQ$205^A70,IF(A70='Données projet'!$A$140,'Données projet'!$B$140,CT69+CS70-DB69)))</f>
        <v>150.51282051282058</v>
      </c>
      <c r="CU70" s="18">
        <f>CT70*VLOOKUP('Données projet'!$B$13,Paramètres!$A$1:$I$89,3,0)*VLOOKUP('Données projet'!$B$13,Paramètres!$A$1:$I$89,5,0)</f>
        <v>100.96400000000006</v>
      </c>
      <c r="CV70" s="14">
        <f t="shared" si="95"/>
        <v>27.191528864885804</v>
      </c>
      <c r="CW70" s="22">
        <f t="shared" si="67"/>
        <v>223.20421277300954</v>
      </c>
      <c r="CX70" s="62">
        <f t="shared" si="68"/>
        <v>488.15828008122645</v>
      </c>
      <c r="CY70" s="62">
        <f ca="1">AVERAGE(OFFSET($CX$3,0,0,'Données projet'!$E$13+1,1))-AVERAGE(OFFSET($H$3,0,0,'Données projet'!$E$13+1,1))</f>
        <v>240.40157928925146</v>
      </c>
      <c r="CZ70" s="62">
        <f t="shared" si="96"/>
        <v>160.5013084380258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5</v>
      </c>
      <c r="DO70" s="13">
        <f>IF('Données projet'!$A$166&gt;35,DO69+DN70-DW69,IF(A70&lt;'Données projet'!$A$166,$DL$205^A70,IF(A70='Données projet'!$A$166,'Données projet'!$B$166,DO69+DN70-DW69)))</f>
        <v>157</v>
      </c>
      <c r="DP70" s="18">
        <f>DO70*VLOOKUP('Données projet'!$B$14,Paramètres!$A$1:$I$89,3,0)*VLOOKUP('Données projet'!$B$14,Paramètres!$A$1:$I$89,5,0)</f>
        <v>151.85040000000001</v>
      </c>
      <c r="DQ70" s="14">
        <f t="shared" si="97"/>
        <v>38.998795130362446</v>
      </c>
      <c r="DR70" s="22">
        <f t="shared" si="70"/>
        <v>332.39568151871464</v>
      </c>
      <c r="DS70" s="62">
        <f t="shared" si="71"/>
        <v>597.34974882693155</v>
      </c>
      <c r="DT70" s="62">
        <f ca="1">AVERAGE(OFFSET($DS$3,0,0,'Données projet'!$E$14+1,1))-AVERAGE(OFFSET($H$3,0,0,'Données projet'!$E$14+1,1))</f>
        <v>398.93296311353788</v>
      </c>
      <c r="DU70" s="62">
        <f t="shared" si="98"/>
        <v>173.19148969173838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2.2000000000000002</v>
      </c>
      <c r="EJ70" s="13">
        <f>IF('Données projet'!$A$192&gt;35,EJ69+EI70-ER69,IF(A70&lt;'Données projet'!$A$192,$EG$205^A70,IF(A70='Données projet'!$A$192,'Données projet'!$B$192,EJ69+EI70-ER69)))</f>
        <v>144.39999999999986</v>
      </c>
      <c r="EK70" s="18">
        <f>EJ70*VLOOKUP('Données projet'!$B$15,Paramètres!$A$1:$I$89,3,0)*VLOOKUP('Données projet'!$B$15,Paramètres!$A$1:$I$89,5,0)</f>
        <v>126.1478399999999</v>
      </c>
      <c r="EL70" s="14">
        <f t="shared" si="99"/>
        <v>33.104685973525342</v>
      </c>
      <c r="EM70" s="22">
        <f t="shared" si="73"/>
        <v>277.36481607055646</v>
      </c>
      <c r="EN70" s="62">
        <f t="shared" si="74"/>
        <v>542.31888337877331</v>
      </c>
      <c r="EO70" s="62">
        <f ca="1">AVERAGE(OFFSET($EN$3,0,0,'Données projet'!$E$15+1,1))-AVERAGE(OFFSET($H$3,0,0,'Données projet'!$E$15+1,1))</f>
        <v>226.37420733783091</v>
      </c>
      <c r="EP70" s="62">
        <f t="shared" si="100"/>
        <v>204.10961748628714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6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9">
        <f t="shared" si="56"/>
        <v>183.33333333333334</v>
      </c>
      <c r="I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6.55</v>
      </c>
      <c r="N71" s="14">
        <f>IF('Données projet'!$A$36&gt;35,N70+M71-V70,IF(A71&lt;'Données projet'!$A$36,$K$205^A71,IF(A71='Données projet'!$A$36,'Données projet'!$B$36,N70+M71-V70)))</f>
        <v>185.40000000000015</v>
      </c>
      <c r="O71" s="14">
        <f>N71*VLOOKUP('Données projet'!$B$9,Paramètres!$A$1:$I$89,3,0)*VLOOKUP('Données projet'!$B$9,Paramètres!$A$1:$I$89,5,0)</f>
        <v>108.45900000000009</v>
      </c>
      <c r="P71" s="14">
        <f t="shared" si="87"/>
        <v>28.96761537556889</v>
      </c>
      <c r="Q71" s="22">
        <f t="shared" si="54"/>
        <v>239.35135511244934</v>
      </c>
      <c r="R71" s="62">
        <f t="shared" si="55"/>
        <v>504.7977392396682</v>
      </c>
      <c r="S71" s="62">
        <f ca="1">AVERAGE(OFFSET($R$3,0,0,'Données projet'!$E$9+1,1))-AVERAGE(OFFSET($H$3,0,0,'Données projet'!$E$9+1,1))</f>
        <v>196.48726929442091</v>
      </c>
      <c r="T71" s="62">
        <f t="shared" si="88"/>
        <v>193.28400454669347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3.0320246614974265E-5</v>
      </c>
      <c r="AC71" s="24">
        <f t="shared" si="57"/>
        <v>3.0320246614974265E-5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5</v>
      </c>
      <c r="AI71" s="14">
        <f>IF('Données projet'!$A$62&gt;35,AI70+AH71-AQ70,IF(A71&lt;'Données projet'!$A$62,$AF$205^A71,IF(A71='Données projet'!$A$62,'Données projet'!$B$62,AI70+AH71-AQ70)))</f>
        <v>162</v>
      </c>
      <c r="AJ71" s="14">
        <f>AI71*VLOOKUP('Données projet'!$B$10,Paramètres!$A$1:$I$89,3,0)*VLOOKUP('Données projet'!$B$10,Paramètres!$A$1:$I$89,5,0)</f>
        <v>164.268</v>
      </c>
      <c r="AK71" s="14">
        <f t="shared" si="89"/>
        <v>41.803694835525619</v>
      </c>
      <c r="AL71" s="22">
        <f t="shared" si="58"/>
        <v>358.90820183854044</v>
      </c>
      <c r="AM71" s="62">
        <f t="shared" si="59"/>
        <v>624.35458596575927</v>
      </c>
      <c r="AN71" s="62">
        <f ca="1">AVERAGE(OFFSET($AM$3,0,0,'Données projet'!$E$10+1,1))-AVERAGE(OFFSET($H$3,0,0,'Données projet'!$E$10+1,1))</f>
        <v>414.29294334114661</v>
      </c>
      <c r="AO71" s="62">
        <f t="shared" si="90"/>
        <v>178.72086185623849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5</v>
      </c>
      <c r="BD71" s="13">
        <f>IF('Données projet'!$A$88&gt;35,BD70+BC71-BL70,IF(A71&lt;'Données projet'!$A$88,$BA$205^A71,IF(A71='Données projet'!$A$88,'Données projet'!$B$88,BD70+BC71-BL70)))</f>
        <v>162</v>
      </c>
      <c r="BE71" s="14">
        <f>BD71*VLOOKUP('Données projet'!$B$11,Paramètres!$A$1:$I$89,3,0)*VLOOKUP('Données projet'!$B$11,Paramètres!$A$1:$I$89,5,0)</f>
        <v>174.37679999999997</v>
      </c>
      <c r="BF71" s="14">
        <f t="shared" si="91"/>
        <v>44.06882624410639</v>
      </c>
      <c r="BG71" s="22">
        <f t="shared" si="61"/>
        <v>380.45946570848531</v>
      </c>
      <c r="BH71" s="62">
        <f t="shared" si="62"/>
        <v>645.9058498357042</v>
      </c>
      <c r="BI71" s="62">
        <f ca="1">AVERAGE(OFFSET($BH$3,0,0,'Données projet'!$E$11+1,1))-AVERAGE(OFFSET($H$3,0,0,'Données projet'!$E$11+1,1))</f>
        <v>434.74983403680108</v>
      </c>
      <c r="BJ71" s="62">
        <f t="shared" si="92"/>
        <v>186.0840067781198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3.4615384615384586</v>
      </c>
      <c r="BY71" s="13">
        <f>IF('Données projet'!$A$114&gt;35,BY70+BX71-CG70,IF(A71&lt;'Données projet'!$A$114,$BV$205^A71,IF(A71='Données projet'!$A$114,'Données projet'!$B$114,BY70+BX71-CG70)))</f>
        <v>153.97435897435903</v>
      </c>
      <c r="BZ71" s="14">
        <f>BY71*VLOOKUP('Données projet'!$B$12,Paramètres!$A$1:$I$89,3,0)*VLOOKUP('Données projet'!$B$12,Paramètres!$A$1:$I$89,5,0)</f>
        <v>132.11000000000007</v>
      </c>
      <c r="CA71" s="14">
        <f t="shared" si="93"/>
        <v>34.483460576102374</v>
      </c>
      <c r="CB71" s="22">
        <f t="shared" si="64"/>
        <v>290.15027717004506</v>
      </c>
      <c r="CC71" s="62">
        <f t="shared" si="65"/>
        <v>555.59666129726384</v>
      </c>
      <c r="CD71" s="62">
        <f ca="1">AVERAGE(OFFSET($CC$3,0,0,'Données projet'!$E$12+1,1))-AVERAGE(OFFSET($H$3,0,0,'Données projet'!$E$12+1,1))</f>
        <v>288.24759203983547</v>
      </c>
      <c r="CE71" s="62">
        <f t="shared" si="94"/>
        <v>188.86613033148794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3.4615384615384586</v>
      </c>
      <c r="CT71" s="13">
        <f>IF('Données projet'!$A$140&gt;35,CT70+CS71-DB70,IF(A71&lt;'Données projet'!$A$140,$CQ$205^A71,IF(A71='Données projet'!$A$140,'Données projet'!$B$140,CT70+CS71-DB70)))</f>
        <v>153.97435897435903</v>
      </c>
      <c r="CU71" s="18">
        <f>CT71*VLOOKUP('Données projet'!$B$13,Paramètres!$A$1:$I$89,3,0)*VLOOKUP('Données projet'!$B$13,Paramètres!$A$1:$I$89,5,0)</f>
        <v>103.28600000000004</v>
      </c>
      <c r="CV71" s="14">
        <f t="shared" si="95"/>
        <v>27.743362579287734</v>
      </c>
      <c r="CW71" s="22">
        <f t="shared" si="67"/>
        <v>228.20947315892622</v>
      </c>
      <c r="CX71" s="62">
        <f t="shared" si="68"/>
        <v>493.65585728614508</v>
      </c>
      <c r="CY71" s="62">
        <f ca="1">AVERAGE(OFFSET($CX$3,0,0,'Données projet'!$E$13+1,1))-AVERAGE(OFFSET($H$3,0,0,'Données projet'!$E$13+1,1))</f>
        <v>240.40157928925146</v>
      </c>
      <c r="CZ71" s="62">
        <f t="shared" si="96"/>
        <v>160.5013084380258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5</v>
      </c>
      <c r="DO71" s="13">
        <f>IF('Données projet'!$A$166&gt;35,DO70+DN71-DW70,IF(A71&lt;'Données projet'!$A$166,$DL$205^A71,IF(A71='Données projet'!$A$166,'Données projet'!$B$166,DO70+DN71-DW70)))</f>
        <v>162</v>
      </c>
      <c r="DP71" s="18">
        <f>DO71*VLOOKUP('Données projet'!$B$14,Paramètres!$A$1:$I$89,3,0)*VLOOKUP('Données projet'!$B$14,Paramètres!$A$1:$I$89,5,0)</f>
        <v>156.68639999999999</v>
      </c>
      <c r="DQ71" s="14">
        <f t="shared" si="97"/>
        <v>40.094215809840712</v>
      </c>
      <c r="DR71" s="22">
        <f t="shared" si="70"/>
        <v>342.7262392021392</v>
      </c>
      <c r="DS71" s="62">
        <f t="shared" si="71"/>
        <v>608.17262332935798</v>
      </c>
      <c r="DT71" s="62">
        <f ca="1">AVERAGE(OFFSET($DS$3,0,0,'Données projet'!$E$14+1,1))-AVERAGE(OFFSET($H$3,0,0,'Données projet'!$E$14+1,1))</f>
        <v>398.93296311353788</v>
      </c>
      <c r="DU71" s="62">
        <f t="shared" si="98"/>
        <v>173.19148969173838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2.2000000000000002</v>
      </c>
      <c r="EJ71" s="13">
        <f>IF('Données projet'!$A$192&gt;35,EJ70+EI71-ER70,IF(A71&lt;'Données projet'!$A$192,$EG$205^A71,IF(A71='Données projet'!$A$192,'Données projet'!$B$192,EJ70+EI71-ER70)))</f>
        <v>146.59999999999985</v>
      </c>
      <c r="EK71" s="18">
        <f>EJ71*VLOOKUP('Données projet'!$B$15,Paramètres!$A$1:$I$89,3,0)*VLOOKUP('Données projet'!$B$15,Paramètres!$A$1:$I$89,5,0)</f>
        <v>128.06975999999989</v>
      </c>
      <c r="EL71" s="14">
        <f t="shared" si="99"/>
        <v>33.549949963691333</v>
      </c>
      <c r="EM71" s="22">
        <f t="shared" si="73"/>
        <v>281.48766152009551</v>
      </c>
      <c r="EN71" s="62">
        <f t="shared" si="74"/>
        <v>546.93404564731441</v>
      </c>
      <c r="EO71" s="62">
        <f ca="1">AVERAGE(OFFSET($EN$3,0,0,'Données projet'!$E$15+1,1))-AVERAGE(OFFSET($H$3,0,0,'Données projet'!$E$15+1,1))</f>
        <v>226.37420733783091</v>
      </c>
      <c r="EP71" s="62">
        <f t="shared" si="100"/>
        <v>204.10961748628714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6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9">
        <f t="shared" si="56"/>
        <v>183.33333333333334</v>
      </c>
      <c r="I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6.55</v>
      </c>
      <c r="N72" s="14">
        <f>IF('Données projet'!$A$36&gt;35,N71+M72-V71,IF(A72&lt;'Données projet'!$A$36,$K$205^A72,IF(A72='Données projet'!$A$36,'Données projet'!$B$36,N71+M72-V71)))</f>
        <v>191.95000000000016</v>
      </c>
      <c r="O72" s="14">
        <f>N72*VLOOKUP('Données projet'!$B$9,Paramètres!$A$1:$I$89,3,0)*VLOOKUP('Données projet'!$B$9,Paramètres!$A$1:$I$89,5,0)</f>
        <v>112.29075000000009</v>
      </c>
      <c r="P72" s="14">
        <f t="shared" si="87"/>
        <v>29.870054007035009</v>
      </c>
      <c r="Q72" s="22">
        <f t="shared" si="54"/>
        <v>247.59673364558614</v>
      </c>
      <c r="R72" s="62">
        <f t="shared" si="55"/>
        <v>513.5268939956527</v>
      </c>
      <c r="S72" s="62">
        <f ca="1">AVERAGE(OFFSET($R$3,0,0,'Données projet'!$E$9+1,1))-AVERAGE(OFFSET($H$3,0,0,'Données projet'!$E$9+1,1))</f>
        <v>196.48726929442091</v>
      </c>
      <c r="T72" s="62">
        <f t="shared" si="88"/>
        <v>193.28400454669347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2.1439651988696768E-5</v>
      </c>
      <c r="AC72" s="24">
        <f t="shared" si="57"/>
        <v>2.1439651988696768E-5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5</v>
      </c>
      <c r="AI72" s="14">
        <f>IF('Données projet'!$A$62&gt;35,AI71+AH72-AQ71,IF(A72&lt;'Données projet'!$A$62,$AF$205^A72,IF(A72='Données projet'!$A$62,'Données projet'!$B$62,AI71+AH72-AQ71)))</f>
        <v>167</v>
      </c>
      <c r="AJ72" s="14">
        <f>AI72*VLOOKUP('Données projet'!$B$10,Paramètres!$A$1:$I$89,3,0)*VLOOKUP('Données projet'!$B$10,Paramètres!$A$1:$I$89,5,0)</f>
        <v>169.33799999999999</v>
      </c>
      <c r="AK72" s="14">
        <f t="shared" si="89"/>
        <v>42.941723955722921</v>
      </c>
      <c r="AL72" s="22">
        <f t="shared" si="58"/>
        <v>369.72051922288409</v>
      </c>
      <c r="AM72" s="62">
        <f t="shared" si="59"/>
        <v>635.65067957295059</v>
      </c>
      <c r="AN72" s="62">
        <f ca="1">AVERAGE(OFFSET($AM$3,0,0,'Données projet'!$E$10+1,1))-AVERAGE(OFFSET($H$3,0,0,'Données projet'!$E$10+1,1))</f>
        <v>414.29294334114661</v>
      </c>
      <c r="AO72" s="62">
        <f t="shared" si="90"/>
        <v>178.72086185623849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5</v>
      </c>
      <c r="BD72" s="13">
        <f>IF('Données projet'!$A$88&gt;35,BD71+BC72-BL71,IF(A72&lt;'Données projet'!$A$88,$BA$205^A72,IF(A72='Données projet'!$A$88,'Données projet'!$B$88,BD71+BC72-BL71)))</f>
        <v>167</v>
      </c>
      <c r="BE72" s="14">
        <f>BD72*VLOOKUP('Données projet'!$B$11,Paramètres!$A$1:$I$89,3,0)*VLOOKUP('Données projet'!$B$11,Paramètres!$A$1:$I$89,5,0)</f>
        <v>179.75879999999998</v>
      </c>
      <c r="BF72" s="14">
        <f t="shared" si="91"/>
        <v>45.268519423286527</v>
      </c>
      <c r="BG72" s="22">
        <f t="shared" si="61"/>
        <v>391.92258132889066</v>
      </c>
      <c r="BH72" s="62">
        <f t="shared" si="62"/>
        <v>657.85274167895727</v>
      </c>
      <c r="BI72" s="62">
        <f ca="1">AVERAGE(OFFSET($BH$3,0,0,'Données projet'!$E$11+1,1))-AVERAGE(OFFSET($H$3,0,0,'Données projet'!$E$11+1,1))</f>
        <v>434.74983403680108</v>
      </c>
      <c r="BJ72" s="62">
        <f t="shared" si="92"/>
        <v>186.0840067781198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3.4615384615384586</v>
      </c>
      <c r="BY72" s="13">
        <f>IF('Données projet'!$A$114&gt;35,BY71+BX72-CG71,IF(A72&lt;'Données projet'!$A$114,$BV$205^A72,IF(A72='Données projet'!$A$114,'Données projet'!$B$114,BY71+BX72-CG71)))</f>
        <v>157.43589743589749</v>
      </c>
      <c r="BZ72" s="14">
        <f>BY72*VLOOKUP('Données projet'!$B$12,Paramètres!$A$1:$I$89,3,0)*VLOOKUP('Données projet'!$B$12,Paramètres!$A$1:$I$89,5,0)</f>
        <v>135.08000000000004</v>
      </c>
      <c r="CA72" s="14">
        <f t="shared" si="93"/>
        <v>35.167566583022491</v>
      </c>
      <c r="CB72" s="22">
        <f t="shared" si="64"/>
        <v>296.5145117987642</v>
      </c>
      <c r="CC72" s="62">
        <f t="shared" si="65"/>
        <v>562.4446721488307</v>
      </c>
      <c r="CD72" s="62">
        <f ca="1">AVERAGE(OFFSET($CC$3,0,0,'Données projet'!$E$12+1,1))-AVERAGE(OFFSET($H$3,0,0,'Données projet'!$E$12+1,1))</f>
        <v>288.24759203983547</v>
      </c>
      <c r="CE72" s="62">
        <f t="shared" si="94"/>
        <v>188.86613033148794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3.4615384615384586</v>
      </c>
      <c r="CT72" s="13">
        <f>IF('Données projet'!$A$140&gt;35,CT71+CS72-DB71,IF(A72&lt;'Données projet'!$A$140,$CQ$205^A72,IF(A72='Données projet'!$A$140,'Données projet'!$B$140,CT71+CS72-DB71)))</f>
        <v>157.43589743589749</v>
      </c>
      <c r="CU72" s="18">
        <f>CT72*VLOOKUP('Données projet'!$B$13,Paramètres!$A$1:$I$89,3,0)*VLOOKUP('Données projet'!$B$13,Paramètres!$A$1:$I$89,5,0)</f>
        <v>105.60800000000005</v>
      </c>
      <c r="CV72" s="14">
        <f t="shared" si="95"/>
        <v>28.293754003917734</v>
      </c>
      <c r="CW72" s="22">
        <f t="shared" si="67"/>
        <v>233.21222155682344</v>
      </c>
      <c r="CX72" s="62">
        <f t="shared" si="68"/>
        <v>499.14238190689002</v>
      </c>
      <c r="CY72" s="62">
        <f ca="1">AVERAGE(OFFSET($CX$3,0,0,'Données projet'!$E$13+1,1))-AVERAGE(OFFSET($H$3,0,0,'Données projet'!$E$13+1,1))</f>
        <v>240.40157928925146</v>
      </c>
      <c r="CZ72" s="62">
        <f t="shared" si="96"/>
        <v>160.5013084380258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5</v>
      </c>
      <c r="DO72" s="13">
        <f>IF('Données projet'!$A$166&gt;35,DO71+DN72-DW71,IF(A72&lt;'Données projet'!$A$166,$DL$205^A72,IF(A72='Données projet'!$A$166,'Données projet'!$B$166,DO71+DN72-DW71)))</f>
        <v>167</v>
      </c>
      <c r="DP72" s="18">
        <f>DO72*VLOOKUP('Données projet'!$B$14,Paramètres!$A$1:$I$89,3,0)*VLOOKUP('Données projet'!$B$14,Paramètres!$A$1:$I$89,5,0)</f>
        <v>161.5224</v>
      </c>
      <c r="DQ72" s="14">
        <f t="shared" si="97"/>
        <v>41.185707490721896</v>
      </c>
      <c r="DR72" s="22">
        <f t="shared" si="70"/>
        <v>353.04995387967392</v>
      </c>
      <c r="DS72" s="62">
        <f t="shared" si="71"/>
        <v>618.98011422974048</v>
      </c>
      <c r="DT72" s="62">
        <f ca="1">AVERAGE(OFFSET($DS$3,0,0,'Données projet'!$E$14+1,1))-AVERAGE(OFFSET($H$3,0,0,'Données projet'!$E$14+1,1))</f>
        <v>398.93296311353788</v>
      </c>
      <c r="DU72" s="62">
        <f t="shared" si="98"/>
        <v>173.19148969173838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2.2000000000000002</v>
      </c>
      <c r="EJ72" s="13">
        <f>IF('Données projet'!$A$192&gt;35,EJ71+EI72-ER71,IF(A72&lt;'Données projet'!$A$192,$EG$205^A72,IF(A72='Données projet'!$A$192,'Données projet'!$B$192,EJ71+EI72-ER71)))</f>
        <v>148.79999999999984</v>
      </c>
      <c r="EK72" s="18">
        <f>EJ72*VLOOKUP('Données projet'!$B$15,Paramètres!$A$1:$I$89,3,0)*VLOOKUP('Données projet'!$B$15,Paramètres!$A$1:$I$89,5,0)</f>
        <v>129.99167999999989</v>
      </c>
      <c r="EL72" s="14">
        <f t="shared" si="99"/>
        <v>33.994436817469825</v>
      </c>
      <c r="EM72" s="22">
        <f t="shared" si="73"/>
        <v>285.60915345709304</v>
      </c>
      <c r="EN72" s="62">
        <f t="shared" si="74"/>
        <v>551.5393138071596</v>
      </c>
      <c r="EO72" s="62">
        <f ca="1">AVERAGE(OFFSET($EN$3,0,0,'Données projet'!$E$15+1,1))-AVERAGE(OFFSET($H$3,0,0,'Données projet'!$E$15+1,1))</f>
        <v>226.37420733783091</v>
      </c>
      <c r="EP72" s="62">
        <f t="shared" si="100"/>
        <v>204.10961748628714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6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9">
        <f t="shared" si="56"/>
        <v>183.33333333333334</v>
      </c>
      <c r="I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6.55</v>
      </c>
      <c r="N73" s="14">
        <f>IF('Données projet'!$A$36&gt;35,N72+M73-V72,IF(A73&lt;'Données projet'!$A$36,$K$205^A73,IF(A73='Données projet'!$A$36,'Données projet'!$B$36,N72+M73-V72)))</f>
        <v>198.50000000000017</v>
      </c>
      <c r="O73" s="14">
        <f>N73*VLOOKUP('Données projet'!$B$9,Paramètres!$A$1:$I$89,3,0)*VLOOKUP('Données projet'!$B$9,Paramètres!$A$1:$I$89,5,0)</f>
        <v>116.1225000000001</v>
      </c>
      <c r="P73" s="14">
        <f t="shared" si="87"/>
        <v>30.768914553361544</v>
      </c>
      <c r="Q73" s="22">
        <f t="shared" si="54"/>
        <v>255.83588034710485</v>
      </c>
      <c r="R73" s="62">
        <f t="shared" si="55"/>
        <v>522.2414244841143</v>
      </c>
      <c r="S73" s="62">
        <f ca="1">AVERAGE(OFFSET($R$3,0,0,'Données projet'!$E$9+1,1))-AVERAGE(OFFSET($H$3,0,0,'Données projet'!$E$9+1,1))</f>
        <v>196.48726929442091</v>
      </c>
      <c r="T73" s="62">
        <f t="shared" si="88"/>
        <v>193.28400454669347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1.5160123307487134E-5</v>
      </c>
      <c r="AC73" s="24">
        <f t="shared" si="57"/>
        <v>1.5160123307487134E-5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172</v>
      </c>
      <c r="AG73" s="13">
        <f>VLOOKUP(A73,'Données projet'!$A$61:$I$81,9,0)</f>
        <v>5</v>
      </c>
      <c r="AH73" s="13">
        <f t="array" ref="AH73">INDEX(AG:AG,MIN(IF(ISNUMBER(AG73:AG269),ROW(AG73:AG269),"")))</f>
        <v>5</v>
      </c>
      <c r="AI73" s="14">
        <f>IF('Données projet'!$A$62&gt;35,AI72+AH73-AQ72,IF(A73&lt;'Données projet'!$A$62,$AF$205^A73,IF(A73='Données projet'!$A$62,'Données projet'!$B$62,AI72+AH73-AQ72)))</f>
        <v>172</v>
      </c>
      <c r="AJ73" s="14">
        <f>AI73*VLOOKUP('Données projet'!$B$10,Paramètres!$A$1:$I$89,3,0)*VLOOKUP('Données projet'!$B$10,Paramètres!$A$1:$I$89,5,0)</f>
        <v>174.40800000000002</v>
      </c>
      <c r="AK73" s="14">
        <f t="shared" si="89"/>
        <v>44.075793288194824</v>
      </c>
      <c r="AL73" s="22">
        <f t="shared" si="58"/>
        <v>380.52593997693936</v>
      </c>
      <c r="AM73" s="62">
        <f t="shared" si="59"/>
        <v>646.93148411394884</v>
      </c>
      <c r="AN73" s="62">
        <f ca="1">AVERAGE(OFFSET($AM$3,0,0,'Données projet'!$E$10+1,1))-AVERAGE(OFFSET($H$3,0,0,'Données projet'!$E$10+1,1))</f>
        <v>414.29294334114661</v>
      </c>
      <c r="AO73" s="62">
        <f t="shared" si="90"/>
        <v>178.72086185623849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172</v>
      </c>
      <c r="BB73" s="13">
        <f>VLOOKUP(A73,'Données projet'!$A$87:$I$107,9,0)</f>
        <v>5</v>
      </c>
      <c r="BC73" s="13">
        <f t="array" ref="BC73">INDEX(BB:BB,MIN(IF(ISNUMBER(BB73:BB269),ROW(BB73:BB269),"")))</f>
        <v>5</v>
      </c>
      <c r="BD73" s="13">
        <f>IF('Données projet'!$A$88&gt;35,BD72+BC73-BL72,IF(A73&lt;'Données projet'!$A$88,$BA$205^A73,IF(A73='Données projet'!$A$88,'Données projet'!$B$88,BD72+BC73-BL72)))</f>
        <v>172</v>
      </c>
      <c r="BE73" s="14">
        <f>BD73*VLOOKUP('Données projet'!$B$11,Paramètres!$A$1:$I$89,3,0)*VLOOKUP('Données projet'!$B$11,Paramètres!$A$1:$I$89,5,0)</f>
        <v>185.14079999999998</v>
      </c>
      <c r="BF73" s="14">
        <f t="shared" si="91"/>
        <v>46.464038253813506</v>
      </c>
      <c r="BG73" s="22">
        <f t="shared" si="61"/>
        <v>403.3784266253918</v>
      </c>
      <c r="BH73" s="62">
        <f t="shared" si="62"/>
        <v>669.78397076240128</v>
      </c>
      <c r="BI73" s="62">
        <f ca="1">AVERAGE(OFFSET($BH$3,0,0,'Données projet'!$E$11+1,1))-AVERAGE(OFFSET($H$3,0,0,'Données projet'!$E$11+1,1))</f>
        <v>434.74983403680108</v>
      </c>
      <c r="BJ73" s="62">
        <f t="shared" si="92"/>
        <v>186.0840067781198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160.89743589743588</v>
      </c>
      <c r="BW73" s="13">
        <f>VLOOKUP(A73,'Données projet'!$A$113:$I$133,9,0)</f>
        <v>3.4615384615384586</v>
      </c>
      <c r="BX73" s="13">
        <f t="array" ref="BX73">INDEX(BW:BW,MIN(IF(ISNUMBER(BW73:BW269),ROW(BW73:BW269),"")))</f>
        <v>3.4615384615384586</v>
      </c>
      <c r="BY73" s="13">
        <f>IF('Données projet'!$A$114&gt;35,BY72+BX73-CG72,IF(A73&lt;'Données projet'!$A$114,$BV$205^A73,IF(A73='Données projet'!$A$114,'Données projet'!$B$114,BY72+BX73-CG72)))</f>
        <v>160.89743589743594</v>
      </c>
      <c r="BZ73" s="14">
        <f>BY73*VLOOKUP('Données projet'!$B$12,Paramètres!$A$1:$I$89,3,0)*VLOOKUP('Données projet'!$B$12,Paramètres!$A$1:$I$89,5,0)</f>
        <v>138.05000000000007</v>
      </c>
      <c r="CA73" s="14">
        <f t="shared" si="93"/>
        <v>35.849923858393083</v>
      </c>
      <c r="CB73" s="22">
        <f t="shared" si="64"/>
        <v>302.87570072003473</v>
      </c>
      <c r="CC73" s="62">
        <f t="shared" si="65"/>
        <v>569.28124485704416</v>
      </c>
      <c r="CD73" s="62">
        <f ca="1">AVERAGE(OFFSET($CC$3,0,0,'Données projet'!$E$12+1,1))-AVERAGE(OFFSET($H$3,0,0,'Données projet'!$E$12+1,1))</f>
        <v>288.24759203983547</v>
      </c>
      <c r="CE73" s="62">
        <f t="shared" si="94"/>
        <v>188.86613033148794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160.89743589743588</v>
      </c>
      <c r="CR73" s="13">
        <f>VLOOKUP(A73,'Données projet'!$A$139:$I$159,9,0)</f>
        <v>3.4615384615384586</v>
      </c>
      <c r="CS73" s="13">
        <f t="array" ref="CS73">INDEX(CR:CR,MIN(IF(ISNUMBER(CR73:CR269),ROW(CR73:CR269),"")))</f>
        <v>3.4615384615384586</v>
      </c>
      <c r="CT73" s="13">
        <f>IF('Données projet'!$A$140&gt;35,CT72+CS73-DB72,IF(A73&lt;'Données projet'!$A$140,$CQ$205^A73,IF(A73='Données projet'!$A$140,'Données projet'!$B$140,CT72+CS73-DB72)))</f>
        <v>160.89743589743594</v>
      </c>
      <c r="CU73" s="18">
        <f>CT73*VLOOKUP('Données projet'!$B$13,Paramètres!$A$1:$I$89,3,0)*VLOOKUP('Données projet'!$B$13,Paramètres!$A$1:$I$89,5,0)</f>
        <v>107.93000000000004</v>
      </c>
      <c r="CV73" s="14">
        <f t="shared" si="95"/>
        <v>28.842738502078618</v>
      </c>
      <c r="CW73" s="22">
        <f t="shared" si="67"/>
        <v>238.21251955778698</v>
      </c>
      <c r="CX73" s="62">
        <f t="shared" si="68"/>
        <v>504.61806369479643</v>
      </c>
      <c r="CY73" s="62">
        <f ca="1">AVERAGE(OFFSET($CX$3,0,0,'Données projet'!$E$13+1,1))-AVERAGE(OFFSET($H$3,0,0,'Données projet'!$E$13+1,1))</f>
        <v>240.40157928925146</v>
      </c>
      <c r="CZ73" s="62">
        <f t="shared" si="96"/>
        <v>160.5013084380258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172</v>
      </c>
      <c r="DM73" s="13">
        <f>VLOOKUP(A73,'Données projet'!$A$165:$I$185,9,0)</f>
        <v>5</v>
      </c>
      <c r="DN73" s="13">
        <f t="array" ref="DN73">INDEX(DM:DM,MIN(IF(ISNUMBER(DM73:DM269),ROW(DM73:DM269),"")))</f>
        <v>5</v>
      </c>
      <c r="DO73" s="13">
        <f>IF('Données projet'!$A$166&gt;35,DO72+DN73-DW72,IF(A73&lt;'Données projet'!$A$166,$DL$205^A73,IF(A73='Données projet'!$A$166,'Données projet'!$B$166,DO72+DN73-DW72)))</f>
        <v>172</v>
      </c>
      <c r="DP73" s="18">
        <f>DO73*VLOOKUP('Données projet'!$B$14,Paramètres!$A$1:$I$89,3,0)*VLOOKUP('Données projet'!$B$14,Paramètres!$A$1:$I$89,5,0)</f>
        <v>166.35840000000002</v>
      </c>
      <c r="DQ73" s="14">
        <f t="shared" si="97"/>
        <v>42.27340131152765</v>
      </c>
      <c r="DR73" s="22">
        <f t="shared" si="70"/>
        <v>363.3670539509107</v>
      </c>
      <c r="DS73" s="62">
        <f t="shared" si="71"/>
        <v>629.77259808792019</v>
      </c>
      <c r="DT73" s="62">
        <f ca="1">AVERAGE(OFFSET($DS$3,0,0,'Données projet'!$E$14+1,1))-AVERAGE(OFFSET($H$3,0,0,'Données projet'!$E$14+1,1))</f>
        <v>398.93296311353788</v>
      </c>
      <c r="DU73" s="62">
        <f t="shared" si="98"/>
        <v>173.19148969173838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151</v>
      </c>
      <c r="EH73" s="13">
        <f>VLOOKUP(A73,'Données projet'!$A$191:$I$211,9,0)</f>
        <v>2.2000000000000002</v>
      </c>
      <c r="EI73" s="13">
        <f t="array" ref="EI73">INDEX(EH:EH,MIN(IF(ISNUMBER(EH73:EH269),ROW(EH73:EH269),"")))</f>
        <v>2.2000000000000002</v>
      </c>
      <c r="EJ73" s="13">
        <f>IF('Données projet'!$A$192&gt;35,EJ72+EI73-ER72,IF(A73&lt;'Données projet'!$A$192,$EG$205^A73,IF(A73='Données projet'!$A$192,'Données projet'!$B$192,EJ72+EI73-ER72)))</f>
        <v>150.99999999999983</v>
      </c>
      <c r="EK73" s="18">
        <f>EJ73*VLOOKUP('Données projet'!$B$15,Paramètres!$A$1:$I$89,3,0)*VLOOKUP('Données projet'!$B$15,Paramètres!$A$1:$I$89,5,0)</f>
        <v>131.91359999999989</v>
      </c>
      <c r="EL73" s="14">
        <f t="shared" si="99"/>
        <v>34.438159352115974</v>
      </c>
      <c r="EM73" s="22">
        <f t="shared" si="73"/>
        <v>289.72931420493512</v>
      </c>
      <c r="EN73" s="62">
        <f t="shared" si="74"/>
        <v>556.13485834194466</v>
      </c>
      <c r="EO73" s="62">
        <f ca="1">AVERAGE(OFFSET($EN$3,0,0,'Données projet'!$E$15+1,1))-AVERAGE(OFFSET($H$3,0,0,'Données projet'!$E$15+1,1))</f>
        <v>226.37420733783091</v>
      </c>
      <c r="EP73" s="62">
        <f t="shared" si="100"/>
        <v>204.10961748628714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6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9">
        <f t="shared" si="56"/>
        <v>183.33333333333334</v>
      </c>
      <c r="I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6.55</v>
      </c>
      <c r="N74" s="14">
        <f>IF('Données projet'!$A$36&gt;35,N73+M74-V73,IF(A74&lt;'Données projet'!$A$36,$K$205^A74,IF(A74='Données projet'!$A$36,'Données projet'!$B$36,N73+M74-V73)))</f>
        <v>205.05000000000018</v>
      </c>
      <c r="O74" s="14">
        <f>N74*VLOOKUP('Données projet'!$B$9,Paramètres!$A$1:$I$89,3,0)*VLOOKUP('Données projet'!$B$9,Paramètres!$A$1:$I$89,5,0)</f>
        <v>119.9542500000001</v>
      </c>
      <c r="P74" s="14">
        <f t="shared" si="87"/>
        <v>31.664328621126142</v>
      </c>
      <c r="Q74" s="22">
        <f t="shared" si="54"/>
        <v>264.06902443179484</v>
      </c>
      <c r="R74" s="62">
        <f t="shared" si="55"/>
        <v>530.94170550984279</v>
      </c>
      <c r="S74" s="62">
        <f ca="1">AVERAGE(OFFSET($R$3,0,0,'Données projet'!$E$9+1,1))-AVERAGE(OFFSET($H$3,0,0,'Données projet'!$E$9+1,1))</f>
        <v>196.48726929442091</v>
      </c>
      <c r="T74" s="62">
        <f t="shared" si="88"/>
        <v>193.28400454669347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1.0719825994348386E-5</v>
      </c>
      <c r="AC74" s="24">
        <f t="shared" si="57"/>
        <v>1.0719825994348386E-5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5</v>
      </c>
      <c r="AI74" s="14">
        <f>IF('Données projet'!$A$62&gt;35,AI73+AH74-AQ73,IF(A74&lt;'Données projet'!$A$62,$AF$205^A74,IF(A74='Données projet'!$A$62,'Données projet'!$B$62,AI73+AH74-AQ73)))</f>
        <v>177</v>
      </c>
      <c r="AJ74" s="14">
        <f>AI74*VLOOKUP('Données projet'!$B$10,Paramètres!$A$1:$I$89,3,0)*VLOOKUP('Données projet'!$B$10,Paramètres!$A$1:$I$89,5,0)</f>
        <v>179.47800000000001</v>
      </c>
      <c r="AK74" s="14">
        <f t="shared" si="89"/>
        <v>45.206031161327473</v>
      </c>
      <c r="AL74" s="22">
        <f t="shared" si="58"/>
        <v>391.32468760597868</v>
      </c>
      <c r="AM74" s="62">
        <f t="shared" si="59"/>
        <v>658.19736868402663</v>
      </c>
      <c r="AN74" s="62">
        <f ca="1">AVERAGE(OFFSET($AM$3,0,0,'Données projet'!$E$10+1,1))-AVERAGE(OFFSET($H$3,0,0,'Données projet'!$E$10+1,1))</f>
        <v>414.29294334114661</v>
      </c>
      <c r="AO74" s="62">
        <f t="shared" si="90"/>
        <v>178.72086185623849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5</v>
      </c>
      <c r="BD74" s="13">
        <f>IF('Données projet'!$A$88&gt;35,BD73+BC74-BL73,IF(A74&lt;'Données projet'!$A$88,$BA$205^A74,IF(A74='Données projet'!$A$88,'Données projet'!$B$88,BD73+BC74-BL73)))</f>
        <v>177</v>
      </c>
      <c r="BE74" s="14">
        <f>BD74*VLOOKUP('Données projet'!$B$11,Paramètres!$A$1:$I$89,3,0)*VLOOKUP('Données projet'!$B$11,Paramètres!$A$1:$I$89,5,0)</f>
        <v>190.52279999999999</v>
      </c>
      <c r="BF74" s="14">
        <f t="shared" si="91"/>
        <v>47.655518017541539</v>
      </c>
      <c r="BG74" s="22">
        <f t="shared" si="61"/>
        <v>414.82723721388487</v>
      </c>
      <c r="BH74" s="62">
        <f t="shared" si="62"/>
        <v>681.69991829193282</v>
      </c>
      <c r="BI74" s="62">
        <f ca="1">AVERAGE(OFFSET($BH$3,0,0,'Données projet'!$E$11+1,1))-AVERAGE(OFFSET($H$3,0,0,'Données projet'!$E$11+1,1))</f>
        <v>434.74983403680108</v>
      </c>
      <c r="BJ74" s="62">
        <f t="shared" si="92"/>
        <v>186.0840067781198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3.333333333333337</v>
      </c>
      <c r="BY74" s="13">
        <f>IF('Données projet'!$A$114&gt;35,BY73+BX74-CG73,IF(A74&lt;'Données projet'!$A$114,$BV$205^A74,IF(A74='Données projet'!$A$114,'Données projet'!$B$114,BY73+BX74-CG73)))</f>
        <v>164.23076923076928</v>
      </c>
      <c r="BZ74" s="14">
        <f>BY74*VLOOKUP('Données projet'!$B$12,Paramètres!$A$1:$I$89,3,0)*VLOOKUP('Données projet'!$B$12,Paramètres!$A$1:$I$89,5,0)</f>
        <v>140.91000000000005</v>
      </c>
      <c r="CA74" s="14">
        <f t="shared" si="93"/>
        <v>36.505395042946844</v>
      </c>
      <c r="CB74" s="22">
        <f t="shared" si="64"/>
        <v>308.99847969979919</v>
      </c>
      <c r="CC74" s="62">
        <f t="shared" si="65"/>
        <v>575.87116077784708</v>
      </c>
      <c r="CD74" s="62">
        <f ca="1">AVERAGE(OFFSET($CC$3,0,0,'Données projet'!$E$12+1,1))-AVERAGE(OFFSET($H$3,0,0,'Données projet'!$E$12+1,1))</f>
        <v>288.24759203983547</v>
      </c>
      <c r="CE74" s="62">
        <f t="shared" si="94"/>
        <v>188.86613033148794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3.333333333333337</v>
      </c>
      <c r="CT74" s="13">
        <f>IF('Données projet'!$A$140&gt;35,CT73+CS74-DB73,IF(A74&lt;'Données projet'!$A$140,$CQ$205^A74,IF(A74='Données projet'!$A$140,'Données projet'!$B$140,CT73+CS74-DB73)))</f>
        <v>164.23076923076928</v>
      </c>
      <c r="CU74" s="18">
        <f>CT74*VLOOKUP('Données projet'!$B$13,Paramètres!$A$1:$I$89,3,0)*VLOOKUP('Données projet'!$B$13,Paramètres!$A$1:$I$89,5,0)</f>
        <v>110.16600000000004</v>
      </c>
      <c r="CV74" s="14">
        <f t="shared" si="95"/>
        <v>29.370092034164426</v>
      </c>
      <c r="CW74" s="22">
        <f t="shared" si="67"/>
        <v>243.02536029283638</v>
      </c>
      <c r="CX74" s="62">
        <f t="shared" si="68"/>
        <v>509.89804137088436</v>
      </c>
      <c r="CY74" s="62">
        <f ca="1">AVERAGE(OFFSET($CX$3,0,0,'Données projet'!$E$13+1,1))-AVERAGE(OFFSET($H$3,0,0,'Données projet'!$E$13+1,1))</f>
        <v>240.40157928925146</v>
      </c>
      <c r="CZ74" s="62">
        <f t="shared" si="96"/>
        <v>160.5013084380258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5</v>
      </c>
      <c r="DO74" s="13">
        <f>IF('Données projet'!$A$166&gt;35,DO73+DN74-DW73,IF(A74&lt;'Données projet'!$A$166,$DL$205^A74,IF(A74='Données projet'!$A$166,'Données projet'!$B$166,DO73+DN74-DW73)))</f>
        <v>177</v>
      </c>
      <c r="DP74" s="18">
        <f>DO74*VLOOKUP('Données projet'!$B$14,Paramètres!$A$1:$I$89,3,0)*VLOOKUP('Données projet'!$B$14,Paramètres!$A$1:$I$89,5,0)</f>
        <v>171.1944</v>
      </c>
      <c r="DQ74" s="14">
        <f t="shared" si="97"/>
        <v>43.35742035290977</v>
      </c>
      <c r="DR74" s="22">
        <f t="shared" si="70"/>
        <v>373.67775378131779</v>
      </c>
      <c r="DS74" s="62">
        <f t="shared" si="71"/>
        <v>640.55043485936574</v>
      </c>
      <c r="DT74" s="62">
        <f ca="1">AVERAGE(OFFSET($DS$3,0,0,'Données projet'!$E$14+1,1))-AVERAGE(OFFSET($H$3,0,0,'Données projet'!$E$14+1,1))</f>
        <v>398.93296311353788</v>
      </c>
      <c r="DU74" s="62">
        <f t="shared" si="98"/>
        <v>173.19148969173838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1.8</v>
      </c>
      <c r="EJ74" s="13">
        <f>IF('Données projet'!$A$192&gt;35,EJ73+EI74-ER73,IF(A74&lt;'Données projet'!$A$192,$EG$205^A74,IF(A74='Données projet'!$A$192,'Données projet'!$B$192,EJ73+EI74-ER73)))</f>
        <v>152.79999999999984</v>
      </c>
      <c r="EK74" s="18">
        <f>EJ74*VLOOKUP('Données projet'!$B$15,Paramètres!$A$1:$I$89,3,0)*VLOOKUP('Données projet'!$B$15,Paramètres!$A$1:$I$89,5,0)</f>
        <v>133.48607999999987</v>
      </c>
      <c r="EL74" s="14">
        <f t="shared" si="99"/>
        <v>34.800645252320457</v>
      </c>
      <c r="EM74" s="22">
        <f t="shared" si="73"/>
        <v>293.0993798144579</v>
      </c>
      <c r="EN74" s="62">
        <f t="shared" si="74"/>
        <v>559.97206089250585</v>
      </c>
      <c r="EO74" s="62">
        <f ca="1">AVERAGE(OFFSET($EN$3,0,0,'Données projet'!$E$15+1,1))-AVERAGE(OFFSET($H$3,0,0,'Données projet'!$E$15+1,1))</f>
        <v>226.37420733783091</v>
      </c>
      <c r="EP74" s="62">
        <f t="shared" si="100"/>
        <v>204.10961748628714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6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9">
        <f t="shared" si="56"/>
        <v>183.33333333333334</v>
      </c>
      <c r="I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6.55</v>
      </c>
      <c r="N75" s="14">
        <f>IF('Données projet'!$A$36&gt;35,N74+M75-V74,IF(A75&lt;'Données projet'!$A$36,$K$205^A75,IF(A75='Données projet'!$A$36,'Données projet'!$B$36,N74+M75-V74)))</f>
        <v>211.60000000000019</v>
      </c>
      <c r="O75" s="14">
        <f>N75*VLOOKUP('Données projet'!$B$9,Paramètres!$A$1:$I$89,3,0)*VLOOKUP('Données projet'!$B$9,Paramètres!$A$1:$I$89,5,0)</f>
        <v>123.78600000000012</v>
      </c>
      <c r="P75" s="14">
        <f t="shared" si="87"/>
        <v>32.556418931566469</v>
      </c>
      <c r="Q75" s="22">
        <f t="shared" si="54"/>
        <v>272.29637963914507</v>
      </c>
      <c r="R75" s="62">
        <f t="shared" si="55"/>
        <v>539.62809387666618</v>
      </c>
      <c r="S75" s="62">
        <f ca="1">AVERAGE(OFFSET($R$3,0,0,'Données projet'!$E$9+1,1))-AVERAGE(OFFSET($H$3,0,0,'Données projet'!$E$9+1,1))</f>
        <v>196.48726929442091</v>
      </c>
      <c r="T75" s="62">
        <f t="shared" si="88"/>
        <v>193.28400454669347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7.5800616537435689E-6</v>
      </c>
      <c r="AC75" s="24">
        <f t="shared" si="57"/>
        <v>7.5800616537435689E-6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5</v>
      </c>
      <c r="AI75" s="14">
        <f>IF('Données projet'!$A$62&gt;35,AI74+AH75-AQ74,IF(A75&lt;'Données projet'!$A$62,$AF$205^A75,IF(A75='Données projet'!$A$62,'Données projet'!$B$62,AI74+AH75-AQ74)))</f>
        <v>182</v>
      </c>
      <c r="AJ75" s="14">
        <f>AI75*VLOOKUP('Données projet'!$B$10,Paramètres!$A$1:$I$89,3,0)*VLOOKUP('Données projet'!$B$10,Paramètres!$A$1:$I$89,5,0)</f>
        <v>184.548</v>
      </c>
      <c r="AK75" s="14">
        <f t="shared" si="89"/>
        <v>46.332558240871698</v>
      </c>
      <c r="AL75" s="22">
        <f t="shared" si="58"/>
        <v>402.11697226951816</v>
      </c>
      <c r="AM75" s="62">
        <f t="shared" si="59"/>
        <v>669.44868650703927</v>
      </c>
      <c r="AN75" s="62">
        <f ca="1">AVERAGE(OFFSET($AM$3,0,0,'Données projet'!$E$10+1,1))-AVERAGE(OFFSET($H$3,0,0,'Données projet'!$E$10+1,1))</f>
        <v>414.29294334114661</v>
      </c>
      <c r="AO75" s="62">
        <f t="shared" si="90"/>
        <v>178.72086185623849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5</v>
      </c>
      <c r="BD75" s="13">
        <f>IF('Données projet'!$A$88&gt;35,BD74+BC75-BL74,IF(A75&lt;'Données projet'!$A$88,$BA$205^A75,IF(A75='Données projet'!$A$88,'Données projet'!$B$88,BD74+BC75-BL74)))</f>
        <v>182</v>
      </c>
      <c r="BE75" s="14">
        <f>BD75*VLOOKUP('Données projet'!$B$11,Paramètres!$A$1:$I$89,3,0)*VLOOKUP('Données projet'!$B$11,Paramètres!$A$1:$I$89,5,0)</f>
        <v>195.90479999999999</v>
      </c>
      <c r="BF75" s="14">
        <f t="shared" si="91"/>
        <v>48.843085918490004</v>
      </c>
      <c r="BG75" s="22">
        <f t="shared" si="61"/>
        <v>426.26923464137008</v>
      </c>
      <c r="BH75" s="62">
        <f t="shared" si="62"/>
        <v>693.60094887889113</v>
      </c>
      <c r="BI75" s="62">
        <f ca="1">AVERAGE(OFFSET($BH$3,0,0,'Données projet'!$E$11+1,1))-AVERAGE(OFFSET($H$3,0,0,'Données projet'!$E$11+1,1))</f>
        <v>434.74983403680108</v>
      </c>
      <c r="BJ75" s="62">
        <f t="shared" si="92"/>
        <v>186.0840067781198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3.333333333333337</v>
      </c>
      <c r="BY75" s="13">
        <f>IF('Données projet'!$A$114&gt;35,BY74+BX75-CG74,IF(A75&lt;'Données projet'!$A$114,$BV$205^A75,IF(A75='Données projet'!$A$114,'Données projet'!$B$114,BY74+BX75-CG74)))</f>
        <v>167.56410256410263</v>
      </c>
      <c r="BZ75" s="14">
        <f>BY75*VLOOKUP('Données projet'!$B$12,Paramètres!$A$1:$I$89,3,0)*VLOOKUP('Données projet'!$B$12,Paramètres!$A$1:$I$89,5,0)</f>
        <v>143.77000000000007</v>
      </c>
      <c r="CA75" s="14">
        <f t="shared" si="93"/>
        <v>37.159319373204866</v>
      </c>
      <c r="CB75" s="22">
        <f t="shared" si="64"/>
        <v>315.11856457499857</v>
      </c>
      <c r="CC75" s="62">
        <f t="shared" si="65"/>
        <v>582.45027881251963</v>
      </c>
      <c r="CD75" s="62">
        <f ca="1">AVERAGE(OFFSET($CC$3,0,0,'Données projet'!$E$12+1,1))-AVERAGE(OFFSET($H$3,0,0,'Données projet'!$E$12+1,1))</f>
        <v>288.24759203983547</v>
      </c>
      <c r="CE75" s="62">
        <f t="shared" si="94"/>
        <v>188.86613033148794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3.333333333333337</v>
      </c>
      <c r="CT75" s="13">
        <f>IF('Données projet'!$A$140&gt;35,CT74+CS75-DB74,IF(A75&lt;'Données projet'!$A$140,$CQ$205^A75,IF(A75='Données projet'!$A$140,'Données projet'!$B$140,CT74+CS75-DB74)))</f>
        <v>167.56410256410263</v>
      </c>
      <c r="CU75" s="18">
        <f>CT75*VLOOKUP('Données projet'!$B$13,Paramètres!$A$1:$I$89,3,0)*VLOOKUP('Données projet'!$B$13,Paramètres!$A$1:$I$89,5,0)</f>
        <v>112.40200000000006</v>
      </c>
      <c r="CV75" s="14">
        <f t="shared" si="95"/>
        <v>29.89620105833643</v>
      </c>
      <c r="CW75" s="22">
        <f t="shared" si="67"/>
        <v>247.83603350993602</v>
      </c>
      <c r="CX75" s="62">
        <f t="shared" si="68"/>
        <v>515.16774774745716</v>
      </c>
      <c r="CY75" s="62">
        <f ca="1">AVERAGE(OFFSET($CX$3,0,0,'Données projet'!$E$13+1,1))-AVERAGE(OFFSET($H$3,0,0,'Données projet'!$E$13+1,1))</f>
        <v>240.40157928925146</v>
      </c>
      <c r="CZ75" s="62">
        <f t="shared" si="96"/>
        <v>160.5013084380258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5</v>
      </c>
      <c r="DO75" s="13">
        <f>IF('Données projet'!$A$166&gt;35,DO74+DN75-DW74,IF(A75&lt;'Données projet'!$A$166,$DL$205^A75,IF(A75='Données projet'!$A$166,'Données projet'!$B$166,DO74+DN75-DW74)))</f>
        <v>182</v>
      </c>
      <c r="DP75" s="18">
        <f>DO75*VLOOKUP('Données projet'!$B$14,Paramètres!$A$1:$I$89,3,0)*VLOOKUP('Données projet'!$B$14,Paramètres!$A$1:$I$89,5,0)</f>
        <v>176.03040000000001</v>
      </c>
      <c r="DQ75" s="14">
        <f t="shared" si="97"/>
        <v>44.437880346232944</v>
      </c>
      <c r="DR75" s="22">
        <f t="shared" si="70"/>
        <v>383.98225493635573</v>
      </c>
      <c r="DS75" s="62">
        <f t="shared" si="71"/>
        <v>651.31396917387679</v>
      </c>
      <c r="DT75" s="62">
        <f ca="1">AVERAGE(OFFSET($DS$3,0,0,'Données projet'!$E$14+1,1))-AVERAGE(OFFSET($H$3,0,0,'Données projet'!$E$14+1,1))</f>
        <v>398.93296311353788</v>
      </c>
      <c r="DU75" s="62">
        <f t="shared" si="98"/>
        <v>173.19148969173838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1.8</v>
      </c>
      <c r="EJ75" s="13">
        <f>IF('Données projet'!$A$192&gt;35,EJ74+EI75-ER74,IF(A75&lt;'Données projet'!$A$192,$EG$205^A75,IF(A75='Données projet'!$A$192,'Données projet'!$B$192,EJ74+EI75-ER74)))</f>
        <v>154.59999999999985</v>
      </c>
      <c r="EK75" s="18">
        <f>EJ75*VLOOKUP('Données projet'!$B$15,Paramètres!$A$1:$I$89,3,0)*VLOOKUP('Données projet'!$B$15,Paramètres!$A$1:$I$89,5,0)</f>
        <v>135.05855999999989</v>
      </c>
      <c r="EL75" s="14">
        <f t="shared" si="99"/>
        <v>35.162634438808851</v>
      </c>
      <c r="EM75" s="22">
        <f t="shared" si="73"/>
        <v>296.46858031425853</v>
      </c>
      <c r="EN75" s="62">
        <f t="shared" si="74"/>
        <v>563.80029455177964</v>
      </c>
      <c r="EO75" s="62">
        <f ca="1">AVERAGE(OFFSET($EN$3,0,0,'Données projet'!$E$15+1,1))-AVERAGE(OFFSET($H$3,0,0,'Données projet'!$E$15+1,1))</f>
        <v>226.37420733783091</v>
      </c>
      <c r="EP75" s="62">
        <f t="shared" si="100"/>
        <v>204.10961748628714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6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9">
        <f t="shared" si="56"/>
        <v>183.33333333333334</v>
      </c>
      <c r="I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6.55</v>
      </c>
      <c r="N76" s="14">
        <f>IF('Données projet'!$A$36&gt;35,N75+M76-V75,IF(A76&lt;'Données projet'!$A$36,$K$205^A76,IF(A76='Données projet'!$A$36,'Données projet'!$B$36,N75+M76-V75)))</f>
        <v>218.1500000000002</v>
      </c>
      <c r="O76" s="14">
        <f>N76*VLOOKUP('Données projet'!$B$9,Paramètres!$A$1:$I$89,3,0)*VLOOKUP('Données projet'!$B$9,Paramètres!$A$1:$I$89,5,0)</f>
        <v>127.61775000000011</v>
      </c>
      <c r="P76" s="14">
        <f t="shared" si="87"/>
        <v>33.445300176737064</v>
      </c>
      <c r="Q76" s="22">
        <f t="shared" si="54"/>
        <v>280.51814572448393</v>
      </c>
      <c r="R76" s="62">
        <f t="shared" si="55"/>
        <v>548.30092992240566</v>
      </c>
      <c r="S76" s="62">
        <f ca="1">AVERAGE(OFFSET($R$3,0,0,'Données projet'!$E$9+1,1))-AVERAGE(OFFSET($H$3,0,0,'Données projet'!$E$9+1,1))</f>
        <v>196.48726929442091</v>
      </c>
      <c r="T76" s="62">
        <f t="shared" si="88"/>
        <v>193.28400454669347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5.3599129971741938E-6</v>
      </c>
      <c r="AC76" s="24">
        <f t="shared" si="57"/>
        <v>5.3599129971741938E-6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5</v>
      </c>
      <c r="AI76" s="14">
        <f>IF('Données projet'!$A$62&gt;35,AI75+AH76-AQ75,IF(A76&lt;'Données projet'!$A$62,$AF$205^A76,IF(A76='Données projet'!$A$62,'Données projet'!$B$62,AI75+AH76-AQ75)))</f>
        <v>187</v>
      </c>
      <c r="AJ76" s="14">
        <f>AI76*VLOOKUP('Données projet'!$B$10,Paramètres!$A$1:$I$89,3,0)*VLOOKUP('Données projet'!$B$10,Paramètres!$A$1:$I$89,5,0)</f>
        <v>189.61799999999999</v>
      </c>
      <c r="AK76" s="14">
        <f t="shared" si="89"/>
        <v>47.4554881852685</v>
      </c>
      <c r="AL76" s="22">
        <f t="shared" si="58"/>
        <v>412.90299192267594</v>
      </c>
      <c r="AM76" s="62">
        <f t="shared" si="59"/>
        <v>680.68577612059767</v>
      </c>
      <c r="AN76" s="62">
        <f ca="1">AVERAGE(OFFSET($AM$3,0,0,'Données projet'!$E$10+1,1))-AVERAGE(OFFSET($H$3,0,0,'Données projet'!$E$10+1,1))</f>
        <v>414.29294334114661</v>
      </c>
      <c r="AO76" s="62">
        <f t="shared" si="90"/>
        <v>178.72086185623849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5</v>
      </c>
      <c r="BD76" s="13">
        <f>IF('Données projet'!$A$88&gt;35,BD75+BC76-BL75,IF(A76&lt;'Données projet'!$A$88,$BA$205^A76,IF(A76='Données projet'!$A$88,'Données projet'!$B$88,BD75+BC76-BL75)))</f>
        <v>187</v>
      </c>
      <c r="BE76" s="14">
        <f>BD76*VLOOKUP('Données projet'!$B$11,Paramètres!$A$1:$I$89,3,0)*VLOOKUP('Données projet'!$B$11,Paramètres!$A$1:$I$89,5,0)</f>
        <v>201.2868</v>
      </c>
      <c r="BF76" s="14">
        <f t="shared" si="91"/>
        <v>50.026861773677616</v>
      </c>
      <c r="BG76" s="22">
        <f t="shared" si="61"/>
        <v>437.70462758915511</v>
      </c>
      <c r="BH76" s="62">
        <f t="shared" si="62"/>
        <v>705.48741178707689</v>
      </c>
      <c r="BI76" s="62">
        <f ca="1">AVERAGE(OFFSET($BH$3,0,0,'Données projet'!$E$11+1,1))-AVERAGE(OFFSET($H$3,0,0,'Données projet'!$E$11+1,1))</f>
        <v>434.74983403680108</v>
      </c>
      <c r="BJ76" s="62">
        <f t="shared" si="92"/>
        <v>186.0840067781198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3.333333333333337</v>
      </c>
      <c r="BY76" s="13">
        <f>IF('Données projet'!$A$114&gt;35,BY75+BX76-CG75,IF(A76&lt;'Données projet'!$A$114,$BV$205^A76,IF(A76='Données projet'!$A$114,'Données projet'!$B$114,BY75+BX76-CG75)))</f>
        <v>170.89743589743597</v>
      </c>
      <c r="BZ76" s="14">
        <f>BY76*VLOOKUP('Données projet'!$B$12,Paramètres!$A$1:$I$89,3,0)*VLOOKUP('Données projet'!$B$12,Paramètres!$A$1:$I$89,5,0)</f>
        <v>146.63000000000008</v>
      </c>
      <c r="CA76" s="14">
        <f t="shared" si="93"/>
        <v>37.811731167176845</v>
      </c>
      <c r="CB76" s="22">
        <f t="shared" si="64"/>
        <v>321.23601511616647</v>
      </c>
      <c r="CC76" s="62">
        <f t="shared" si="65"/>
        <v>589.01879931408826</v>
      </c>
      <c r="CD76" s="62">
        <f ca="1">AVERAGE(OFFSET($CC$3,0,0,'Données projet'!$E$12+1,1))-AVERAGE(OFFSET($H$3,0,0,'Données projet'!$E$12+1,1))</f>
        <v>288.24759203983547</v>
      </c>
      <c r="CE76" s="62">
        <f t="shared" si="94"/>
        <v>188.86613033148794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3.333333333333337</v>
      </c>
      <c r="CT76" s="13">
        <f>IF('Données projet'!$A$140&gt;35,CT75+CS76-DB75,IF(A76&lt;'Données projet'!$A$140,$CQ$205^A76,IF(A76='Données projet'!$A$140,'Données projet'!$B$140,CT75+CS76-DB75)))</f>
        <v>170.89743589743597</v>
      </c>
      <c r="CU76" s="18">
        <f>CT76*VLOOKUP('Données projet'!$B$13,Paramètres!$A$1:$I$89,3,0)*VLOOKUP('Données projet'!$B$13,Paramètres!$A$1:$I$89,5,0)</f>
        <v>114.63800000000006</v>
      </c>
      <c r="CV76" s="14">
        <f t="shared" si="95"/>
        <v>30.421093184845077</v>
      </c>
      <c r="CW76" s="22">
        <f t="shared" si="67"/>
        <v>252.64458729693862</v>
      </c>
      <c r="CX76" s="62">
        <f t="shared" si="68"/>
        <v>520.42737149486038</v>
      </c>
      <c r="CY76" s="62">
        <f ca="1">AVERAGE(OFFSET($CX$3,0,0,'Données projet'!$E$13+1,1))-AVERAGE(OFFSET($H$3,0,0,'Données projet'!$E$13+1,1))</f>
        <v>240.40157928925146</v>
      </c>
      <c r="CZ76" s="62">
        <f t="shared" si="96"/>
        <v>160.5013084380258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5</v>
      </c>
      <c r="DO76" s="13">
        <f>IF('Données projet'!$A$166&gt;35,DO75+DN76-DW75,IF(A76&lt;'Données projet'!$A$166,$DL$205^A76,IF(A76='Données projet'!$A$166,'Données projet'!$B$166,DO75+DN76-DW75)))</f>
        <v>187</v>
      </c>
      <c r="DP76" s="18">
        <f>DO76*VLOOKUP('Données projet'!$B$14,Paramètres!$A$1:$I$89,3,0)*VLOOKUP('Données projet'!$B$14,Paramètres!$A$1:$I$89,5,0)</f>
        <v>180.8664</v>
      </c>
      <c r="DQ76" s="14">
        <f t="shared" si="97"/>
        <v>45.514890302102152</v>
      </c>
      <c r="DR76" s="22">
        <f t="shared" si="70"/>
        <v>394.28074727616121</v>
      </c>
      <c r="DS76" s="62">
        <f t="shared" si="71"/>
        <v>662.06353147408299</v>
      </c>
      <c r="DT76" s="62">
        <f ca="1">AVERAGE(OFFSET($DS$3,0,0,'Données projet'!$E$14+1,1))-AVERAGE(OFFSET($H$3,0,0,'Données projet'!$E$14+1,1))</f>
        <v>398.93296311353788</v>
      </c>
      <c r="DU76" s="62">
        <f t="shared" si="98"/>
        <v>173.19148969173838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1.8</v>
      </c>
      <c r="EJ76" s="13">
        <f>IF('Données projet'!$A$192&gt;35,EJ75+EI76-ER75,IF(A76&lt;'Données projet'!$A$192,$EG$205^A76,IF(A76='Données projet'!$A$192,'Données projet'!$B$192,EJ75+EI76-ER75)))</f>
        <v>156.39999999999986</v>
      </c>
      <c r="EK76" s="18">
        <f>EJ76*VLOOKUP('Données projet'!$B$15,Paramètres!$A$1:$I$89,3,0)*VLOOKUP('Données projet'!$B$15,Paramètres!$A$1:$I$89,5,0)</f>
        <v>136.6310399999999</v>
      </c>
      <c r="EL76" s="14">
        <f t="shared" si="99"/>
        <v>35.524133363879962</v>
      </c>
      <c r="EM76" s="22">
        <f t="shared" si="73"/>
        <v>299.83692694209077</v>
      </c>
      <c r="EN76" s="62">
        <f t="shared" si="74"/>
        <v>567.61971114001256</v>
      </c>
      <c r="EO76" s="62">
        <f ca="1">AVERAGE(OFFSET($EN$3,0,0,'Données projet'!$E$15+1,1))-AVERAGE(OFFSET($H$3,0,0,'Données projet'!$E$15+1,1))</f>
        <v>226.37420733783091</v>
      </c>
      <c r="EP76" s="62">
        <f t="shared" si="100"/>
        <v>204.10961748628714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6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9">
        <f t="shared" si="56"/>
        <v>183.33333333333334</v>
      </c>
      <c r="I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6.55</v>
      </c>
      <c r="N77" s="14">
        <f>IF('Données projet'!$A$36&gt;35,N76+M77-V76,IF(A77&lt;'Données projet'!$A$36,$K$205^A77,IF(A77='Données projet'!$A$36,'Données projet'!$B$36,N76+M77-V76)))</f>
        <v>224.70000000000022</v>
      </c>
      <c r="O77" s="14">
        <f>N77*VLOOKUP('Données projet'!$B$9,Paramètres!$A$1:$I$89,3,0)*VLOOKUP('Données projet'!$B$9,Paramètres!$A$1:$I$89,5,0)</f>
        <v>131.44950000000011</v>
      </c>
      <c r="P77" s="14">
        <f t="shared" si="87"/>
        <v>34.331079769951522</v>
      </c>
      <c r="Q77" s="22">
        <f t="shared" si="54"/>
        <v>288.73450976599906</v>
      </c>
      <c r="R77" s="62">
        <f t="shared" si="55"/>
        <v>556.96053886894993</v>
      </c>
      <c r="S77" s="62">
        <f ca="1">AVERAGE(OFFSET($R$3,0,0,'Données projet'!$E$9+1,1))-AVERAGE(OFFSET($H$3,0,0,'Données projet'!$E$9+1,1))</f>
        <v>196.48726929442091</v>
      </c>
      <c r="T77" s="62">
        <f t="shared" si="88"/>
        <v>193.28400454669347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3.7900308268717849E-6</v>
      </c>
      <c r="AC77" s="24">
        <f t="shared" si="57"/>
        <v>3.7900308268717849E-6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5</v>
      </c>
      <c r="AI77" s="14">
        <f>IF('Données projet'!$A$62&gt;35,AI76+AH77-AQ76,IF(A77&lt;'Données projet'!$A$62,$AF$205^A77,IF(A77='Données projet'!$A$62,'Données projet'!$B$62,AI76+AH77-AQ76)))</f>
        <v>192</v>
      </c>
      <c r="AJ77" s="14">
        <f>AI77*VLOOKUP('Données projet'!$B$10,Paramètres!$A$1:$I$89,3,0)*VLOOKUP('Données projet'!$B$10,Paramètres!$A$1:$I$89,5,0)</f>
        <v>194.68800000000002</v>
      </c>
      <c r="AK77" s="14">
        <f t="shared" si="89"/>
        <v>48.574928228914978</v>
      </c>
      <c r="AL77" s="22">
        <f t="shared" si="58"/>
        <v>423.68293333202695</v>
      </c>
      <c r="AM77" s="62">
        <f t="shared" si="59"/>
        <v>691.90896243497787</v>
      </c>
      <c r="AN77" s="62">
        <f ca="1">AVERAGE(OFFSET($AM$3,0,0,'Données projet'!$E$10+1,1))-AVERAGE(OFFSET($H$3,0,0,'Données projet'!$E$10+1,1))</f>
        <v>414.29294334114661</v>
      </c>
      <c r="AO77" s="62">
        <f t="shared" si="90"/>
        <v>178.72086185623849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5</v>
      </c>
      <c r="BD77" s="13">
        <f>IF('Données projet'!$A$88&gt;35,BD76+BC77-BL76,IF(A77&lt;'Données projet'!$A$88,$BA$205^A77,IF(A77='Données projet'!$A$88,'Données projet'!$B$88,BD76+BC77-BL76)))</f>
        <v>192</v>
      </c>
      <c r="BE77" s="14">
        <f>BD77*VLOOKUP('Données projet'!$B$11,Paramètres!$A$1:$I$89,3,0)*VLOOKUP('Données projet'!$B$11,Paramètres!$A$1:$I$89,5,0)</f>
        <v>206.6688</v>
      </c>
      <c r="BF77" s="14">
        <f t="shared" si="91"/>
        <v>51.206958627992755</v>
      </c>
      <c r="BG77" s="22">
        <f t="shared" si="61"/>
        <v>449.13361294375403</v>
      </c>
      <c r="BH77" s="62">
        <f t="shared" si="62"/>
        <v>717.35964204670495</v>
      </c>
      <c r="BI77" s="62">
        <f ca="1">AVERAGE(OFFSET($BH$3,0,0,'Données projet'!$E$11+1,1))-AVERAGE(OFFSET($H$3,0,0,'Données projet'!$E$11+1,1))</f>
        <v>434.74983403680108</v>
      </c>
      <c r="BJ77" s="62">
        <f t="shared" si="92"/>
        <v>186.0840067781198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3.333333333333337</v>
      </c>
      <c r="BY77" s="13">
        <f>IF('Données projet'!$A$114&gt;35,BY76+BX77-CG76,IF(A77&lt;'Données projet'!$A$114,$BV$205^A77,IF(A77='Données projet'!$A$114,'Données projet'!$B$114,BY76+BX77-CG76)))</f>
        <v>174.23076923076931</v>
      </c>
      <c r="BZ77" s="14">
        <f>BY77*VLOOKUP('Données projet'!$B$12,Paramètres!$A$1:$I$89,3,0)*VLOOKUP('Données projet'!$B$12,Paramètres!$A$1:$I$89,5,0)</f>
        <v>149.49000000000007</v>
      </c>
      <c r="CA77" s="14">
        <f t="shared" si="93"/>
        <v>38.462663327558822</v>
      </c>
      <c r="CB77" s="22">
        <f t="shared" si="64"/>
        <v>327.35088862883174</v>
      </c>
      <c r="CC77" s="62">
        <f t="shared" si="65"/>
        <v>595.5769177317826</v>
      </c>
      <c r="CD77" s="62">
        <f ca="1">AVERAGE(OFFSET($CC$3,0,0,'Données projet'!$E$12+1,1))-AVERAGE(OFFSET($H$3,0,0,'Données projet'!$E$12+1,1))</f>
        <v>288.24759203983547</v>
      </c>
      <c r="CE77" s="62">
        <f t="shared" si="94"/>
        <v>188.86613033148794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3.333333333333337</v>
      </c>
      <c r="CT77" s="13">
        <f>IF('Données projet'!$A$140&gt;35,CT76+CS77-DB76,IF(A77&lt;'Données projet'!$A$140,$CQ$205^A77,IF(A77='Données projet'!$A$140,'Données projet'!$B$140,CT76+CS77-DB76)))</f>
        <v>174.23076923076931</v>
      </c>
      <c r="CU77" s="18">
        <f>CT77*VLOOKUP('Données projet'!$B$13,Paramètres!$A$1:$I$89,3,0)*VLOOKUP('Données projet'!$B$13,Paramètres!$A$1:$I$89,5,0)</f>
        <v>116.87400000000007</v>
      </c>
      <c r="CV77" s="14">
        <f t="shared" si="95"/>
        <v>30.94479488526294</v>
      </c>
      <c r="CW77" s="22">
        <f t="shared" si="67"/>
        <v>257.45106775849973</v>
      </c>
      <c r="CX77" s="62">
        <f t="shared" si="68"/>
        <v>525.67709686145054</v>
      </c>
      <c r="CY77" s="62">
        <f ca="1">AVERAGE(OFFSET($CX$3,0,0,'Données projet'!$E$13+1,1))-AVERAGE(OFFSET($H$3,0,0,'Données projet'!$E$13+1,1))</f>
        <v>240.40157928925146</v>
      </c>
      <c r="CZ77" s="62">
        <f t="shared" si="96"/>
        <v>160.5013084380258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5</v>
      </c>
      <c r="DO77" s="13">
        <f>IF('Données projet'!$A$166&gt;35,DO76+DN77-DW76,IF(A77&lt;'Données projet'!$A$166,$DL$205^A77,IF(A77='Données projet'!$A$166,'Données projet'!$B$166,DO76+DN77-DW76)))</f>
        <v>192</v>
      </c>
      <c r="DP77" s="18">
        <f>DO77*VLOOKUP('Données projet'!$B$14,Paramètres!$A$1:$I$89,3,0)*VLOOKUP('Données projet'!$B$14,Paramètres!$A$1:$I$89,5,0)</f>
        <v>185.70239999999998</v>
      </c>
      <c r="DQ77" s="14">
        <f t="shared" si="97"/>
        <v>46.588553069776829</v>
      </c>
      <c r="DR77" s="22">
        <f t="shared" si="70"/>
        <v>404.57340992986127</v>
      </c>
      <c r="DS77" s="62">
        <f t="shared" si="71"/>
        <v>672.79943903281219</v>
      </c>
      <c r="DT77" s="62">
        <f ca="1">AVERAGE(OFFSET($DS$3,0,0,'Données projet'!$E$14+1,1))-AVERAGE(OFFSET($H$3,0,0,'Données projet'!$E$14+1,1))</f>
        <v>398.93296311353788</v>
      </c>
      <c r="DU77" s="62">
        <f t="shared" si="98"/>
        <v>173.19148969173838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1.8</v>
      </c>
      <c r="EJ77" s="13">
        <f>IF('Données projet'!$A$192&gt;35,EJ76+EI77-ER76,IF(A77&lt;'Données projet'!$A$192,$EG$205^A77,IF(A77='Données projet'!$A$192,'Données projet'!$B$192,EJ76+EI77-ER76)))</f>
        <v>158.19999999999987</v>
      </c>
      <c r="EK77" s="18">
        <f>EJ77*VLOOKUP('Données projet'!$B$15,Paramètres!$A$1:$I$89,3,0)*VLOOKUP('Données projet'!$B$15,Paramètres!$A$1:$I$89,5,0)</f>
        <v>138.20351999999991</v>
      </c>
      <c r="EL77" s="14">
        <f t="shared" si="99"/>
        <v>35.885148322765289</v>
      </c>
      <c r="EM77" s="22">
        <f t="shared" si="73"/>
        <v>303.20443066214938</v>
      </c>
      <c r="EN77" s="62">
        <f t="shared" si="74"/>
        <v>571.4304597651003</v>
      </c>
      <c r="EO77" s="62">
        <f ca="1">AVERAGE(OFFSET($EN$3,0,0,'Données projet'!$E$15+1,1))-AVERAGE(OFFSET($H$3,0,0,'Données projet'!$E$15+1,1))</f>
        <v>226.37420733783091</v>
      </c>
      <c r="EP77" s="62">
        <f t="shared" si="100"/>
        <v>204.10961748628714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6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9">
        <f t="shared" si="56"/>
        <v>183.33333333333334</v>
      </c>
      <c r="I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6.55</v>
      </c>
      <c r="N78" s="14">
        <f>IF('Données projet'!$A$36&gt;35,N77+M78-V77,IF(A78&lt;'Données projet'!$A$36,$K$205^A78,IF(A78='Données projet'!$A$36,'Données projet'!$B$36,N77+M78-V77)))</f>
        <v>231.25000000000023</v>
      </c>
      <c r="O78" s="14">
        <f>N78*VLOOKUP('Données projet'!$B$9,Paramètres!$A$1:$I$89,3,0)*VLOOKUP('Données projet'!$B$9,Paramètres!$A$1:$I$89,5,0)</f>
        <v>135.28125000000014</v>
      </c>
      <c r="P78" s="14">
        <f t="shared" si="87"/>
        <v>35.213858506264501</v>
      </c>
      <c r="Q78" s="22">
        <f t="shared" si="54"/>
        <v>296.94564731507757</v>
      </c>
      <c r="R78" s="62">
        <f t="shared" si="55"/>
        <v>565.60723201490237</v>
      </c>
      <c r="S78" s="62">
        <f ca="1">AVERAGE(OFFSET($R$3,0,0,'Données projet'!$E$9+1,1))-AVERAGE(OFFSET($H$3,0,0,'Données projet'!$E$9+1,1))</f>
        <v>196.48726929442091</v>
      </c>
      <c r="T78" s="62">
        <f t="shared" si="88"/>
        <v>193.28400454669347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2.6799564985870973E-6</v>
      </c>
      <c r="AC78" s="24">
        <f t="shared" si="57"/>
        <v>2.6799564985870973E-6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197</v>
      </c>
      <c r="AG78" s="13">
        <f>VLOOKUP(A78,'Données projet'!$A$61:$I$81,9,0)</f>
        <v>5</v>
      </c>
      <c r="AH78" s="13">
        <f t="array" ref="AH78">INDEX(AG:AG,MIN(IF(ISNUMBER(AG78:AG274),ROW(AG78:AG274),"")))</f>
        <v>5</v>
      </c>
      <c r="AI78" s="14">
        <f>IF('Données projet'!$A$62&gt;35,AI77+AH78-AQ77,IF(A78&lt;'Données projet'!$A$62,$AF$205^A78,IF(A78='Données projet'!$A$62,'Données projet'!$B$62,AI77+AH78-AQ77)))</f>
        <v>197</v>
      </c>
      <c r="AJ78" s="14">
        <f>AI78*VLOOKUP('Données projet'!$B$10,Paramètres!$A$1:$I$89,3,0)*VLOOKUP('Données projet'!$B$10,Paramètres!$A$1:$I$89,5,0)</f>
        <v>199.75800000000004</v>
      </c>
      <c r="AK78" s="14">
        <f t="shared" si="89"/>
        <v>49.690979702964015</v>
      </c>
      <c r="AL78" s="22">
        <f t="shared" si="58"/>
        <v>434.45697298266236</v>
      </c>
      <c r="AM78" s="62">
        <f t="shared" si="59"/>
        <v>703.11855768248711</v>
      </c>
      <c r="AN78" s="62">
        <f ca="1">AVERAGE(OFFSET($AM$3,0,0,'Données projet'!$E$10+1,1))-AVERAGE(OFFSET($H$3,0,0,'Données projet'!$E$10+1,1))</f>
        <v>414.29294334114661</v>
      </c>
      <c r="AO78" s="62">
        <f t="shared" si="90"/>
        <v>178.72086185623849</v>
      </c>
      <c r="AP78" s="16">
        <f>IF(ISNA(VLOOKUP(A78,'Données projet'!$A$61:$I$81,3,0)),0,VLOOKUP(A78,'Données projet'!$A$61:$I$81,3,0))</f>
        <v>5</v>
      </c>
      <c r="AQ78" s="16">
        <f>IF(ISNA(VLOOKUP(A78,'Données projet'!$A$61:$I$81,4,0)),0,VLOOKUP(A78,'Données projet'!$A$61:$I$81,4,0))</f>
        <v>28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197</v>
      </c>
      <c r="BB78" s="13">
        <f>VLOOKUP(A78,'Données projet'!$A$87:$I$107,9,0)</f>
        <v>5</v>
      </c>
      <c r="BC78" s="13">
        <f t="array" ref="BC78">INDEX(BB:BB,MIN(IF(ISNUMBER(BB78:BB274),ROW(BB78:BB274),"")))</f>
        <v>5</v>
      </c>
      <c r="BD78" s="13">
        <f>IF('Données projet'!$A$88&gt;35,BD77+BC78-BL77,IF(A78&lt;'Données projet'!$A$88,$BA$205^A78,IF(A78='Données projet'!$A$88,'Données projet'!$B$88,BD77+BC78-BL77)))</f>
        <v>197</v>
      </c>
      <c r="BE78" s="14">
        <f>BD78*VLOOKUP('Données projet'!$B$11,Paramètres!$A$1:$I$89,3,0)*VLOOKUP('Données projet'!$B$11,Paramètres!$A$1:$I$89,5,0)</f>
        <v>212.05079999999998</v>
      </c>
      <c r="BF78" s="14">
        <f t="shared" si="91"/>
        <v>52.383483303212302</v>
      </c>
      <c r="BG78" s="22">
        <f t="shared" si="61"/>
        <v>460.55637675309475</v>
      </c>
      <c r="BH78" s="62">
        <f t="shared" si="62"/>
        <v>729.21796145291955</v>
      </c>
      <c r="BI78" s="62">
        <f ca="1">AVERAGE(OFFSET($BH$3,0,0,'Données projet'!$E$11+1,1))-AVERAGE(OFFSET($H$3,0,0,'Données projet'!$E$11+1,1))</f>
        <v>434.74983403680108</v>
      </c>
      <c r="BJ78" s="62">
        <f t="shared" si="92"/>
        <v>186.0840067781198</v>
      </c>
      <c r="BK78" s="16">
        <f>IF(ISNA(VLOOKUP(A78,'Données projet'!$A$87:$I$107,3,0)),0,VLOOKUP(A78,'Données projet'!$A$87:$I$107,3,0))</f>
        <v>5</v>
      </c>
      <c r="BL78" s="16">
        <f>IF(ISNA(VLOOKUP(A78,'Données projet'!$A$87:$I$107,4,0)),0,VLOOKUP(A78,'Données projet'!$A$87:$I$107,4,0))</f>
        <v>28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177.56410256410257</v>
      </c>
      <c r="BW78" s="13">
        <f>VLOOKUP(A78,'Données projet'!$A$113:$I$133,9,0)</f>
        <v>3.333333333333337</v>
      </c>
      <c r="BX78" s="13">
        <f t="array" ref="BX78">INDEX(BW:BW,MIN(IF(ISNUMBER(BW78:BW274),ROW(BW78:BW274),"")))</f>
        <v>3.333333333333337</v>
      </c>
      <c r="BY78" s="13">
        <f>IF('Données projet'!$A$114&gt;35,BY77+BX78-CG77,IF(A78&lt;'Données projet'!$A$114,$BV$205^A78,IF(A78='Données projet'!$A$114,'Données projet'!$B$114,BY77+BX78-CG77)))</f>
        <v>177.56410256410265</v>
      </c>
      <c r="BZ78" s="14">
        <f>BY78*VLOOKUP('Données projet'!$B$12,Paramètres!$A$1:$I$89,3,0)*VLOOKUP('Données projet'!$B$12,Paramètres!$A$1:$I$89,5,0)</f>
        <v>152.35000000000008</v>
      </c>
      <c r="CA78" s="14">
        <f t="shared" si="93"/>
        <v>39.112147426043798</v>
      </c>
      <c r="CB78" s="22">
        <f t="shared" si="64"/>
        <v>333.46324010035977</v>
      </c>
      <c r="CC78" s="62">
        <f t="shared" si="65"/>
        <v>602.12482480018457</v>
      </c>
      <c r="CD78" s="62">
        <f ca="1">AVERAGE(OFFSET($CC$3,0,0,'Données projet'!$E$12+1,1))-AVERAGE(OFFSET($H$3,0,0,'Données projet'!$E$12+1,1))</f>
        <v>288.24759203983547</v>
      </c>
      <c r="CE78" s="62">
        <f t="shared" si="94"/>
        <v>188.86613033148794</v>
      </c>
      <c r="CF78" s="16">
        <f>IF(ISNA(VLOOKUP(A78,'Données projet'!$A$113:$I$133,3,0)),0,VLOOKUP(A78,'Données projet'!$A$113:$I$133,3,0))</f>
        <v>6</v>
      </c>
      <c r="CG78" s="16">
        <f>IF(ISNA(VLOOKUP(A78,'Données projet'!$A$113:$I$133,4,0)),0,VLOOKUP(A78,'Données projet'!$A$113:$I$133,4,0))</f>
        <v>19.23076923076923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177.56410256410257</v>
      </c>
      <c r="CR78" s="13">
        <f>VLOOKUP(A78,'Données projet'!$A$139:$I$159,9,0)</f>
        <v>3.333333333333337</v>
      </c>
      <c r="CS78" s="13">
        <f t="array" ref="CS78">INDEX(CR:CR,MIN(IF(ISNUMBER(CR78:CR274),ROW(CR78:CR274),"")))</f>
        <v>3.333333333333337</v>
      </c>
      <c r="CT78" s="13">
        <f>IF('Données projet'!$A$140&gt;35,CT77+CS78-DB77,IF(A78&lt;'Données projet'!$A$140,$CQ$205^A78,IF(A78='Données projet'!$A$140,'Données projet'!$B$140,CT77+CS78-DB77)))</f>
        <v>177.56410256410265</v>
      </c>
      <c r="CU78" s="18">
        <f>CT78*VLOOKUP('Données projet'!$B$13,Paramètres!$A$1:$I$89,3,0)*VLOOKUP('Données projet'!$B$13,Paramètres!$A$1:$I$89,5,0)</f>
        <v>119.11000000000007</v>
      </c>
      <c r="CV78" s="14">
        <f t="shared" si="95"/>
        <v>31.467331560315731</v>
      </c>
      <c r="CW78" s="22">
        <f t="shared" si="67"/>
        <v>262.25551913421668</v>
      </c>
      <c r="CX78" s="62">
        <f t="shared" si="68"/>
        <v>530.91710383404143</v>
      </c>
      <c r="CY78" s="62">
        <f ca="1">AVERAGE(OFFSET($CX$3,0,0,'Données projet'!$E$13+1,1))-AVERAGE(OFFSET($H$3,0,0,'Données projet'!$E$13+1,1))</f>
        <v>240.40157928925146</v>
      </c>
      <c r="CZ78" s="62">
        <f t="shared" si="96"/>
        <v>160.5013084380258</v>
      </c>
      <c r="DA78" s="16">
        <f>IF(ISNA(VLOOKUP(A78,'Données projet'!$A$139:$I$159,3,0)),0,VLOOKUP(A78,'Données projet'!$A$139:$I$159,3,0))</f>
        <v>6</v>
      </c>
      <c r="DB78" s="16">
        <f>IF(ISNA(VLOOKUP(A78,'Données projet'!$A$139:$I$159,4,0)),0,VLOOKUP(A78,'Données projet'!$A$139:$I$159,4,0))</f>
        <v>19.23076923076923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197</v>
      </c>
      <c r="DM78" s="13">
        <f>VLOOKUP(A78,'Données projet'!$A$165:$I$185,9,0)</f>
        <v>5</v>
      </c>
      <c r="DN78" s="13">
        <f t="array" ref="DN78">INDEX(DM:DM,MIN(IF(ISNUMBER(DM78:DM274),ROW(DM78:DM274),"")))</f>
        <v>5</v>
      </c>
      <c r="DO78" s="13">
        <f>IF('Données projet'!$A$166&gt;35,DO77+DN78-DW77,IF(A78&lt;'Données projet'!$A$166,$DL$205^A78,IF(A78='Données projet'!$A$166,'Données projet'!$B$166,DO77+DN78-DW77)))</f>
        <v>197</v>
      </c>
      <c r="DP78" s="18">
        <f>DO78*VLOOKUP('Données projet'!$B$14,Paramètres!$A$1:$I$89,3,0)*VLOOKUP('Données projet'!$B$14,Paramètres!$A$1:$I$89,5,0)</f>
        <v>190.5384</v>
      </c>
      <c r="DQ78" s="14">
        <f t="shared" si="97"/>
        <v>47.658965836673829</v>
      </c>
      <c r="DR78" s="22">
        <f t="shared" si="70"/>
        <v>414.86041216554025</v>
      </c>
      <c r="DS78" s="62">
        <f t="shared" si="71"/>
        <v>683.52199686536505</v>
      </c>
      <c r="DT78" s="62">
        <f ca="1">AVERAGE(OFFSET($DS$3,0,0,'Données projet'!$E$14+1,1))-AVERAGE(OFFSET($H$3,0,0,'Données projet'!$E$14+1,1))</f>
        <v>398.93296311353788</v>
      </c>
      <c r="DU78" s="62">
        <f t="shared" si="98"/>
        <v>173.19148969173838</v>
      </c>
      <c r="DV78" s="16">
        <f>IF(ISNA(VLOOKUP(A78,'Données projet'!$A$165:$I$185,3,0)),0,VLOOKUP(A78,'Données projet'!$A$165:$I$185,3,0))</f>
        <v>5</v>
      </c>
      <c r="DW78" s="16">
        <f>IF(ISNA(VLOOKUP(A78,'Données projet'!$A$165:$I$185,4,0)),0,VLOOKUP(A78,'Données projet'!$A$165:$I$185,4,0))</f>
        <v>28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160</v>
      </c>
      <c r="EH78" s="13">
        <f>VLOOKUP(A78,'Données projet'!$A$191:$I$211,9,0)</f>
        <v>1.8</v>
      </c>
      <c r="EI78" s="13">
        <f t="array" ref="EI78">INDEX(EH:EH,MIN(IF(ISNUMBER(EH78:EH274),ROW(EH78:EH274),"")))</f>
        <v>1.8</v>
      </c>
      <c r="EJ78" s="13">
        <f>IF('Données projet'!$A$192&gt;35,EJ77+EI78-ER77,IF(A78&lt;'Données projet'!$A$192,$EG$205^A78,IF(A78='Données projet'!$A$192,'Données projet'!$B$192,EJ77+EI78-ER77)))</f>
        <v>159.99999999999989</v>
      </c>
      <c r="EK78" s="18">
        <f>EJ78*VLOOKUP('Données projet'!$B$15,Paramètres!$A$1:$I$89,3,0)*VLOOKUP('Données projet'!$B$15,Paramètres!$A$1:$I$89,5,0)</f>
        <v>139.77599999999993</v>
      </c>
      <c r="EL78" s="14">
        <f t="shared" si="99"/>
        <v>36.245685459195258</v>
      </c>
      <c r="EM78" s="22">
        <f t="shared" si="73"/>
        <v>306.57110217476492</v>
      </c>
      <c r="EN78" s="62">
        <f t="shared" si="74"/>
        <v>575.23268687458972</v>
      </c>
      <c r="EO78" s="62">
        <f ca="1">AVERAGE(OFFSET($EN$3,0,0,'Données projet'!$E$15+1,1))-AVERAGE(OFFSET($H$3,0,0,'Données projet'!$E$15+1,1))</f>
        <v>226.37420733783091</v>
      </c>
      <c r="EP78" s="62">
        <f t="shared" si="100"/>
        <v>204.10961748628714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6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9">
        <f t="shared" si="56"/>
        <v>183.33333333333334</v>
      </c>
      <c r="I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6.55</v>
      </c>
      <c r="N79" s="14">
        <f>IF('Données projet'!$A$36&gt;35,N78+M79-V78,IF(A79&lt;'Données projet'!$A$36,$K$205^A79,IF(A79='Données projet'!$A$36,'Données projet'!$B$36,N78+M79-V78)))</f>
        <v>237.80000000000024</v>
      </c>
      <c r="O79" s="14">
        <f>N79*VLOOKUP('Données projet'!$B$9,Paramètres!$A$1:$I$89,3,0)*VLOOKUP('Données projet'!$B$9,Paramètres!$A$1:$I$89,5,0)</f>
        <v>139.11300000000014</v>
      </c>
      <c r="P79" s="14">
        <f t="shared" si="87"/>
        <v>36.093731146019167</v>
      </c>
      <c r="Q79" s="22">
        <f t="shared" si="54"/>
        <v>305.15172341265026</v>
      </c>
      <c r="R79" s="62">
        <f t="shared" si="55"/>
        <v>574.24130779349969</v>
      </c>
      <c r="S79" s="62">
        <f ca="1">AVERAGE(OFFSET($R$3,0,0,'Données projet'!$E$9+1,1))-AVERAGE(OFFSET($H$3,0,0,'Données projet'!$E$9+1,1))</f>
        <v>196.48726929442091</v>
      </c>
      <c r="T79" s="62">
        <f t="shared" si="88"/>
        <v>193.28400454669347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1.8950154134358929E-6</v>
      </c>
      <c r="AC79" s="24">
        <f t="shared" si="57"/>
        <v>1.8950154134358929E-6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4.5999999999999996</v>
      </c>
      <c r="AI79" s="14">
        <f>IF('Données projet'!$A$62&gt;35,AI78+AH79-AQ78,IF(A79&lt;'Données projet'!$A$62,$AF$205^A79,IF(A79='Données projet'!$A$62,'Données projet'!$B$62,AI78+AH79-AQ78)))</f>
        <v>173.6</v>
      </c>
      <c r="AJ79" s="14">
        <f>AI79*VLOOKUP('Données projet'!$B$10,Paramètres!$A$1:$I$89,3,0)*VLOOKUP('Données projet'!$B$10,Paramètres!$A$1:$I$89,5,0)</f>
        <v>176.03040000000001</v>
      </c>
      <c r="AK79" s="14">
        <f t="shared" si="89"/>
        <v>44.437880346232944</v>
      </c>
      <c r="AL79" s="22">
        <f t="shared" si="58"/>
        <v>383.98225493635573</v>
      </c>
      <c r="AM79" s="62">
        <f t="shared" si="59"/>
        <v>653.0718393172051</v>
      </c>
      <c r="AN79" s="62">
        <f ca="1">AVERAGE(OFFSET($AM$3,0,0,'Données projet'!$E$10+1,1))-AVERAGE(OFFSET($H$3,0,0,'Données projet'!$E$10+1,1))</f>
        <v>414.29294334114661</v>
      </c>
      <c r="AO79" s="62">
        <f t="shared" si="90"/>
        <v>178.72086185623849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4.5999999999999996</v>
      </c>
      <c r="BD79" s="13">
        <f>IF('Données projet'!$A$88&gt;35,BD78+BC79-BL78,IF(A79&lt;'Données projet'!$A$88,$BA$205^A79,IF(A79='Données projet'!$A$88,'Données projet'!$B$88,BD78+BC79-BL78)))</f>
        <v>173.6</v>
      </c>
      <c r="BE79" s="14">
        <f>BD79*VLOOKUP('Données projet'!$B$11,Paramètres!$A$1:$I$89,3,0)*VLOOKUP('Données projet'!$B$11,Paramètres!$A$1:$I$89,5,0)</f>
        <v>186.86303999999998</v>
      </c>
      <c r="BF79" s="14">
        <f t="shared" si="91"/>
        <v>46.845744983534466</v>
      </c>
      <c r="BG79" s="22">
        <f t="shared" si="61"/>
        <v>407.04280051298912</v>
      </c>
      <c r="BH79" s="62">
        <f t="shared" si="62"/>
        <v>676.13238489383855</v>
      </c>
      <c r="BI79" s="62">
        <f ca="1">AVERAGE(OFFSET($BH$3,0,0,'Données projet'!$E$11+1,1))-AVERAGE(OFFSET($H$3,0,0,'Données projet'!$E$11+1,1))</f>
        <v>434.74983403680108</v>
      </c>
      <c r="BJ79" s="62">
        <f t="shared" si="92"/>
        <v>186.0840067781198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3.2051282051282044</v>
      </c>
      <c r="BY79" s="13">
        <f>IF('Données projet'!$A$114&gt;35,BY78+BX79-CG78,IF(A79&lt;'Données projet'!$A$114,$BV$205^A79,IF(A79='Données projet'!$A$114,'Données projet'!$B$114,BY78+BX79-CG78)))</f>
        <v>161.53846153846163</v>
      </c>
      <c r="BZ79" s="14">
        <f>BY79*VLOOKUP('Données projet'!$B$12,Paramètres!$A$1:$I$89,3,0)*VLOOKUP('Données projet'!$B$12,Paramètres!$A$1:$I$89,5,0)</f>
        <v>138.60000000000011</v>
      </c>
      <c r="CA79" s="14">
        <f t="shared" si="93"/>
        <v>35.97609779689639</v>
      </c>
      <c r="CB79" s="22">
        <f t="shared" si="64"/>
        <v>304.05337032959471</v>
      </c>
      <c r="CC79" s="62">
        <f t="shared" si="65"/>
        <v>573.1429547104442</v>
      </c>
      <c r="CD79" s="62">
        <f ca="1">AVERAGE(OFFSET($CC$3,0,0,'Données projet'!$E$12+1,1))-AVERAGE(OFFSET($H$3,0,0,'Données projet'!$E$12+1,1))</f>
        <v>288.24759203983547</v>
      </c>
      <c r="CE79" s="62">
        <f t="shared" si="94"/>
        <v>188.86613033148794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3.2051282051282044</v>
      </c>
      <c r="CT79" s="13">
        <f>IF('Données projet'!$A$140&gt;35,CT78+CS79-DB78,IF(A79&lt;'Données projet'!$A$140,$CQ$205^A79,IF(A79='Données projet'!$A$140,'Données projet'!$B$140,CT78+CS79-DB78)))</f>
        <v>161.53846153846163</v>
      </c>
      <c r="CU79" s="18">
        <f>CT79*VLOOKUP('Données projet'!$B$13,Paramètres!$A$1:$I$89,3,0)*VLOOKUP('Données projet'!$B$13,Paramètres!$A$1:$I$89,5,0)</f>
        <v>108.36000000000006</v>
      </c>
      <c r="CV79" s="14">
        <f t="shared" si="95"/>
        <v>28.944250626020697</v>
      </c>
      <c r="CW79" s="22">
        <f t="shared" si="67"/>
        <v>239.13823650698612</v>
      </c>
      <c r="CX79" s="62">
        <f t="shared" si="68"/>
        <v>508.22782088783555</v>
      </c>
      <c r="CY79" s="62">
        <f ca="1">AVERAGE(OFFSET($CX$3,0,0,'Données projet'!$E$13+1,1))-AVERAGE(OFFSET($H$3,0,0,'Données projet'!$E$13+1,1))</f>
        <v>240.40157928925146</v>
      </c>
      <c r="CZ79" s="62">
        <f t="shared" si="96"/>
        <v>160.5013084380258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4.5999999999999996</v>
      </c>
      <c r="DO79" s="13">
        <f>IF('Données projet'!$A$166&gt;35,DO78+DN79-DW78,IF(A79&lt;'Données projet'!$A$166,$DL$205^A79,IF(A79='Données projet'!$A$166,'Données projet'!$B$166,DO78+DN79-DW78)))</f>
        <v>173.6</v>
      </c>
      <c r="DP79" s="18">
        <f>DO79*VLOOKUP('Données projet'!$B$14,Paramètres!$A$1:$I$89,3,0)*VLOOKUP('Données projet'!$B$14,Paramètres!$A$1:$I$89,5,0)</f>
        <v>167.90591999999998</v>
      </c>
      <c r="DQ79" s="14">
        <f t="shared" si="97"/>
        <v>42.620681538886721</v>
      </c>
      <c r="DR79" s="22">
        <f t="shared" si="70"/>
        <v>366.66716434689437</v>
      </c>
      <c r="DS79" s="62">
        <f t="shared" si="71"/>
        <v>635.7567487277438</v>
      </c>
      <c r="DT79" s="62">
        <f ca="1">AVERAGE(OFFSET($DS$3,0,0,'Données projet'!$E$14+1,1))-AVERAGE(OFFSET($H$3,0,0,'Données projet'!$E$14+1,1))</f>
        <v>398.93296311353788</v>
      </c>
      <c r="DU79" s="62">
        <f t="shared" si="98"/>
        <v>173.19148969173838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1.8</v>
      </c>
      <c r="EJ79" s="13">
        <f>IF('Données projet'!$A$192&gt;35,EJ78+EI79-ER78,IF(A79&lt;'Données projet'!$A$192,$EG$205^A79,IF(A79='Données projet'!$A$192,'Données projet'!$B$192,EJ78+EI79-ER78)))</f>
        <v>161.7999999999999</v>
      </c>
      <c r="EK79" s="18">
        <f>EJ79*VLOOKUP('Données projet'!$B$15,Paramètres!$A$1:$I$89,3,0)*VLOOKUP('Données projet'!$B$15,Paramètres!$A$1:$I$89,5,0)</f>
        <v>141.34847999999991</v>
      </c>
      <c r="EL79" s="14">
        <f t="shared" si="99"/>
        <v>36.605750770707772</v>
      </c>
      <c r="EM79" s="22">
        <f t="shared" si="73"/>
        <v>309.93695192564923</v>
      </c>
      <c r="EN79" s="62">
        <f t="shared" si="74"/>
        <v>579.02653630649866</v>
      </c>
      <c r="EO79" s="62">
        <f ca="1">AVERAGE(OFFSET($EN$3,0,0,'Données projet'!$E$15+1,1))-AVERAGE(OFFSET($H$3,0,0,'Données projet'!$E$15+1,1))</f>
        <v>226.37420733783091</v>
      </c>
      <c r="EP79" s="62">
        <f t="shared" si="100"/>
        <v>204.10961748628714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6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9">
        <f t="shared" si="56"/>
        <v>183.33333333333334</v>
      </c>
      <c r="I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6.55</v>
      </c>
      <c r="N80" s="14">
        <f>IF('Données projet'!$A$36&gt;35,N79+M80-V79,IF(A80&lt;'Données projet'!$A$36,$K$205^A80,IF(A80='Données projet'!$A$36,'Données projet'!$B$36,N79+M80-V79)))</f>
        <v>244.35000000000025</v>
      </c>
      <c r="O80" s="14">
        <f>N80*VLOOKUP('Données projet'!$B$9,Paramètres!$A$1:$I$89,3,0)*VLOOKUP('Données projet'!$B$9,Paramètres!$A$1:$I$89,5,0)</f>
        <v>142.94475000000014</v>
      </c>
      <c r="P80" s="14">
        <f t="shared" si="87"/>
        <v>36.970786932293947</v>
      </c>
      <c r="Q80" s="22">
        <f t="shared" si="54"/>
        <v>313.35289349041221</v>
      </c>
      <c r="R80" s="62">
        <f t="shared" si="55"/>
        <v>582.8630527146845</v>
      </c>
      <c r="S80" s="62">
        <f ca="1">AVERAGE(OFFSET($R$3,0,0,'Données projet'!$E$9+1,1))-AVERAGE(OFFSET($H$3,0,0,'Données projet'!$E$9+1,1))</f>
        <v>196.48726929442091</v>
      </c>
      <c r="T80" s="62">
        <f t="shared" si="88"/>
        <v>193.28400454669347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1.3399782492935489E-6</v>
      </c>
      <c r="AC80" s="24">
        <f t="shared" si="57"/>
        <v>1.3399782492935489E-6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4.5999999999999996</v>
      </c>
      <c r="AI80" s="14">
        <f>IF('Données projet'!$A$62&gt;35,AI79+AH80-AQ79,IF(A80&lt;'Données projet'!$A$62,$AF$205^A80,IF(A80='Données projet'!$A$62,'Données projet'!$B$62,AI79+AH80-AQ79)))</f>
        <v>178.2</v>
      </c>
      <c r="AJ80" s="14">
        <f>AI80*VLOOKUP('Données projet'!$B$10,Paramètres!$A$1:$I$89,3,0)*VLOOKUP('Données projet'!$B$10,Paramètres!$A$1:$I$89,5,0)</f>
        <v>180.69480000000001</v>
      </c>
      <c r="AK80" s="14">
        <f t="shared" si="89"/>
        <v>45.47673168866379</v>
      </c>
      <c r="AL80" s="22">
        <f t="shared" si="58"/>
        <v>393.91541769108943</v>
      </c>
      <c r="AM80" s="62">
        <f t="shared" si="59"/>
        <v>663.42557691536172</v>
      </c>
      <c r="AN80" s="62">
        <f ca="1">AVERAGE(OFFSET($AM$3,0,0,'Données projet'!$E$10+1,1))-AVERAGE(OFFSET($H$3,0,0,'Données projet'!$E$10+1,1))</f>
        <v>414.29294334114661</v>
      </c>
      <c r="AO80" s="62">
        <f t="shared" si="90"/>
        <v>178.72086185623849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4.5999999999999996</v>
      </c>
      <c r="BD80" s="13">
        <f>IF('Données projet'!$A$88&gt;35,BD79+BC80-BL79,IF(A80&lt;'Données projet'!$A$88,$BA$205^A80,IF(A80='Données projet'!$A$88,'Données projet'!$B$88,BD79+BC80-BL79)))</f>
        <v>178.2</v>
      </c>
      <c r="BE80" s="14">
        <f>BD80*VLOOKUP('Données projet'!$B$11,Paramètres!$A$1:$I$89,3,0)*VLOOKUP('Données projet'!$B$11,Paramètres!$A$1:$I$89,5,0)</f>
        <v>191.81447999999997</v>
      </c>
      <c r="BF80" s="14">
        <f t="shared" si="91"/>
        <v>47.940886441320977</v>
      </c>
      <c r="BG80" s="22">
        <f t="shared" si="61"/>
        <v>417.57392988530063</v>
      </c>
      <c r="BH80" s="62">
        <f t="shared" si="62"/>
        <v>687.08408910957291</v>
      </c>
      <c r="BI80" s="62">
        <f ca="1">AVERAGE(OFFSET($BH$3,0,0,'Données projet'!$E$11+1,1))-AVERAGE(OFFSET($H$3,0,0,'Données projet'!$E$11+1,1))</f>
        <v>434.74983403680108</v>
      </c>
      <c r="BJ80" s="62">
        <f t="shared" si="92"/>
        <v>186.0840067781198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3.2051282051282044</v>
      </c>
      <c r="BY80" s="13">
        <f>IF('Données projet'!$A$114&gt;35,BY79+BX80-CG79,IF(A80&lt;'Données projet'!$A$114,$BV$205^A80,IF(A80='Données projet'!$A$114,'Données projet'!$B$114,BY79+BX80-CG79)))</f>
        <v>164.74358974358984</v>
      </c>
      <c r="BZ80" s="14">
        <f>BY80*VLOOKUP('Données projet'!$B$12,Paramètres!$A$1:$I$89,3,0)*VLOOKUP('Données projet'!$B$12,Paramètres!$A$1:$I$89,5,0)</f>
        <v>141.35000000000011</v>
      </c>
      <c r="CA80" s="14">
        <f t="shared" si="93"/>
        <v>36.606098592828943</v>
      </c>
      <c r="CB80" s="22">
        <f t="shared" si="64"/>
        <v>309.94020504917722</v>
      </c>
      <c r="CC80" s="62">
        <f t="shared" si="65"/>
        <v>579.45036427344951</v>
      </c>
      <c r="CD80" s="62">
        <f ca="1">AVERAGE(OFFSET($CC$3,0,0,'Données projet'!$E$12+1,1))-AVERAGE(OFFSET($H$3,0,0,'Données projet'!$E$12+1,1))</f>
        <v>288.24759203983547</v>
      </c>
      <c r="CE80" s="62">
        <f t="shared" si="94"/>
        <v>188.86613033148794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3.2051282051282044</v>
      </c>
      <c r="CT80" s="13">
        <f>IF('Données projet'!$A$140&gt;35,CT79+CS80-DB79,IF(A80&lt;'Données projet'!$A$140,$CQ$205^A80,IF(A80='Données projet'!$A$140,'Données projet'!$B$140,CT79+CS80-DB79)))</f>
        <v>164.74358974358984</v>
      </c>
      <c r="CU80" s="18">
        <f>CT80*VLOOKUP('Données projet'!$B$13,Paramètres!$A$1:$I$89,3,0)*VLOOKUP('Données projet'!$B$13,Paramètres!$A$1:$I$89,5,0)</f>
        <v>110.51000000000008</v>
      </c>
      <c r="CV80" s="14">
        <f t="shared" si="95"/>
        <v>29.45111218268562</v>
      </c>
      <c r="CW80" s="22">
        <f t="shared" si="67"/>
        <v>243.76560371817754</v>
      </c>
      <c r="CX80" s="62">
        <f t="shared" si="68"/>
        <v>513.27576294244977</v>
      </c>
      <c r="CY80" s="62">
        <f ca="1">AVERAGE(OFFSET($CX$3,0,0,'Données projet'!$E$13+1,1))-AVERAGE(OFFSET($H$3,0,0,'Données projet'!$E$13+1,1))</f>
        <v>240.40157928925146</v>
      </c>
      <c r="CZ80" s="62">
        <f t="shared" si="96"/>
        <v>160.5013084380258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4.5999999999999996</v>
      </c>
      <c r="DO80" s="13">
        <f>IF('Données projet'!$A$166&gt;35,DO79+DN80-DW79,IF(A80&lt;'Données projet'!$A$166,$DL$205^A80,IF(A80='Données projet'!$A$166,'Données projet'!$B$166,DO79+DN80-DW79)))</f>
        <v>178.2</v>
      </c>
      <c r="DP80" s="18">
        <f>DO80*VLOOKUP('Données projet'!$B$14,Paramètres!$A$1:$I$89,3,0)*VLOOKUP('Données projet'!$B$14,Paramètres!$A$1:$I$89,5,0)</f>
        <v>172.35504</v>
      </c>
      <c r="DQ80" s="14">
        <f t="shared" si="97"/>
        <v>43.617051120131691</v>
      </c>
      <c r="DR80" s="22">
        <f t="shared" si="70"/>
        <v>376.15139203422933</v>
      </c>
      <c r="DS80" s="62">
        <f t="shared" si="71"/>
        <v>645.66155125850162</v>
      </c>
      <c r="DT80" s="62">
        <f ca="1">AVERAGE(OFFSET($DS$3,0,0,'Données projet'!$E$14+1,1))-AVERAGE(OFFSET($H$3,0,0,'Données projet'!$E$14+1,1))</f>
        <v>398.93296311353788</v>
      </c>
      <c r="DU80" s="62">
        <f t="shared" si="98"/>
        <v>173.19148969173838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1.8</v>
      </c>
      <c r="EJ80" s="13">
        <f>IF('Données projet'!$A$192&gt;35,EJ79+EI80-ER79,IF(A80&lt;'Données projet'!$A$192,$EG$205^A80,IF(A80='Données projet'!$A$192,'Données projet'!$B$192,EJ79+EI80-ER79)))</f>
        <v>163.59999999999991</v>
      </c>
      <c r="EK80" s="18">
        <f>EJ80*VLOOKUP('Données projet'!$B$15,Paramètres!$A$1:$I$89,3,0)*VLOOKUP('Données projet'!$B$15,Paramètres!$A$1:$I$89,5,0)</f>
        <v>142.92095999999995</v>
      </c>
      <c r="EL80" s="14">
        <f t="shared" si="99"/>
        <v>36.965350113713654</v>
      </c>
      <c r="EM80" s="22">
        <f t="shared" si="73"/>
        <v>313.30199011471785</v>
      </c>
      <c r="EN80" s="62">
        <f t="shared" si="74"/>
        <v>582.81214933899014</v>
      </c>
      <c r="EO80" s="62">
        <f ca="1">AVERAGE(OFFSET($EN$3,0,0,'Données projet'!$E$15+1,1))-AVERAGE(OFFSET($H$3,0,0,'Données projet'!$E$15+1,1))</f>
        <v>226.37420733783091</v>
      </c>
      <c r="EP80" s="62">
        <f t="shared" si="100"/>
        <v>204.10961748628714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6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9">
        <f t="shared" si="56"/>
        <v>183.33333333333334</v>
      </c>
      <c r="I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6.55</v>
      </c>
      <c r="N81" s="14">
        <f>IF('Données projet'!$A$36&gt;35,N80+M81-V80,IF(A81&lt;'Données projet'!$A$36,$K$205^A81,IF(A81='Données projet'!$A$36,'Données projet'!$B$36,N80+M81-V80)))</f>
        <v>250.90000000000026</v>
      </c>
      <c r="O81" s="14">
        <f>N81*VLOOKUP('Données projet'!$B$9,Paramètres!$A$1:$I$89,3,0)*VLOOKUP('Données projet'!$B$9,Paramètres!$A$1:$I$89,5,0)</f>
        <v>146.77650000000014</v>
      </c>
      <c r="P81" s="14">
        <f t="shared" si="87"/>
        <v>37.845110051306527</v>
      </c>
      <c r="Q81" s="22">
        <f t="shared" si="54"/>
        <v>321.54930417269247</v>
      </c>
      <c r="R81" s="62">
        <f t="shared" si="55"/>
        <v>591.4727422071187</v>
      </c>
      <c r="S81" s="62">
        <f ca="1">AVERAGE(OFFSET($R$3,0,0,'Données projet'!$E$9+1,1))-AVERAGE(OFFSET($H$3,0,0,'Données projet'!$E$9+1,1))</f>
        <v>196.48726929442091</v>
      </c>
      <c r="T81" s="62">
        <f t="shared" si="88"/>
        <v>193.28400454669347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9.4750770671794654E-7</v>
      </c>
      <c r="AC81" s="24">
        <f t="shared" si="57"/>
        <v>9.4750770671794654E-7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4.5999999999999996</v>
      </c>
      <c r="AI81" s="14">
        <f>IF('Données projet'!$A$62&gt;35,AI80+AH81-AQ80,IF(A81&lt;'Données projet'!$A$62,$AF$205^A81,IF(A81='Données projet'!$A$62,'Données projet'!$B$62,AI80+AH81-AQ80)))</f>
        <v>182.79999999999998</v>
      </c>
      <c r="AJ81" s="14">
        <f>AI81*VLOOKUP('Données projet'!$B$10,Paramètres!$A$1:$I$89,3,0)*VLOOKUP('Données projet'!$B$10,Paramètres!$A$1:$I$89,5,0)</f>
        <v>185.35919999999999</v>
      </c>
      <c r="AK81" s="14">
        <f t="shared" si="89"/>
        <v>46.512465899126433</v>
      </c>
      <c r="AL81" s="22">
        <f t="shared" si="58"/>
        <v>403.84315144097854</v>
      </c>
      <c r="AM81" s="62">
        <f t="shared" si="59"/>
        <v>673.76658947540477</v>
      </c>
      <c r="AN81" s="62">
        <f ca="1">AVERAGE(OFFSET($AM$3,0,0,'Données projet'!$E$10+1,1))-AVERAGE(OFFSET($H$3,0,0,'Données projet'!$E$10+1,1))</f>
        <v>414.29294334114661</v>
      </c>
      <c r="AO81" s="62">
        <f t="shared" si="90"/>
        <v>178.72086185623849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4.5999999999999996</v>
      </c>
      <c r="BD81" s="13">
        <f>IF('Données projet'!$A$88&gt;35,BD80+BC81-BL80,IF(A81&lt;'Données projet'!$A$88,$BA$205^A81,IF(A81='Données projet'!$A$88,'Données projet'!$B$88,BD80+BC81-BL80)))</f>
        <v>182.79999999999998</v>
      </c>
      <c r="BE81" s="14">
        <f>BD81*VLOOKUP('Données projet'!$B$11,Paramètres!$A$1:$I$89,3,0)*VLOOKUP('Données projet'!$B$11,Paramètres!$A$1:$I$89,5,0)</f>
        <v>196.76591999999997</v>
      </c>
      <c r="BF81" s="14">
        <f t="shared" si="91"/>
        <v>49.03274186547759</v>
      </c>
      <c r="BG81" s="22">
        <f t="shared" si="61"/>
        <v>428.09933608237338</v>
      </c>
      <c r="BH81" s="62">
        <f t="shared" si="62"/>
        <v>698.02277411679961</v>
      </c>
      <c r="BI81" s="62">
        <f ca="1">AVERAGE(OFFSET($BH$3,0,0,'Données projet'!$E$11+1,1))-AVERAGE(OFFSET($H$3,0,0,'Données projet'!$E$11+1,1))</f>
        <v>434.74983403680108</v>
      </c>
      <c r="BJ81" s="62">
        <f t="shared" si="92"/>
        <v>186.0840067781198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3.2051282051282044</v>
      </c>
      <c r="BY81" s="13">
        <f>IF('Données projet'!$A$114&gt;35,BY80+BX81-CG80,IF(A81&lt;'Données projet'!$A$114,$BV$205^A81,IF(A81='Données projet'!$A$114,'Données projet'!$B$114,BY80+BX81-CG80)))</f>
        <v>167.94871794871804</v>
      </c>
      <c r="BZ81" s="14">
        <f>BY81*VLOOKUP('Données projet'!$B$12,Paramètres!$A$1:$I$89,3,0)*VLOOKUP('Données projet'!$B$12,Paramètres!$A$1:$I$89,5,0)</f>
        <v>144.10000000000011</v>
      </c>
      <c r="CA81" s="14">
        <f t="shared" si="93"/>
        <v>37.234674213533239</v>
      </c>
      <c r="CB81" s="22">
        <f t="shared" si="64"/>
        <v>315.82455758857049</v>
      </c>
      <c r="CC81" s="62">
        <f t="shared" si="65"/>
        <v>585.74799562299677</v>
      </c>
      <c r="CD81" s="62">
        <f ca="1">AVERAGE(OFFSET($CC$3,0,0,'Données projet'!$E$12+1,1))-AVERAGE(OFFSET($H$3,0,0,'Données projet'!$E$12+1,1))</f>
        <v>288.24759203983547</v>
      </c>
      <c r="CE81" s="62">
        <f t="shared" si="94"/>
        <v>188.86613033148794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3.2051282051282044</v>
      </c>
      <c r="CT81" s="13">
        <f>IF('Données projet'!$A$140&gt;35,CT80+CS81-DB80,IF(A81&lt;'Données projet'!$A$140,$CQ$205^A81,IF(A81='Données projet'!$A$140,'Données projet'!$B$140,CT80+CS81-DB80)))</f>
        <v>167.94871794871804</v>
      </c>
      <c r="CU81" s="18">
        <f>CT81*VLOOKUP('Données projet'!$B$13,Paramètres!$A$1:$I$89,3,0)*VLOOKUP('Données projet'!$B$13,Paramètres!$A$1:$I$89,5,0)</f>
        <v>112.66000000000007</v>
      </c>
      <c r="CV81" s="14">
        <f t="shared" si="95"/>
        <v>29.956827127251987</v>
      </c>
      <c r="CW81" s="22">
        <f t="shared" si="67"/>
        <v>248.39097391329733</v>
      </c>
      <c r="CX81" s="62">
        <f t="shared" si="68"/>
        <v>518.31441194772356</v>
      </c>
      <c r="CY81" s="62">
        <f ca="1">AVERAGE(OFFSET($CX$3,0,0,'Données projet'!$E$13+1,1))-AVERAGE(OFFSET($H$3,0,0,'Données projet'!$E$13+1,1))</f>
        <v>240.40157928925146</v>
      </c>
      <c r="CZ81" s="62">
        <f t="shared" si="96"/>
        <v>160.5013084380258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4.5999999999999996</v>
      </c>
      <c r="DO81" s="13">
        <f>IF('Données projet'!$A$166&gt;35,DO80+DN81-DW80,IF(A81&lt;'Données projet'!$A$166,$DL$205^A81,IF(A81='Données projet'!$A$166,'Données projet'!$B$166,DO80+DN81-DW80)))</f>
        <v>182.79999999999998</v>
      </c>
      <c r="DP81" s="18">
        <f>DO81*VLOOKUP('Données projet'!$B$14,Paramètres!$A$1:$I$89,3,0)*VLOOKUP('Données projet'!$B$14,Paramètres!$A$1:$I$89,5,0)</f>
        <v>176.80415999999997</v>
      </c>
      <c r="DQ81" s="14">
        <f t="shared" si="97"/>
        <v>44.610431038325757</v>
      </c>
      <c r="DR81" s="22">
        <f t="shared" si="70"/>
        <v>385.630412725084</v>
      </c>
      <c r="DS81" s="62">
        <f t="shared" si="71"/>
        <v>655.55385075951017</v>
      </c>
      <c r="DT81" s="62">
        <f ca="1">AVERAGE(OFFSET($DS$3,0,0,'Données projet'!$E$14+1,1))-AVERAGE(OFFSET($H$3,0,0,'Données projet'!$E$14+1,1))</f>
        <v>398.93296311353788</v>
      </c>
      <c r="DU81" s="62">
        <f t="shared" si="98"/>
        <v>173.19148969173838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1.8</v>
      </c>
      <c r="EJ81" s="13">
        <f>IF('Données projet'!$A$192&gt;35,EJ80+EI81-ER80,IF(A81&lt;'Données projet'!$A$192,$EG$205^A81,IF(A81='Données projet'!$A$192,'Données projet'!$B$192,EJ80+EI81-ER80)))</f>
        <v>165.39999999999992</v>
      </c>
      <c r="EK81" s="18">
        <f>EJ81*VLOOKUP('Données projet'!$B$15,Paramètres!$A$1:$I$89,3,0)*VLOOKUP('Données projet'!$B$15,Paramètres!$A$1:$I$89,5,0)</f>
        <v>144.49343999999996</v>
      </c>
      <c r="EL81" s="14">
        <f t="shared" si="99"/>
        <v>37.324489208332842</v>
      </c>
      <c r="EM81" s="22">
        <f t="shared" si="73"/>
        <v>316.66622670451295</v>
      </c>
      <c r="EN81" s="62">
        <f t="shared" si="74"/>
        <v>586.58966473893918</v>
      </c>
      <c r="EO81" s="62">
        <f ca="1">AVERAGE(OFFSET($EN$3,0,0,'Données projet'!$E$15+1,1))-AVERAGE(OFFSET($H$3,0,0,'Données projet'!$E$15+1,1))</f>
        <v>226.37420733783091</v>
      </c>
      <c r="EP81" s="62">
        <f t="shared" si="100"/>
        <v>204.10961748628714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6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9">
        <f t="shared" si="56"/>
        <v>183.33333333333334</v>
      </c>
      <c r="I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6.55</v>
      </c>
      <c r="N82" s="14">
        <f>IF('Données projet'!$A$36&gt;35,N81+M82-V81,IF(A82&lt;'Données projet'!$A$36,$K$205^A82,IF(A82='Données projet'!$A$36,'Données projet'!$B$36,N81+M82-V81)))</f>
        <v>257.45000000000027</v>
      </c>
      <c r="O82" s="14">
        <f>N82*VLOOKUP('Données projet'!$B$9,Paramètres!$A$1:$I$89,3,0)*VLOOKUP('Données projet'!$B$9,Paramètres!$A$1:$I$89,5,0)</f>
        <v>150.60825000000017</v>
      </c>
      <c r="P82" s="14">
        <f t="shared" si="87"/>
        <v>38.716780043387836</v>
      </c>
      <c r="Q82" s="22">
        <f t="shared" si="54"/>
        <v>329.74109399223408</v>
      </c>
      <c r="R82" s="62">
        <f t="shared" si="55"/>
        <v>600.07064137341104</v>
      </c>
      <c r="S82" s="62">
        <f ca="1">AVERAGE(OFFSET($R$3,0,0,'Données projet'!$E$9+1,1))-AVERAGE(OFFSET($H$3,0,0,'Données projet'!$E$9+1,1))</f>
        <v>196.48726929442091</v>
      </c>
      <c r="T82" s="62">
        <f t="shared" si="88"/>
        <v>193.28400454669347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6.6998912464677454E-7</v>
      </c>
      <c r="AC82" s="24">
        <f t="shared" si="57"/>
        <v>6.6998912464677454E-7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4.5999999999999996</v>
      </c>
      <c r="AI82" s="14">
        <f>IF('Données projet'!$A$62&gt;35,AI81+AH82-AQ81,IF(A82&lt;'Données projet'!$A$62,$AF$205^A82,IF(A82='Données projet'!$A$62,'Données projet'!$B$62,AI81+AH82-AQ81)))</f>
        <v>187.39999999999998</v>
      </c>
      <c r="AJ82" s="14">
        <f>AI82*VLOOKUP('Données projet'!$B$10,Paramètres!$A$1:$I$89,3,0)*VLOOKUP('Données projet'!$B$10,Paramètres!$A$1:$I$89,5,0)</f>
        <v>190.02359999999999</v>
      </c>
      <c r="AK82" s="14">
        <f t="shared" si="89"/>
        <v>47.545170438433438</v>
      </c>
      <c r="AL82" s="22">
        <f t="shared" si="58"/>
        <v>413.76560851360483</v>
      </c>
      <c r="AM82" s="62">
        <f t="shared" si="59"/>
        <v>684.09515589478178</v>
      </c>
      <c r="AN82" s="62">
        <f ca="1">AVERAGE(OFFSET($AM$3,0,0,'Données projet'!$E$10+1,1))-AVERAGE(OFFSET($H$3,0,0,'Données projet'!$E$10+1,1))</f>
        <v>414.29294334114661</v>
      </c>
      <c r="AO82" s="62">
        <f t="shared" si="90"/>
        <v>178.72086185623849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4.5999999999999996</v>
      </c>
      <c r="BD82" s="13">
        <f>IF('Données projet'!$A$88&gt;35,BD81+BC82-BL81,IF(A82&lt;'Données projet'!$A$88,$BA$205^A82,IF(A82='Données projet'!$A$88,'Données projet'!$B$88,BD81+BC82-BL81)))</f>
        <v>187.39999999999998</v>
      </c>
      <c r="BE82" s="14">
        <f>BD82*VLOOKUP('Données projet'!$B$11,Paramètres!$A$1:$I$89,3,0)*VLOOKUP('Données projet'!$B$11,Paramètres!$A$1:$I$89,5,0)</f>
        <v>201.71735999999999</v>
      </c>
      <c r="BF82" s="14">
        <f t="shared" si="91"/>
        <v>50.121403455877136</v>
      </c>
      <c r="BG82" s="22">
        <f t="shared" si="61"/>
        <v>438.61917968565263</v>
      </c>
      <c r="BH82" s="62">
        <f t="shared" si="62"/>
        <v>708.94872706682963</v>
      </c>
      <c r="BI82" s="62">
        <f ca="1">AVERAGE(OFFSET($BH$3,0,0,'Données projet'!$E$11+1,1))-AVERAGE(OFFSET($H$3,0,0,'Données projet'!$E$11+1,1))</f>
        <v>434.74983403680108</v>
      </c>
      <c r="BJ82" s="62">
        <f t="shared" si="92"/>
        <v>186.0840067781198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3.2051282051282044</v>
      </c>
      <c r="BY82" s="13">
        <f>IF('Données projet'!$A$114&gt;35,BY81+BX82-CG81,IF(A82&lt;'Données projet'!$A$114,$BV$205^A82,IF(A82='Données projet'!$A$114,'Données projet'!$B$114,BY81+BX82-CG81)))</f>
        <v>171.15384615384625</v>
      </c>
      <c r="BZ82" s="14">
        <f>BY82*VLOOKUP('Données projet'!$B$12,Paramètres!$A$1:$I$89,3,0)*VLOOKUP('Données projet'!$B$12,Paramètres!$A$1:$I$89,5,0)</f>
        <v>146.85000000000011</v>
      </c>
      <c r="CA82" s="14">
        <f t="shared" si="93"/>
        <v>37.86185499287182</v>
      </c>
      <c r="CB82" s="22">
        <f t="shared" si="64"/>
        <v>321.70648077925193</v>
      </c>
      <c r="CC82" s="62">
        <f t="shared" si="65"/>
        <v>592.03602816042894</v>
      </c>
      <c r="CD82" s="62">
        <f ca="1">AVERAGE(OFFSET($CC$3,0,0,'Données projet'!$E$12+1,1))-AVERAGE(OFFSET($H$3,0,0,'Données projet'!$E$12+1,1))</f>
        <v>288.24759203983547</v>
      </c>
      <c r="CE82" s="62">
        <f t="shared" si="94"/>
        <v>188.86613033148794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3.2051282051282044</v>
      </c>
      <c r="CT82" s="13">
        <f>IF('Données projet'!$A$140&gt;35,CT81+CS82-DB81,IF(A82&lt;'Données projet'!$A$140,$CQ$205^A82,IF(A82='Données projet'!$A$140,'Données projet'!$B$140,CT81+CS82-DB81)))</f>
        <v>171.15384615384625</v>
      </c>
      <c r="CU82" s="18">
        <f>CT82*VLOOKUP('Données projet'!$B$13,Paramètres!$A$1:$I$89,3,0)*VLOOKUP('Données projet'!$B$13,Paramètres!$A$1:$I$89,5,0)</f>
        <v>114.81000000000006</v>
      </c>
      <c r="CV82" s="14">
        <f t="shared" si="95"/>
        <v>30.46141986456006</v>
      </c>
      <c r="CW82" s="22">
        <f t="shared" si="67"/>
        <v>253.01438959744223</v>
      </c>
      <c r="CX82" s="62">
        <f t="shared" si="68"/>
        <v>523.34393697861924</v>
      </c>
      <c r="CY82" s="62">
        <f ca="1">AVERAGE(OFFSET($CX$3,0,0,'Données projet'!$E$13+1,1))-AVERAGE(OFFSET($H$3,0,0,'Données projet'!$E$13+1,1))</f>
        <v>240.40157928925146</v>
      </c>
      <c r="CZ82" s="62">
        <f t="shared" si="96"/>
        <v>160.5013084380258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4.5999999999999996</v>
      </c>
      <c r="DO82" s="13">
        <f>IF('Données projet'!$A$166&gt;35,DO81+DN82-DW81,IF(A82&lt;'Données projet'!$A$166,$DL$205^A82,IF(A82='Données projet'!$A$166,'Données projet'!$B$166,DO81+DN82-DW81)))</f>
        <v>187.39999999999998</v>
      </c>
      <c r="DP82" s="18">
        <f>DO82*VLOOKUP('Données projet'!$B$14,Paramètres!$A$1:$I$89,3,0)*VLOOKUP('Données projet'!$B$14,Paramètres!$A$1:$I$89,5,0)</f>
        <v>181.25327999999999</v>
      </c>
      <c r="DQ82" s="14">
        <f t="shared" si="97"/>
        <v>45.600905177745403</v>
      </c>
      <c r="DR82" s="22">
        <f t="shared" si="70"/>
        <v>395.10437251790654</v>
      </c>
      <c r="DS82" s="62">
        <f t="shared" si="71"/>
        <v>665.43391989908355</v>
      </c>
      <c r="DT82" s="62">
        <f ca="1">AVERAGE(OFFSET($DS$3,0,0,'Données projet'!$E$14+1,1))-AVERAGE(OFFSET($H$3,0,0,'Données projet'!$E$14+1,1))</f>
        <v>398.93296311353788</v>
      </c>
      <c r="DU82" s="62">
        <f t="shared" si="98"/>
        <v>173.19148969173838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1.8</v>
      </c>
      <c r="EJ82" s="13">
        <f>IF('Données projet'!$A$192&gt;35,EJ81+EI82-ER81,IF(A82&lt;'Données projet'!$A$192,$EG$205^A82,IF(A82='Données projet'!$A$192,'Données projet'!$B$192,EJ81+EI82-ER81)))</f>
        <v>167.19999999999993</v>
      </c>
      <c r="EK82" s="18">
        <f>EJ82*VLOOKUP('Données projet'!$B$15,Paramètres!$A$1:$I$89,3,0)*VLOOKUP('Données projet'!$B$15,Paramètres!$A$1:$I$89,5,0)</f>
        <v>146.06591999999998</v>
      </c>
      <c r="EL82" s="14">
        <f t="shared" si="99"/>
        <v>37.683173643014399</v>
      </c>
      <c r="EM82" s="22">
        <f t="shared" si="73"/>
        <v>320.02967142824997</v>
      </c>
      <c r="EN82" s="62">
        <f t="shared" si="74"/>
        <v>590.35921880942692</v>
      </c>
      <c r="EO82" s="62">
        <f ca="1">AVERAGE(OFFSET($EN$3,0,0,'Données projet'!$E$15+1,1))-AVERAGE(OFFSET($H$3,0,0,'Données projet'!$E$15+1,1))</f>
        <v>226.37420733783091</v>
      </c>
      <c r="EP82" s="62">
        <f t="shared" si="100"/>
        <v>204.10961748628714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6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9">
        <f t="shared" si="56"/>
        <v>183.33333333333334</v>
      </c>
      <c r="I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264</v>
      </c>
      <c r="L83" s="13">
        <f>VLOOKUP(A83,'Données projet'!$A$35:$I$55,9,0)</f>
        <v>6.55</v>
      </c>
      <c r="M83" s="13">
        <f t="array" ref="M83">INDEX(L:L,MIN(IF(ISNUMBER(L83:L279),ROW(L83:L279),"")))</f>
        <v>6.55</v>
      </c>
      <c r="N83" s="14">
        <f>IF('Données projet'!$A$36&gt;35,N82+M83-V82,IF(A83&lt;'Données projet'!$A$36,$K$205^A83,IF(A83='Données projet'!$A$36,'Données projet'!$B$36,N82+M83-V82)))</f>
        <v>264.00000000000028</v>
      </c>
      <c r="O83" s="14">
        <f>N83*VLOOKUP('Données projet'!$B$9,Paramètres!$A$1:$I$89,3,0)*VLOOKUP('Données projet'!$B$9,Paramètres!$A$1:$I$89,5,0)</f>
        <v>154.44000000000017</v>
      </c>
      <c r="P83" s="14">
        <f t="shared" si="87"/>
        <v>39.585872170955525</v>
      </c>
      <c r="Q83" s="22">
        <f t="shared" si="54"/>
        <v>337.92839403108115</v>
      </c>
      <c r="R83" s="62">
        <f t="shared" si="55"/>
        <v>608.65700566976727</v>
      </c>
      <c r="S83" s="62">
        <f ca="1">AVERAGE(OFFSET($R$3,0,0,'Données projet'!$E$9+1,1))-AVERAGE(OFFSET($H$3,0,0,'Données projet'!$E$9+1,1))</f>
        <v>196.48726929442091</v>
      </c>
      <c r="T83" s="62">
        <f t="shared" si="88"/>
        <v>193.28400454669347</v>
      </c>
      <c r="U83" s="16">
        <f>IF(ISNA(VLOOKUP(A83,'Données projet'!$A$35:$I$55,3,0)),0,VLOOKUP(A83,'Données projet'!$A$35:$I$55,3,0))</f>
        <v>4</v>
      </c>
      <c r="V83" s="16">
        <f>IF(ISNA(VLOOKUP(A83,'Données projet'!$A$35:$I$55,4,0)),0,VLOOKUP(A83,'Données projet'!$A$35:$I$55,4,0))</f>
        <v>264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4.7375385335897337E-7</v>
      </c>
      <c r="AC83" s="24">
        <f t="shared" si="57"/>
        <v>4.7375385335897337E-7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192</v>
      </c>
      <c r="AG83" s="13">
        <f>VLOOKUP(A83,'Données projet'!$A$61:$I$81,9,0)</f>
        <v>4.5999999999999996</v>
      </c>
      <c r="AH83" s="13">
        <f t="array" ref="AH83">INDEX(AG:AG,MIN(IF(ISNUMBER(AG83:AG279),ROW(AG83:AG279),"")))</f>
        <v>4.5999999999999996</v>
      </c>
      <c r="AI83" s="14">
        <f>IF('Données projet'!$A$62&gt;35,AI82+AH83-AQ82,IF(A83&lt;'Données projet'!$A$62,$AF$205^A83,IF(A83='Données projet'!$A$62,'Données projet'!$B$62,AI82+AH83-AQ82)))</f>
        <v>191.99999999999997</v>
      </c>
      <c r="AJ83" s="14">
        <f>AI83*VLOOKUP('Données projet'!$B$10,Paramètres!$A$1:$I$89,3,0)*VLOOKUP('Données projet'!$B$10,Paramètres!$A$1:$I$89,5,0)</f>
        <v>194.68799999999999</v>
      </c>
      <c r="AK83" s="14">
        <f t="shared" si="89"/>
        <v>48.574928228914978</v>
      </c>
      <c r="AL83" s="22">
        <f t="shared" si="58"/>
        <v>423.68293333202695</v>
      </c>
      <c r="AM83" s="62">
        <f t="shared" si="59"/>
        <v>694.41154497071307</v>
      </c>
      <c r="AN83" s="62">
        <f ca="1">AVERAGE(OFFSET($AM$3,0,0,'Données projet'!$E$10+1,1))-AVERAGE(OFFSET($H$3,0,0,'Données projet'!$E$10+1,1))</f>
        <v>414.29294334114661</v>
      </c>
      <c r="AO83" s="62">
        <f t="shared" si="90"/>
        <v>178.72086185623849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192</v>
      </c>
      <c r="BB83" s="13">
        <f>VLOOKUP(A83,'Données projet'!$A$87:$I$107,9,0)</f>
        <v>4.5999999999999996</v>
      </c>
      <c r="BC83" s="13">
        <f t="array" ref="BC83">INDEX(BB:BB,MIN(IF(ISNUMBER(BB83:BB279),ROW(BB83:BB279),"")))</f>
        <v>4.5999999999999996</v>
      </c>
      <c r="BD83" s="13">
        <f>IF('Données projet'!$A$88&gt;35,BD82+BC83-BL82,IF(A83&lt;'Données projet'!$A$88,$BA$205^A83,IF(A83='Données projet'!$A$88,'Données projet'!$B$88,BD82+BC83-BL82)))</f>
        <v>191.99999999999997</v>
      </c>
      <c r="BE83" s="14">
        <f>BD83*VLOOKUP('Données projet'!$B$11,Paramètres!$A$1:$I$89,3,0)*VLOOKUP('Données projet'!$B$11,Paramètres!$A$1:$I$89,5,0)</f>
        <v>206.66879999999995</v>
      </c>
      <c r="BF83" s="14">
        <f t="shared" si="91"/>
        <v>51.206958627992705</v>
      </c>
      <c r="BG83" s="22">
        <f t="shared" si="61"/>
        <v>449.1336129437538</v>
      </c>
      <c r="BH83" s="62">
        <f t="shared" si="62"/>
        <v>719.86222458243992</v>
      </c>
      <c r="BI83" s="62">
        <f ca="1">AVERAGE(OFFSET($BH$3,0,0,'Données projet'!$E$11+1,1))-AVERAGE(OFFSET($H$3,0,0,'Données projet'!$E$11+1,1))</f>
        <v>434.74983403680108</v>
      </c>
      <c r="BJ83" s="62">
        <f t="shared" si="92"/>
        <v>186.0840067781198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174.35897435897436</v>
      </c>
      <c r="BW83" s="13">
        <f>VLOOKUP(A83,'Données projet'!$A$113:$I$133,9,0)</f>
        <v>3.2051282051282044</v>
      </c>
      <c r="BX83" s="13">
        <f t="array" ref="BX83">INDEX(BW:BW,MIN(IF(ISNUMBER(BW83:BW279),ROW(BW83:BW279),"")))</f>
        <v>3.2051282051282044</v>
      </c>
      <c r="BY83" s="13">
        <f>IF('Données projet'!$A$114&gt;35,BY82+BX83-CG82,IF(A83&lt;'Données projet'!$A$114,$BV$205^A83,IF(A83='Données projet'!$A$114,'Données projet'!$B$114,BY82+BX83-CG82)))</f>
        <v>174.35897435897445</v>
      </c>
      <c r="BZ83" s="14">
        <f>BY83*VLOOKUP('Données projet'!$B$12,Paramètres!$A$1:$I$89,3,0)*VLOOKUP('Données projet'!$B$12,Paramètres!$A$1:$I$89,5,0)</f>
        <v>149.60000000000011</v>
      </c>
      <c r="CA83" s="14">
        <f t="shared" si="93"/>
        <v>38.487670063585554</v>
      </c>
      <c r="CB83" s="22">
        <f t="shared" si="64"/>
        <v>327.586025360745</v>
      </c>
      <c r="CC83" s="62">
        <f t="shared" si="65"/>
        <v>598.31463699943106</v>
      </c>
      <c r="CD83" s="62">
        <f ca="1">AVERAGE(OFFSET($CC$3,0,0,'Données projet'!$E$12+1,1))-AVERAGE(OFFSET($H$3,0,0,'Données projet'!$E$12+1,1))</f>
        <v>288.24759203983547</v>
      </c>
      <c r="CE83" s="62">
        <f t="shared" si="94"/>
        <v>188.86613033148794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174.35897435897436</v>
      </c>
      <c r="CR83" s="13">
        <f>VLOOKUP(A83,'Données projet'!$A$139:$I$159,9,0)</f>
        <v>3.2051282051282044</v>
      </c>
      <c r="CS83" s="13">
        <f t="array" ref="CS83">INDEX(CR:CR,MIN(IF(ISNUMBER(CR83:CR279),ROW(CR83:CR279),"")))</f>
        <v>3.2051282051282044</v>
      </c>
      <c r="CT83" s="13">
        <f>IF('Données projet'!$A$140&gt;35,CT82+CS83-DB82,IF(A83&lt;'Données projet'!$A$140,$CQ$205^A83,IF(A83='Données projet'!$A$140,'Données projet'!$B$140,CT82+CS83-DB82)))</f>
        <v>174.35897435897445</v>
      </c>
      <c r="CU83" s="18">
        <f>CT83*VLOOKUP('Données projet'!$B$13,Paramètres!$A$1:$I$89,3,0)*VLOOKUP('Données projet'!$B$13,Paramètres!$A$1:$I$89,5,0)</f>
        <v>116.96000000000005</v>
      </c>
      <c r="CV83" s="14">
        <f t="shared" si="95"/>
        <v>30.964913833098269</v>
      </c>
      <c r="CW83" s="22">
        <f t="shared" si="67"/>
        <v>257.63589159264626</v>
      </c>
      <c r="CX83" s="62">
        <f t="shared" si="68"/>
        <v>528.36450323133238</v>
      </c>
      <c r="CY83" s="62">
        <f ca="1">AVERAGE(OFFSET($CX$3,0,0,'Données projet'!$E$13+1,1))-AVERAGE(OFFSET($H$3,0,0,'Données projet'!$E$13+1,1))</f>
        <v>240.40157928925146</v>
      </c>
      <c r="CZ83" s="62">
        <f t="shared" si="96"/>
        <v>160.5013084380258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192</v>
      </c>
      <c r="DM83" s="13">
        <f>VLOOKUP(A83,'Données projet'!$A$165:$I$185,9,0)</f>
        <v>4.5999999999999996</v>
      </c>
      <c r="DN83" s="13">
        <f t="array" ref="DN83">INDEX(DM:DM,MIN(IF(ISNUMBER(DM83:DM279),ROW(DM83:DM279),"")))</f>
        <v>4.5999999999999996</v>
      </c>
      <c r="DO83" s="13">
        <f>IF('Données projet'!$A$166&gt;35,DO82+DN83-DW82,IF(A83&lt;'Données projet'!$A$166,$DL$205^A83,IF(A83='Données projet'!$A$166,'Données projet'!$B$166,DO82+DN83-DW82)))</f>
        <v>191.99999999999997</v>
      </c>
      <c r="DP83" s="18">
        <f>DO83*VLOOKUP('Données projet'!$B$14,Paramètres!$A$1:$I$89,3,0)*VLOOKUP('Données projet'!$B$14,Paramètres!$A$1:$I$89,5,0)</f>
        <v>185.70239999999998</v>
      </c>
      <c r="DQ83" s="14">
        <f t="shared" si="97"/>
        <v>46.588553069776829</v>
      </c>
      <c r="DR83" s="22">
        <f t="shared" si="70"/>
        <v>404.57340992986127</v>
      </c>
      <c r="DS83" s="62">
        <f t="shared" si="71"/>
        <v>675.30202156854739</v>
      </c>
      <c r="DT83" s="62">
        <f ca="1">AVERAGE(OFFSET($DS$3,0,0,'Données projet'!$E$14+1,1))-AVERAGE(OFFSET($H$3,0,0,'Données projet'!$E$14+1,1))</f>
        <v>398.93296311353788</v>
      </c>
      <c r="DU83" s="62">
        <f t="shared" si="98"/>
        <v>173.19148969173838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169</v>
      </c>
      <c r="EH83" s="13">
        <f>VLOOKUP(A83,'Données projet'!$A$191:$I$211,9,0)</f>
        <v>1.8</v>
      </c>
      <c r="EI83" s="13">
        <f t="array" ref="EI83">INDEX(EH:EH,MIN(IF(ISNUMBER(EH83:EH279),ROW(EH83:EH279),"")))</f>
        <v>1.8</v>
      </c>
      <c r="EJ83" s="13">
        <f>IF('Données projet'!$A$192&gt;35,EJ82+EI83-ER82,IF(A83&lt;'Données projet'!$A$192,$EG$205^A83,IF(A83='Données projet'!$A$192,'Données projet'!$B$192,EJ82+EI83-ER82)))</f>
        <v>168.99999999999994</v>
      </c>
      <c r="EK83" s="18">
        <f>EJ83*VLOOKUP('Données projet'!$B$15,Paramètres!$A$1:$I$89,3,0)*VLOOKUP('Données projet'!$B$15,Paramètres!$A$1:$I$89,5,0)</f>
        <v>147.63839999999996</v>
      </c>
      <c r="EL83" s="14">
        <f t="shared" si="99"/>
        <v>38.041408878951295</v>
      </c>
      <c r="EM83" s="22">
        <f t="shared" si="73"/>
        <v>323.39233379750675</v>
      </c>
      <c r="EN83" s="62">
        <f t="shared" si="74"/>
        <v>594.12094543619287</v>
      </c>
      <c r="EO83" s="62">
        <f ca="1">AVERAGE(OFFSET($EN$3,0,0,'Données projet'!$E$15+1,1))-AVERAGE(OFFSET($H$3,0,0,'Données projet'!$E$15+1,1))</f>
        <v>226.37420733783091</v>
      </c>
      <c r="EP83" s="62">
        <f t="shared" si="100"/>
        <v>204.10961748628714</v>
      </c>
      <c r="EQ83" s="16">
        <f>IF(ISNA(VLOOKUP(A83,'Données projet'!$A$191:$I$211,3,0)),0,VLOOKUP(A83,'Données projet'!$A$191:$I$211,3,0))</f>
        <v>6</v>
      </c>
      <c r="ER83" s="16">
        <f>IF(ISNA(VLOOKUP(A83,'Données projet'!$A$191:$I$211,4,0)),0,VLOOKUP(A83,'Données projet'!$A$191:$I$211,4,0))</f>
        <v>169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6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9">
        <f t="shared" si="56"/>
        <v>183.33333333333334</v>
      </c>
      <c r="I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2.8421709430404007E-13</v>
      </c>
      <c r="O84" s="14">
        <f>N84*VLOOKUP('Données projet'!$B$9,Paramètres!$A$1:$I$89,3,0)*VLOOKUP('Données projet'!$B$9,Paramètres!$A$1:$I$89,5,0)</f>
        <v>1.6626700016786346E-13</v>
      </c>
      <c r="P84" s="14">
        <f t="shared" si="87"/>
        <v>2.3542701735863119E-12</v>
      </c>
      <c r="Q84" s="22">
        <f t="shared" si="54"/>
        <v>4.3899355776218544E-12</v>
      </c>
      <c r="R84" s="62">
        <f t="shared" si="55"/>
        <v>271.12075302350581</v>
      </c>
      <c r="S84" s="62">
        <f ca="1">AVERAGE(OFFSET($R$3,0,0,'Données projet'!$E$9+1,1))-AVERAGE(OFFSET($H$3,0,0,'Données projet'!$E$9+1,1))</f>
        <v>196.48726929442091</v>
      </c>
      <c r="T84" s="62">
        <f t="shared" si="88"/>
        <v>193.28400454669347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3.3499456232338732E-7</v>
      </c>
      <c r="AC84" s="24">
        <f t="shared" si="57"/>
        <v>3.3499456232338732E-7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4.4000000000000004</v>
      </c>
      <c r="AI84" s="14">
        <f>IF('Données projet'!$A$62&gt;35,AI83+AH84-AQ83,IF(A84&lt;'Données projet'!$A$62,$AF$205^A84,IF(A84='Données projet'!$A$62,'Données projet'!$B$62,AI83+AH84-AQ83)))</f>
        <v>196.39999999999998</v>
      </c>
      <c r="AJ84" s="14">
        <f>AI84*VLOOKUP('Données projet'!$B$10,Paramètres!$A$1:$I$89,3,0)*VLOOKUP('Données projet'!$B$10,Paramètres!$A$1:$I$89,5,0)</f>
        <v>199.14959999999999</v>
      </c>
      <c r="AK84" s="14">
        <f t="shared" si="89"/>
        <v>49.557229221549441</v>
      </c>
      <c r="AL84" s="22">
        <f t="shared" si="58"/>
        <v>433.16439422753189</v>
      </c>
      <c r="AM84" s="62">
        <f t="shared" si="59"/>
        <v>704.28514725103332</v>
      </c>
      <c r="AN84" s="62">
        <f ca="1">AVERAGE(OFFSET($AM$3,0,0,'Données projet'!$E$10+1,1))-AVERAGE(OFFSET($H$3,0,0,'Données projet'!$E$10+1,1))</f>
        <v>414.29294334114661</v>
      </c>
      <c r="AO84" s="62">
        <f t="shared" si="90"/>
        <v>178.72086185623849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4.4000000000000004</v>
      </c>
      <c r="BD84" s="13">
        <f>IF('Données projet'!$A$88&gt;35,BD83+BC84-BL83,IF(A84&lt;'Données projet'!$A$88,$BA$205^A84,IF(A84='Données projet'!$A$88,'Données projet'!$B$88,BD83+BC84-BL83)))</f>
        <v>196.39999999999998</v>
      </c>
      <c r="BE84" s="14">
        <f>BD84*VLOOKUP('Données projet'!$B$11,Paramètres!$A$1:$I$89,3,0)*VLOOKUP('Données projet'!$B$11,Paramètres!$A$1:$I$89,5,0)</f>
        <v>211.40495999999996</v>
      </c>
      <c r="BF84" s="14">
        <f t="shared" si="91"/>
        <v>52.242485557708825</v>
      </c>
      <c r="BG84" s="22">
        <f t="shared" si="61"/>
        <v>459.18596767967614</v>
      </c>
      <c r="BH84" s="62">
        <f t="shared" si="62"/>
        <v>730.30672070317758</v>
      </c>
      <c r="BI84" s="62">
        <f ca="1">AVERAGE(OFFSET($BH$3,0,0,'Données projet'!$E$11+1,1))-AVERAGE(OFFSET($H$3,0,0,'Données projet'!$E$11+1,1))</f>
        <v>434.74983403680108</v>
      </c>
      <c r="BJ84" s="62">
        <f t="shared" si="92"/>
        <v>186.0840067781198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2.9487179487179445</v>
      </c>
      <c r="BY84" s="13">
        <f>IF('Données projet'!$A$114&gt;35,BY83+BX84-CG83,IF(A84&lt;'Données projet'!$A$114,$BV$205^A84,IF(A84='Données projet'!$A$114,'Données projet'!$B$114,BY83+BX84-CG83)))</f>
        <v>177.30769230769241</v>
      </c>
      <c r="BZ84" s="14">
        <f>BY84*VLOOKUP('Données projet'!$B$12,Paramètres!$A$1:$I$89,3,0)*VLOOKUP('Données projet'!$B$12,Paramètres!$A$1:$I$89,5,0)</f>
        <v>152.13000000000011</v>
      </c>
      <c r="CA84" s="14">
        <f t="shared" si="93"/>
        <v>39.062237823845585</v>
      </c>
      <c r="CB84" s="22">
        <f t="shared" si="64"/>
        <v>332.99314754319784</v>
      </c>
      <c r="CC84" s="62">
        <f t="shared" si="65"/>
        <v>604.11390056669927</v>
      </c>
      <c r="CD84" s="62">
        <f ca="1">AVERAGE(OFFSET($CC$3,0,0,'Données projet'!$E$12+1,1))-AVERAGE(OFFSET($H$3,0,0,'Données projet'!$E$12+1,1))</f>
        <v>288.24759203983547</v>
      </c>
      <c r="CE84" s="62">
        <f t="shared" si="94"/>
        <v>188.86613033148794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2.9487179487179445</v>
      </c>
      <c r="CT84" s="13">
        <f>IF('Données projet'!$A$140&gt;35,CT83+CS84-DB83,IF(A84&lt;'Données projet'!$A$140,$CQ$205^A84,IF(A84='Données projet'!$A$140,'Données projet'!$B$140,CT83+CS84-DB83)))</f>
        <v>177.30769230769241</v>
      </c>
      <c r="CU84" s="18">
        <f>CT84*VLOOKUP('Données projet'!$B$13,Paramètres!$A$1:$I$89,3,0)*VLOOKUP('Données projet'!$B$13,Paramètres!$A$1:$I$89,5,0)</f>
        <v>118.93800000000007</v>
      </c>
      <c r="CV84" s="14">
        <f t="shared" si="95"/>
        <v>31.427177232216376</v>
      </c>
      <c r="CW84" s="22">
        <f t="shared" si="67"/>
        <v>261.88601701277696</v>
      </c>
      <c r="CX84" s="62">
        <f t="shared" si="68"/>
        <v>533.00677003627834</v>
      </c>
      <c r="CY84" s="62">
        <f ca="1">AVERAGE(OFFSET($CX$3,0,0,'Données projet'!$E$13+1,1))-AVERAGE(OFFSET($H$3,0,0,'Données projet'!$E$13+1,1))</f>
        <v>240.40157928925146</v>
      </c>
      <c r="CZ84" s="62">
        <f t="shared" si="96"/>
        <v>160.5013084380258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4.4000000000000004</v>
      </c>
      <c r="DO84" s="13">
        <f>IF('Données projet'!$A$166&gt;35,DO83+DN84-DW83,IF(A84&lt;'Données projet'!$A$166,$DL$205^A84,IF(A84='Données projet'!$A$166,'Données projet'!$B$166,DO83+DN84-DW83)))</f>
        <v>196.39999999999998</v>
      </c>
      <c r="DP84" s="18">
        <f>DO84*VLOOKUP('Données projet'!$B$14,Paramètres!$A$1:$I$89,3,0)*VLOOKUP('Données projet'!$B$14,Paramètres!$A$1:$I$89,5,0)</f>
        <v>189.95808</v>
      </c>
      <c r="DQ84" s="14">
        <f t="shared" si="97"/>
        <v>47.530684815400313</v>
      </c>
      <c r="DR84" s="22">
        <f t="shared" si="70"/>
        <v>413.62626538682224</v>
      </c>
      <c r="DS84" s="62">
        <f t="shared" si="71"/>
        <v>684.74701841032368</v>
      </c>
      <c r="DT84" s="62">
        <f ca="1">AVERAGE(OFFSET($DS$3,0,0,'Données projet'!$E$14+1,1))-AVERAGE(OFFSET($H$3,0,0,'Données projet'!$E$14+1,1))</f>
        <v>398.93296311353788</v>
      </c>
      <c r="DU84" s="62">
        <f t="shared" si="98"/>
        <v>173.19148969173838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-5.6843418860808015E-14</v>
      </c>
      <c r="EK84" s="18">
        <f>EJ84*VLOOKUP('Données projet'!$B$15,Paramètres!$A$1:$I$89,3,0)*VLOOKUP('Données projet'!$B$15,Paramètres!$A$1:$I$89,5,0)</f>
        <v>-4.9658410716801891E-14</v>
      </c>
      <c r="EL84" s="14" t="e">
        <f t="shared" si="99"/>
        <v>#NUM!</v>
      </c>
      <c r="EM84" s="22" t="e">
        <f t="shared" si="73"/>
        <v>#NUM!</v>
      </c>
      <c r="EN84" s="62" t="e">
        <f t="shared" si="74"/>
        <v>#NUM!</v>
      </c>
      <c r="EO84" s="62">
        <f ca="1">AVERAGE(OFFSET($EN$3,0,0,'Données projet'!$E$15+1,1))-AVERAGE(OFFSET($H$3,0,0,'Données projet'!$E$15+1,1))</f>
        <v>226.37420733783091</v>
      </c>
      <c r="EP84" s="62">
        <f t="shared" si="100"/>
        <v>204.10961748628714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6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9">
        <f t="shared" si="56"/>
        <v>183.33333333333334</v>
      </c>
      <c r="I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2.8421709430404007E-13</v>
      </c>
      <c r="O85" s="14">
        <f>N85*VLOOKUP('Données projet'!$B$9,Paramètres!$A$1:$I$89,3,0)*VLOOKUP('Données projet'!$B$9,Paramètres!$A$1:$I$89,5,0)</f>
        <v>1.6626700016786346E-13</v>
      </c>
      <c r="P85" s="14">
        <f t="shared" si="87"/>
        <v>2.3542701735863119E-12</v>
      </c>
      <c r="Q85" s="22">
        <f t="shared" si="54"/>
        <v>4.3899355776218544E-12</v>
      </c>
      <c r="R85" s="62">
        <f t="shared" si="55"/>
        <v>271.50609163199141</v>
      </c>
      <c r="S85" s="62">
        <f ca="1">AVERAGE(OFFSET($R$3,0,0,'Données projet'!$E$9+1,1))-AVERAGE(OFFSET($H$3,0,0,'Données projet'!$E$9+1,1))</f>
        <v>196.48726929442091</v>
      </c>
      <c r="T85" s="62">
        <f t="shared" si="88"/>
        <v>193.28400454669347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2.3687692667948671E-7</v>
      </c>
      <c r="AC85" s="24">
        <f t="shared" si="57"/>
        <v>2.3687692667948671E-7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4.4000000000000004</v>
      </c>
      <c r="AI85" s="14">
        <f>IF('Données projet'!$A$62&gt;35,AI84+AH85-AQ84,IF(A85&lt;'Données projet'!$A$62,$AF$205^A85,IF(A85='Données projet'!$A$62,'Données projet'!$B$62,AI84+AH85-AQ84)))</f>
        <v>200.79999999999998</v>
      </c>
      <c r="AJ85" s="14">
        <f>AI85*VLOOKUP('Données projet'!$B$10,Paramètres!$A$1:$I$89,3,0)*VLOOKUP('Données projet'!$B$10,Paramètres!$A$1:$I$89,5,0)</f>
        <v>203.61119999999997</v>
      </c>
      <c r="AK85" s="14">
        <f t="shared" si="89"/>
        <v>50.536971740137822</v>
      </c>
      <c r="AL85" s="22">
        <f t="shared" si="58"/>
        <v>442.64139911407329</v>
      </c>
      <c r="AM85" s="62">
        <f t="shared" si="59"/>
        <v>714.14749074606038</v>
      </c>
      <c r="AN85" s="62">
        <f ca="1">AVERAGE(OFFSET($AM$3,0,0,'Données projet'!$E$10+1,1))-AVERAGE(OFFSET($H$3,0,0,'Données projet'!$E$10+1,1))</f>
        <v>414.29294334114661</v>
      </c>
      <c r="AO85" s="62">
        <f t="shared" si="90"/>
        <v>178.72086185623849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4.4000000000000004</v>
      </c>
      <c r="BD85" s="13">
        <f>IF('Données projet'!$A$88&gt;35,BD84+BC85-BL84,IF(A85&lt;'Données projet'!$A$88,$BA$205^A85,IF(A85='Données projet'!$A$88,'Données projet'!$B$88,BD84+BC85-BL84)))</f>
        <v>200.79999999999998</v>
      </c>
      <c r="BE85" s="14">
        <f>BD85*VLOOKUP('Données projet'!$B$11,Paramètres!$A$1:$I$89,3,0)*VLOOKUP('Données projet'!$B$11,Paramètres!$A$1:$I$89,5,0)</f>
        <v>216.14111999999994</v>
      </c>
      <c r="BF85" s="14">
        <f t="shared" si="91"/>
        <v>53.275315382572593</v>
      </c>
      <c r="BG85" s="22">
        <f t="shared" si="61"/>
        <v>469.23362495798051</v>
      </c>
      <c r="BH85" s="62">
        <f t="shared" si="62"/>
        <v>740.73971658996754</v>
      </c>
      <c r="BI85" s="62">
        <f ca="1">AVERAGE(OFFSET($BH$3,0,0,'Données projet'!$E$11+1,1))-AVERAGE(OFFSET($H$3,0,0,'Données projet'!$E$11+1,1))</f>
        <v>434.74983403680108</v>
      </c>
      <c r="BJ85" s="62">
        <f t="shared" si="92"/>
        <v>186.0840067781198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2.9487179487179445</v>
      </c>
      <c r="BY85" s="13">
        <f>IF('Données projet'!$A$114&gt;35,BY84+BX85-CG84,IF(A85&lt;'Données projet'!$A$114,$BV$205^A85,IF(A85='Données projet'!$A$114,'Données projet'!$B$114,BY84+BX85-CG84)))</f>
        <v>180.25641025641036</v>
      </c>
      <c r="BZ85" s="14">
        <f>BY85*VLOOKUP('Données projet'!$B$12,Paramètres!$A$1:$I$89,3,0)*VLOOKUP('Données projet'!$B$12,Paramètres!$A$1:$I$89,5,0)</f>
        <v>154.66000000000011</v>
      </c>
      <c r="CA85" s="14">
        <f t="shared" si="93"/>
        <v>39.635694362258249</v>
      </c>
      <c r="CB85" s="22">
        <f t="shared" si="64"/>
        <v>338.39833434759998</v>
      </c>
      <c r="CC85" s="62">
        <f t="shared" si="65"/>
        <v>609.90442597958702</v>
      </c>
      <c r="CD85" s="62">
        <f ca="1">AVERAGE(OFFSET($CC$3,0,0,'Données projet'!$E$12+1,1))-AVERAGE(OFFSET($H$3,0,0,'Données projet'!$E$12+1,1))</f>
        <v>288.24759203983547</v>
      </c>
      <c r="CE85" s="62">
        <f t="shared" si="94"/>
        <v>188.86613033148794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2.9487179487179445</v>
      </c>
      <c r="CT85" s="13">
        <f>IF('Données projet'!$A$140&gt;35,CT84+CS85-DB84,IF(A85&lt;'Données projet'!$A$140,$CQ$205^A85,IF(A85='Données projet'!$A$140,'Données projet'!$B$140,CT84+CS85-DB84)))</f>
        <v>180.25641025641036</v>
      </c>
      <c r="CU85" s="18">
        <f>CT85*VLOOKUP('Données projet'!$B$13,Paramètres!$A$1:$I$89,3,0)*VLOOKUP('Données projet'!$B$13,Paramètres!$A$1:$I$89,5,0)</f>
        <v>120.91600000000008</v>
      </c>
      <c r="CV85" s="14">
        <f t="shared" si="95"/>
        <v>31.888546607645925</v>
      </c>
      <c r="CW85" s="22">
        <f t="shared" si="67"/>
        <v>266.13458534165011</v>
      </c>
      <c r="CX85" s="62">
        <f t="shared" si="68"/>
        <v>537.64067697363714</v>
      </c>
      <c r="CY85" s="62">
        <f ca="1">AVERAGE(OFFSET($CX$3,0,0,'Données projet'!$E$13+1,1))-AVERAGE(OFFSET($H$3,0,0,'Données projet'!$E$13+1,1))</f>
        <v>240.40157928925146</v>
      </c>
      <c r="CZ85" s="62">
        <f t="shared" si="96"/>
        <v>160.5013084380258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4.4000000000000004</v>
      </c>
      <c r="DO85" s="13">
        <f>IF('Données projet'!$A$166&gt;35,DO84+DN85-DW84,IF(A85&lt;'Données projet'!$A$166,$DL$205^A85,IF(A85='Données projet'!$A$166,'Données projet'!$B$166,DO84+DN85-DW84)))</f>
        <v>200.79999999999998</v>
      </c>
      <c r="DP85" s="18">
        <f>DO85*VLOOKUP('Données projet'!$B$14,Paramètres!$A$1:$I$89,3,0)*VLOOKUP('Données projet'!$B$14,Paramètres!$A$1:$I$89,5,0)</f>
        <v>194.21376000000001</v>
      </c>
      <c r="DQ85" s="14">
        <f t="shared" si="97"/>
        <v>48.470362710689521</v>
      </c>
      <c r="DR85" s="22">
        <f t="shared" si="70"/>
        <v>422.67484705445094</v>
      </c>
      <c r="DS85" s="62">
        <f t="shared" si="71"/>
        <v>694.18093868643791</v>
      </c>
      <c r="DT85" s="62">
        <f ca="1">AVERAGE(OFFSET($DS$3,0,0,'Données projet'!$E$14+1,1))-AVERAGE(OFFSET($H$3,0,0,'Données projet'!$E$14+1,1))</f>
        <v>398.93296311353788</v>
      </c>
      <c r="DU85" s="62">
        <f t="shared" si="98"/>
        <v>173.19148969173838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-5.6843418860808015E-14</v>
      </c>
      <c r="EK85" s="18">
        <f>EJ85*VLOOKUP('Données projet'!$B$15,Paramètres!$A$1:$I$89,3,0)*VLOOKUP('Données projet'!$B$15,Paramètres!$A$1:$I$89,5,0)</f>
        <v>-4.9658410716801891E-14</v>
      </c>
      <c r="EL85" s="14" t="e">
        <f t="shared" si="99"/>
        <v>#NUM!</v>
      </c>
      <c r="EM85" s="22" t="e">
        <f t="shared" si="73"/>
        <v>#NUM!</v>
      </c>
      <c r="EN85" s="62" t="e">
        <f t="shared" si="74"/>
        <v>#NUM!</v>
      </c>
      <c r="EO85" s="62">
        <f ca="1">AVERAGE(OFFSET($EN$3,0,0,'Données projet'!$E$15+1,1))-AVERAGE(OFFSET($H$3,0,0,'Données projet'!$E$15+1,1))</f>
        <v>226.37420733783091</v>
      </c>
      <c r="EP85" s="62">
        <f t="shared" si="100"/>
        <v>204.10961748628714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6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9">
        <f t="shared" si="56"/>
        <v>183.33333333333334</v>
      </c>
      <c r="I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2.8421709430404007E-13</v>
      </c>
      <c r="O86" s="14">
        <f>N86*VLOOKUP('Données projet'!$B$9,Paramètres!$A$1:$I$89,3,0)*VLOOKUP('Données projet'!$B$9,Paramètres!$A$1:$I$89,5,0)</f>
        <v>1.6626700016786346E-13</v>
      </c>
      <c r="P86" s="14">
        <f t="shared" si="87"/>
        <v>2.3542701735863119E-12</v>
      </c>
      <c r="Q86" s="22">
        <f t="shared" si="54"/>
        <v>4.3899355776218544E-12</v>
      </c>
      <c r="R86" s="62">
        <f t="shared" si="55"/>
        <v>271.88474547710786</v>
      </c>
      <c r="S86" s="62">
        <f ca="1">AVERAGE(OFFSET($R$3,0,0,'Données projet'!$E$9+1,1))-AVERAGE(OFFSET($H$3,0,0,'Données projet'!$E$9+1,1))</f>
        <v>196.48726929442091</v>
      </c>
      <c r="T86" s="62">
        <f t="shared" si="88"/>
        <v>193.28400454669347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1.6749728116169369E-7</v>
      </c>
      <c r="AC86" s="24">
        <f t="shared" si="57"/>
        <v>1.6749728116169369E-7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4.4000000000000004</v>
      </c>
      <c r="AI86" s="14">
        <f>IF('Données projet'!$A$62&gt;35,AI85+AH86-AQ85,IF(A86&lt;'Données projet'!$A$62,$AF$205^A86,IF(A86='Données projet'!$A$62,'Données projet'!$B$62,AI85+AH86-AQ85)))</f>
        <v>205.2</v>
      </c>
      <c r="AJ86" s="14">
        <f>AI86*VLOOKUP('Données projet'!$B$10,Paramètres!$A$1:$I$89,3,0)*VLOOKUP('Données projet'!$B$10,Paramètres!$A$1:$I$89,5,0)</f>
        <v>208.0728</v>
      </c>
      <c r="AK86" s="14">
        <f t="shared" si="89"/>
        <v>51.514218302854317</v>
      </c>
      <c r="AL86" s="22">
        <f t="shared" si="58"/>
        <v>452.11405687747123</v>
      </c>
      <c r="AM86" s="62">
        <f t="shared" si="59"/>
        <v>723.99880235457476</v>
      </c>
      <c r="AN86" s="62">
        <f ca="1">AVERAGE(OFFSET($AM$3,0,0,'Données projet'!$E$10+1,1))-AVERAGE(OFFSET($H$3,0,0,'Données projet'!$E$10+1,1))</f>
        <v>414.29294334114661</v>
      </c>
      <c r="AO86" s="62">
        <f t="shared" si="90"/>
        <v>178.72086185623849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4.4000000000000004</v>
      </c>
      <c r="BD86" s="13">
        <f>IF('Données projet'!$A$88&gt;35,BD85+BC86-BL85,IF(A86&lt;'Données projet'!$A$88,$BA$205^A86,IF(A86='Données projet'!$A$88,'Données projet'!$B$88,BD85+BC86-BL85)))</f>
        <v>205.2</v>
      </c>
      <c r="BE86" s="14">
        <f>BD86*VLOOKUP('Données projet'!$B$11,Paramètres!$A$1:$I$89,3,0)*VLOOKUP('Données projet'!$B$11,Paramètres!$A$1:$I$89,5,0)</f>
        <v>220.87727999999998</v>
      </c>
      <c r="BF86" s="14">
        <f t="shared" si="91"/>
        <v>54.305514008302801</v>
      </c>
      <c r="BG86" s="22">
        <f t="shared" si="61"/>
        <v>479.27669956446061</v>
      </c>
      <c r="BH86" s="62">
        <f t="shared" si="62"/>
        <v>751.16144504156409</v>
      </c>
      <c r="BI86" s="62">
        <f ca="1">AVERAGE(OFFSET($BH$3,0,0,'Données projet'!$E$11+1,1))-AVERAGE(OFFSET($H$3,0,0,'Données projet'!$E$11+1,1))</f>
        <v>434.74983403680108</v>
      </c>
      <c r="BJ86" s="62">
        <f t="shared" si="92"/>
        <v>186.0840067781198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2.9487179487179445</v>
      </c>
      <c r="BY86" s="13">
        <f>IF('Données projet'!$A$114&gt;35,BY85+BX86-CG85,IF(A86&lt;'Données projet'!$A$114,$BV$205^A86,IF(A86='Données projet'!$A$114,'Données projet'!$B$114,BY85+BX86-CG85)))</f>
        <v>183.20512820512832</v>
      </c>
      <c r="BZ86" s="14">
        <f>BY86*VLOOKUP('Données projet'!$B$12,Paramètres!$A$1:$I$89,3,0)*VLOOKUP('Données projet'!$B$12,Paramètres!$A$1:$I$89,5,0)</f>
        <v>157.19000000000011</v>
      </c>
      <c r="CA86" s="14">
        <f t="shared" si="93"/>
        <v>40.208059955124632</v>
      </c>
      <c r="CB86" s="22">
        <f t="shared" si="64"/>
        <v>343.80162108850891</v>
      </c>
      <c r="CC86" s="62">
        <f t="shared" si="65"/>
        <v>615.68636656561239</v>
      </c>
      <c r="CD86" s="62">
        <f ca="1">AVERAGE(OFFSET($CC$3,0,0,'Données projet'!$E$12+1,1))-AVERAGE(OFFSET($H$3,0,0,'Données projet'!$E$12+1,1))</f>
        <v>288.24759203983547</v>
      </c>
      <c r="CE86" s="62">
        <f t="shared" si="94"/>
        <v>188.86613033148794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2.9487179487179445</v>
      </c>
      <c r="CT86" s="13">
        <f>IF('Données projet'!$A$140&gt;35,CT85+CS86-DB85,IF(A86&lt;'Données projet'!$A$140,$CQ$205^A86,IF(A86='Données projet'!$A$140,'Données projet'!$B$140,CT85+CS86-DB85)))</f>
        <v>183.20512820512832</v>
      </c>
      <c r="CU86" s="18">
        <f>CT86*VLOOKUP('Données projet'!$B$13,Paramètres!$A$1:$I$89,3,0)*VLOOKUP('Données projet'!$B$13,Paramètres!$A$1:$I$89,5,0)</f>
        <v>122.89400000000008</v>
      </c>
      <c r="CV86" s="14">
        <f t="shared" si="95"/>
        <v>32.349038272505268</v>
      </c>
      <c r="CW86" s="22">
        <f t="shared" si="67"/>
        <v>270.38162499128015</v>
      </c>
      <c r="CX86" s="62">
        <f t="shared" si="68"/>
        <v>542.26637046838368</v>
      </c>
      <c r="CY86" s="62">
        <f ca="1">AVERAGE(OFFSET($CX$3,0,0,'Données projet'!$E$13+1,1))-AVERAGE(OFFSET($H$3,0,0,'Données projet'!$E$13+1,1))</f>
        <v>240.40157928925146</v>
      </c>
      <c r="CZ86" s="62">
        <f t="shared" si="96"/>
        <v>160.5013084380258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4.4000000000000004</v>
      </c>
      <c r="DO86" s="13">
        <f>IF('Données projet'!$A$166&gt;35,DO85+DN86-DW85,IF(A86&lt;'Données projet'!$A$166,$DL$205^A86,IF(A86='Données projet'!$A$166,'Données projet'!$B$166,DO85+DN86-DW85)))</f>
        <v>205.2</v>
      </c>
      <c r="DP86" s="18">
        <f>DO86*VLOOKUP('Données projet'!$B$14,Paramètres!$A$1:$I$89,3,0)*VLOOKUP('Données projet'!$B$14,Paramètres!$A$1:$I$89,5,0)</f>
        <v>198.46943999999999</v>
      </c>
      <c r="DQ86" s="14">
        <f t="shared" si="97"/>
        <v>49.407646717262175</v>
      </c>
      <c r="DR86" s="22">
        <f t="shared" si="70"/>
        <v>431.71925936589827</v>
      </c>
      <c r="DS86" s="62">
        <f t="shared" si="71"/>
        <v>703.6040048430018</v>
      </c>
      <c r="DT86" s="62">
        <f ca="1">AVERAGE(OFFSET($DS$3,0,0,'Données projet'!$E$14+1,1))-AVERAGE(OFFSET($H$3,0,0,'Données projet'!$E$14+1,1))</f>
        <v>398.93296311353788</v>
      </c>
      <c r="DU86" s="62">
        <f t="shared" si="98"/>
        <v>173.19148969173838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-5.6843418860808015E-14</v>
      </c>
      <c r="EK86" s="18">
        <f>EJ86*VLOOKUP('Données projet'!$B$15,Paramètres!$A$1:$I$89,3,0)*VLOOKUP('Données projet'!$B$15,Paramètres!$A$1:$I$89,5,0)</f>
        <v>-4.9658410716801891E-14</v>
      </c>
      <c r="EL86" s="14" t="e">
        <f t="shared" si="99"/>
        <v>#NUM!</v>
      </c>
      <c r="EM86" s="22" t="e">
        <f t="shared" si="73"/>
        <v>#NUM!</v>
      </c>
      <c r="EN86" s="62" t="e">
        <f t="shared" si="74"/>
        <v>#NUM!</v>
      </c>
      <c r="EO86" s="62">
        <f ca="1">AVERAGE(OFFSET($EN$3,0,0,'Données projet'!$E$15+1,1))-AVERAGE(OFFSET($H$3,0,0,'Données projet'!$E$15+1,1))</f>
        <v>226.37420733783091</v>
      </c>
      <c r="EP86" s="62">
        <f t="shared" si="100"/>
        <v>204.10961748628714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6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9">
        <f t="shared" si="56"/>
        <v>183.33333333333334</v>
      </c>
      <c r="I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2.8421709430404007E-13</v>
      </c>
      <c r="O87" s="14">
        <f>N87*VLOOKUP('Données projet'!$B$9,Paramètres!$A$1:$I$89,3,0)*VLOOKUP('Données projet'!$B$9,Paramètres!$A$1:$I$89,5,0)</f>
        <v>1.6626700016786346E-13</v>
      </c>
      <c r="P87" s="14">
        <f t="shared" si="87"/>
        <v>2.3542701735863119E-12</v>
      </c>
      <c r="Q87" s="22">
        <f t="shared" si="54"/>
        <v>4.3899355776218544E-12</v>
      </c>
      <c r="R87" s="62">
        <f t="shared" si="55"/>
        <v>272.25683052455469</v>
      </c>
      <c r="S87" s="62">
        <f ca="1">AVERAGE(OFFSET($R$3,0,0,'Données projet'!$E$9+1,1))-AVERAGE(OFFSET($H$3,0,0,'Données projet'!$E$9+1,1))</f>
        <v>196.48726929442091</v>
      </c>
      <c r="T87" s="62">
        <f t="shared" si="88"/>
        <v>193.28400454669347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1.1843846333974337E-7</v>
      </c>
      <c r="AC87" s="24">
        <f t="shared" si="57"/>
        <v>1.1843846333974337E-7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4.4000000000000004</v>
      </c>
      <c r="AI87" s="14">
        <f>IF('Données projet'!$A$62&gt;35,AI86+AH87-AQ86,IF(A87&lt;'Données projet'!$A$62,$AF$205^A87,IF(A87='Données projet'!$A$62,'Données projet'!$B$62,AI86+AH87-AQ86)))</f>
        <v>209.6</v>
      </c>
      <c r="AJ87" s="14">
        <f>AI87*VLOOKUP('Données projet'!$B$10,Paramètres!$A$1:$I$89,3,0)*VLOOKUP('Données projet'!$B$10,Paramètres!$A$1:$I$89,5,0)</f>
        <v>212.53440000000003</v>
      </c>
      <c r="AK87" s="14">
        <f t="shared" si="89"/>
        <v>52.489028593627587</v>
      </c>
      <c r="AL87" s="22">
        <f t="shared" si="58"/>
        <v>461.58247146723471</v>
      </c>
      <c r="AM87" s="62">
        <f t="shared" si="59"/>
        <v>733.83930199178508</v>
      </c>
      <c r="AN87" s="62">
        <f ca="1">AVERAGE(OFFSET($AM$3,0,0,'Données projet'!$E$10+1,1))-AVERAGE(OFFSET($H$3,0,0,'Données projet'!$E$10+1,1))</f>
        <v>414.29294334114661</v>
      </c>
      <c r="AO87" s="62">
        <f t="shared" si="90"/>
        <v>178.72086185623849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4.4000000000000004</v>
      </c>
      <c r="BD87" s="13">
        <f>IF('Données projet'!$A$88&gt;35,BD86+BC87-BL86,IF(A87&lt;'Données projet'!$A$88,$BA$205^A87,IF(A87='Données projet'!$A$88,'Données projet'!$B$88,BD86+BC87-BL86)))</f>
        <v>209.6</v>
      </c>
      <c r="BE87" s="14">
        <f>BD87*VLOOKUP('Données projet'!$B$11,Paramètres!$A$1:$I$89,3,0)*VLOOKUP('Données projet'!$B$11,Paramètres!$A$1:$I$89,5,0)</f>
        <v>225.61344</v>
      </c>
      <c r="BF87" s="14">
        <f t="shared" si="91"/>
        <v>55.333144352799209</v>
      </c>
      <c r="BG87" s="22">
        <f t="shared" si="61"/>
        <v>489.31530108112526</v>
      </c>
      <c r="BH87" s="62">
        <f t="shared" si="62"/>
        <v>761.57213160567562</v>
      </c>
      <c r="BI87" s="62">
        <f ca="1">AVERAGE(OFFSET($BH$3,0,0,'Données projet'!$E$11+1,1))-AVERAGE(OFFSET($H$3,0,0,'Données projet'!$E$11+1,1))</f>
        <v>434.74983403680108</v>
      </c>
      <c r="BJ87" s="62">
        <f t="shared" si="92"/>
        <v>186.0840067781198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2.9487179487179445</v>
      </c>
      <c r="BY87" s="13">
        <f>IF('Données projet'!$A$114&gt;35,BY86+BX87-CG86,IF(A87&lt;'Données projet'!$A$114,$BV$205^A87,IF(A87='Données projet'!$A$114,'Données projet'!$B$114,BY86+BX87-CG86)))</f>
        <v>186.15384615384627</v>
      </c>
      <c r="BZ87" s="14">
        <f>BY87*VLOOKUP('Données projet'!$B$12,Paramètres!$A$1:$I$89,3,0)*VLOOKUP('Données projet'!$B$12,Paramètres!$A$1:$I$89,5,0)</f>
        <v>159.72000000000011</v>
      </c>
      <c r="CA87" s="14">
        <f t="shared" si="93"/>
        <v>40.779354188615137</v>
      </c>
      <c r="CB87" s="22">
        <f t="shared" si="64"/>
        <v>349.20304187850485</v>
      </c>
      <c r="CC87" s="62">
        <f t="shared" si="65"/>
        <v>621.45987240305521</v>
      </c>
      <c r="CD87" s="62">
        <f ca="1">AVERAGE(OFFSET($CC$3,0,0,'Données projet'!$E$12+1,1))-AVERAGE(OFFSET($H$3,0,0,'Données projet'!$E$12+1,1))</f>
        <v>288.24759203983547</v>
      </c>
      <c r="CE87" s="62">
        <f t="shared" si="94"/>
        <v>188.86613033148794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2.9487179487179445</v>
      </c>
      <c r="CT87" s="13">
        <f>IF('Données projet'!$A$140&gt;35,CT86+CS87-DB86,IF(A87&lt;'Données projet'!$A$140,$CQ$205^A87,IF(A87='Données projet'!$A$140,'Données projet'!$B$140,CT86+CS87-DB86)))</f>
        <v>186.15384615384627</v>
      </c>
      <c r="CU87" s="18">
        <f>CT87*VLOOKUP('Données projet'!$B$13,Paramètres!$A$1:$I$89,3,0)*VLOOKUP('Données projet'!$B$13,Paramètres!$A$1:$I$89,5,0)</f>
        <v>124.87200000000009</v>
      </c>
      <c r="CV87" s="14">
        <f t="shared" si="95"/>
        <v>32.808667984674251</v>
      </c>
      <c r="CW87" s="22">
        <f t="shared" si="67"/>
        <v>274.62716340664116</v>
      </c>
      <c r="CX87" s="62">
        <f t="shared" si="68"/>
        <v>546.88399393119153</v>
      </c>
      <c r="CY87" s="62">
        <f ca="1">AVERAGE(OFFSET($CX$3,0,0,'Données projet'!$E$13+1,1))-AVERAGE(OFFSET($H$3,0,0,'Données projet'!$E$13+1,1))</f>
        <v>240.40157928925146</v>
      </c>
      <c r="CZ87" s="62">
        <f t="shared" si="96"/>
        <v>160.5013084380258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4.4000000000000004</v>
      </c>
      <c r="DO87" s="13">
        <f>IF('Données projet'!$A$166&gt;35,DO86+DN87-DW86,IF(A87&lt;'Données projet'!$A$166,$DL$205^A87,IF(A87='Données projet'!$A$166,'Données projet'!$B$166,DO86+DN87-DW86)))</f>
        <v>209.6</v>
      </c>
      <c r="DP87" s="18">
        <f>DO87*VLOOKUP('Données projet'!$B$14,Paramètres!$A$1:$I$89,3,0)*VLOOKUP('Données projet'!$B$14,Paramètres!$A$1:$I$89,5,0)</f>
        <v>202.72512</v>
      </c>
      <c r="DQ87" s="14">
        <f t="shared" si="97"/>
        <v>50.342594078391187</v>
      </c>
      <c r="DR87" s="22">
        <f t="shared" si="70"/>
        <v>440.75960201986459</v>
      </c>
      <c r="DS87" s="62">
        <f t="shared" si="71"/>
        <v>713.0164325444149</v>
      </c>
      <c r="DT87" s="62">
        <f ca="1">AVERAGE(OFFSET($DS$3,0,0,'Données projet'!$E$14+1,1))-AVERAGE(OFFSET($H$3,0,0,'Données projet'!$E$14+1,1))</f>
        <v>398.93296311353788</v>
      </c>
      <c r="DU87" s="62">
        <f t="shared" si="98"/>
        <v>173.19148969173838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-5.6843418860808015E-14</v>
      </c>
      <c r="EK87" s="18">
        <f>EJ87*VLOOKUP('Données projet'!$B$15,Paramètres!$A$1:$I$89,3,0)*VLOOKUP('Données projet'!$B$15,Paramètres!$A$1:$I$89,5,0)</f>
        <v>-4.9658410716801891E-14</v>
      </c>
      <c r="EL87" s="14" t="e">
        <f t="shared" si="99"/>
        <v>#NUM!</v>
      </c>
      <c r="EM87" s="22" t="e">
        <f t="shared" si="73"/>
        <v>#NUM!</v>
      </c>
      <c r="EN87" s="62" t="e">
        <f t="shared" si="74"/>
        <v>#NUM!</v>
      </c>
      <c r="EO87" s="62">
        <f ca="1">AVERAGE(OFFSET($EN$3,0,0,'Données projet'!$E$15+1,1))-AVERAGE(OFFSET($H$3,0,0,'Données projet'!$E$15+1,1))</f>
        <v>226.37420733783091</v>
      </c>
      <c r="EP87" s="62">
        <f t="shared" si="100"/>
        <v>204.10961748628714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6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9">
        <f t="shared" si="56"/>
        <v>183.33333333333334</v>
      </c>
      <c r="I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2.8421709430404007E-13</v>
      </c>
      <c r="O88" s="14">
        <f>N88*VLOOKUP('Données projet'!$B$9,Paramètres!$A$1:$I$89,3,0)*VLOOKUP('Données projet'!$B$9,Paramètres!$A$1:$I$89,5,0)</f>
        <v>1.6626700016786346E-13</v>
      </c>
      <c r="P88" s="14">
        <f t="shared" si="87"/>
        <v>2.3542701735863119E-12</v>
      </c>
      <c r="Q88" s="22">
        <f t="shared" si="54"/>
        <v>4.3899355776218544E-12</v>
      </c>
      <c r="R88" s="62">
        <f t="shared" si="55"/>
        <v>272.62246072828589</v>
      </c>
      <c r="S88" s="62">
        <f ca="1">AVERAGE(OFFSET($R$3,0,0,'Données projet'!$E$9+1,1))-AVERAGE(OFFSET($H$3,0,0,'Données projet'!$E$9+1,1))</f>
        <v>196.48726929442091</v>
      </c>
      <c r="T88" s="62">
        <f t="shared" si="88"/>
        <v>193.28400454669347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8.3748640580846857E-8</v>
      </c>
      <c r="AC88" s="24">
        <f t="shared" si="57"/>
        <v>8.3748640580846857E-8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214</v>
      </c>
      <c r="AG88" s="13">
        <f>VLOOKUP(A88,'Données projet'!$A$61:$I$81,9,0)</f>
        <v>4.4000000000000004</v>
      </c>
      <c r="AH88" s="13">
        <f t="array" ref="AH88">INDEX(AG:AG,MIN(IF(ISNUMBER(AG88:AG284),ROW(AG88:AG284),"")))</f>
        <v>4.4000000000000004</v>
      </c>
      <c r="AI88" s="14">
        <f>IF('Données projet'!$A$62&gt;35,AI87+AH88-AQ87,IF(A88&lt;'Données projet'!$A$62,$AF$205^A88,IF(A88='Données projet'!$A$62,'Données projet'!$B$62,AI87+AH88-AQ87)))</f>
        <v>214</v>
      </c>
      <c r="AJ88" s="14">
        <f>AI88*VLOOKUP('Données projet'!$B$10,Paramètres!$A$1:$I$89,3,0)*VLOOKUP('Données projet'!$B$10,Paramètres!$A$1:$I$89,5,0)</f>
        <v>216.99600000000001</v>
      </c>
      <c r="AK88" s="14">
        <f t="shared" si="89"/>
        <v>53.461459647386917</v>
      </c>
      <c r="AL88" s="22">
        <f t="shared" si="58"/>
        <v>471.04674221919896</v>
      </c>
      <c r="AM88" s="62">
        <f t="shared" si="59"/>
        <v>743.66920294748047</v>
      </c>
      <c r="AN88" s="62">
        <f ca="1">AVERAGE(OFFSET($AM$3,0,0,'Données projet'!$E$10+1,1))-AVERAGE(OFFSET($H$3,0,0,'Données projet'!$E$10+1,1))</f>
        <v>414.29294334114661</v>
      </c>
      <c r="AO88" s="62">
        <f t="shared" si="90"/>
        <v>178.72086185623849</v>
      </c>
      <c r="AP88" s="16">
        <f>IF(ISNA(VLOOKUP(A88,'Données projet'!$A$61:$I$81,3,0)),0,VLOOKUP(A88,'Données projet'!$A$61:$I$81,3,0))</f>
        <v>6</v>
      </c>
      <c r="AQ88" s="16">
        <f>IF(ISNA(VLOOKUP(A88,'Données projet'!$A$61:$I$81,4,0)),0,VLOOKUP(A88,'Données projet'!$A$61:$I$81,4,0))</f>
        <v>28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214</v>
      </c>
      <c r="BB88" s="13">
        <f>VLOOKUP(A88,'Données projet'!$A$87:$I$107,9,0)</f>
        <v>4.4000000000000004</v>
      </c>
      <c r="BC88" s="13">
        <f t="array" ref="BC88">INDEX(BB:BB,MIN(IF(ISNUMBER(BB88:BB284),ROW(BB88:BB284),"")))</f>
        <v>4.4000000000000004</v>
      </c>
      <c r="BD88" s="13">
        <f>IF('Données projet'!$A$88&gt;35,BD87+BC88-BL87,IF(A88&lt;'Données projet'!$A$88,$BA$205^A88,IF(A88='Données projet'!$A$88,'Données projet'!$B$88,BD87+BC88-BL87)))</f>
        <v>214</v>
      </c>
      <c r="BE88" s="14">
        <f>BD88*VLOOKUP('Données projet'!$B$11,Paramètres!$A$1:$I$89,3,0)*VLOOKUP('Données projet'!$B$11,Paramètres!$A$1:$I$89,5,0)</f>
        <v>230.34960000000001</v>
      </c>
      <c r="BF88" s="14">
        <f t="shared" si="91"/>
        <v>56.35826654142631</v>
      </c>
      <c r="BG88" s="22">
        <f t="shared" si="61"/>
        <v>499.34953422631753</v>
      </c>
      <c r="BH88" s="62">
        <f t="shared" si="62"/>
        <v>771.97199495459904</v>
      </c>
      <c r="BI88" s="62">
        <f ca="1">AVERAGE(OFFSET($BH$3,0,0,'Données projet'!$E$11+1,1))-AVERAGE(OFFSET($H$3,0,0,'Données projet'!$E$11+1,1))</f>
        <v>434.74983403680108</v>
      </c>
      <c r="BJ88" s="62">
        <f t="shared" si="92"/>
        <v>186.0840067781198</v>
      </c>
      <c r="BK88" s="16">
        <f>IF(ISNA(VLOOKUP(A88,'Données projet'!$A$87:$I$107,3,0)),0,VLOOKUP(A88,'Données projet'!$A$87:$I$107,3,0))</f>
        <v>6</v>
      </c>
      <c r="BL88" s="16">
        <f>IF(ISNA(VLOOKUP(A88,'Données projet'!$A$87:$I$107,4,0)),0,VLOOKUP(A88,'Données projet'!$A$87:$I$107,4,0))</f>
        <v>28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189.10256410256409</v>
      </c>
      <c r="BW88" s="13">
        <f>VLOOKUP(A88,'Données projet'!$A$113:$I$133,9,0)</f>
        <v>2.9487179487179445</v>
      </c>
      <c r="BX88" s="13">
        <f t="array" ref="BX88">INDEX(BW:BW,MIN(IF(ISNUMBER(BW88:BW284),ROW(BW88:BW284),"")))</f>
        <v>2.9487179487179445</v>
      </c>
      <c r="BY88" s="13">
        <f>IF('Données projet'!$A$114&gt;35,BY87+BX88-CG87,IF(A88&lt;'Données projet'!$A$114,$BV$205^A88,IF(A88='Données projet'!$A$114,'Données projet'!$B$114,BY87+BX88-CG87)))</f>
        <v>189.10256410256423</v>
      </c>
      <c r="BZ88" s="14">
        <f>BY88*VLOOKUP('Données projet'!$B$12,Paramètres!$A$1:$I$89,3,0)*VLOOKUP('Données projet'!$B$12,Paramètres!$A$1:$I$89,5,0)</f>
        <v>162.25000000000011</v>
      </c>
      <c r="CA88" s="14">
        <f t="shared" si="93"/>
        <v>41.3495959928117</v>
      </c>
      <c r="CB88" s="22">
        <f t="shared" si="64"/>
        <v>354.6026296874806</v>
      </c>
      <c r="CC88" s="62">
        <f t="shared" si="65"/>
        <v>627.22509041576211</v>
      </c>
      <c r="CD88" s="62">
        <f ca="1">AVERAGE(OFFSET($CC$3,0,0,'Données projet'!$E$12+1,1))-AVERAGE(OFFSET($H$3,0,0,'Données projet'!$E$12+1,1))</f>
        <v>288.24759203983547</v>
      </c>
      <c r="CE88" s="62">
        <f t="shared" si="94"/>
        <v>188.86613033148794</v>
      </c>
      <c r="CF88" s="16">
        <f>IF(ISNA(VLOOKUP(A88,'Données projet'!$A$113:$I$133,3,0)),0,VLOOKUP(A88,'Données projet'!$A$113:$I$133,3,0))</f>
        <v>7</v>
      </c>
      <c r="CG88" s="16">
        <f>IF(ISNA(VLOOKUP(A88,'Données projet'!$A$113:$I$133,4,0)),0,VLOOKUP(A88,'Données projet'!$A$113:$I$133,4,0))</f>
        <v>17.948717948717949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189.10256410256409</v>
      </c>
      <c r="CR88" s="13">
        <f>VLOOKUP(A88,'Données projet'!$A$139:$I$159,9,0)</f>
        <v>2.9487179487179445</v>
      </c>
      <c r="CS88" s="13">
        <f t="array" ref="CS88">INDEX(CR:CR,MIN(IF(ISNUMBER(CR88:CR284),ROW(CR88:CR284),"")))</f>
        <v>2.9487179487179445</v>
      </c>
      <c r="CT88" s="13">
        <f>IF('Données projet'!$A$140&gt;35,CT87+CS88-DB87,IF(A88&lt;'Données projet'!$A$140,$CQ$205^A88,IF(A88='Données projet'!$A$140,'Données projet'!$B$140,CT87+CS88-DB87)))</f>
        <v>189.10256410256423</v>
      </c>
      <c r="CU88" s="18">
        <f>CT88*VLOOKUP('Données projet'!$B$13,Paramètres!$A$1:$I$89,3,0)*VLOOKUP('Données projet'!$B$13,Paramètres!$A$1:$I$89,5,0)</f>
        <v>126.85000000000008</v>
      </c>
      <c r="CV88" s="14">
        <f t="shared" si="95"/>
        <v>33.267450974182424</v>
      </c>
      <c r="CW88" s="22">
        <f t="shared" si="67"/>
        <v>278.87122711336787</v>
      </c>
      <c r="CX88" s="62">
        <f t="shared" si="68"/>
        <v>551.49368784164938</v>
      </c>
      <c r="CY88" s="62">
        <f ca="1">AVERAGE(OFFSET($CX$3,0,0,'Données projet'!$E$13+1,1))-AVERAGE(OFFSET($H$3,0,0,'Données projet'!$E$13+1,1))</f>
        <v>240.40157928925146</v>
      </c>
      <c r="CZ88" s="62">
        <f t="shared" si="96"/>
        <v>160.5013084380258</v>
      </c>
      <c r="DA88" s="16">
        <f>IF(ISNA(VLOOKUP(A88,'Données projet'!$A$139:$I$159,3,0)),0,VLOOKUP(A88,'Données projet'!$A$139:$I$159,3,0))</f>
        <v>7</v>
      </c>
      <c r="DB88" s="16">
        <f>IF(ISNA(VLOOKUP(A88,'Données projet'!$A$139:$I$159,4,0)),0,VLOOKUP(A88,'Données projet'!$A$139:$I$159,4,0))</f>
        <v>17.948717948717949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>
        <f>VLOOKUP(A88,'Données projet'!$A$165:$I$185,2,0)</f>
        <v>214</v>
      </c>
      <c r="DM88" s="13">
        <f>VLOOKUP(A88,'Données projet'!$A$165:$I$185,9,0)</f>
        <v>4.4000000000000004</v>
      </c>
      <c r="DN88" s="13">
        <f t="array" ref="DN88">INDEX(DM:DM,MIN(IF(ISNUMBER(DM88:DM284),ROW(DM88:DM284),"")))</f>
        <v>4.4000000000000004</v>
      </c>
      <c r="DO88" s="13">
        <f>IF('Données projet'!$A$166&gt;35,DO87+DN88-DW87,IF(A88&lt;'Données projet'!$A$166,$DL$205^A88,IF(A88='Données projet'!$A$166,'Données projet'!$B$166,DO87+DN88-DW87)))</f>
        <v>214</v>
      </c>
      <c r="DP88" s="18">
        <f>DO88*VLOOKUP('Données projet'!$B$14,Paramètres!$A$1:$I$89,3,0)*VLOOKUP('Données projet'!$B$14,Paramètres!$A$1:$I$89,5,0)</f>
        <v>206.98080000000002</v>
      </c>
      <c r="DQ88" s="14">
        <f t="shared" si="97"/>
        <v>51.275259496675787</v>
      </c>
      <c r="DR88" s="22">
        <f t="shared" si="70"/>
        <v>449.79597029004367</v>
      </c>
      <c r="DS88" s="62">
        <f t="shared" si="71"/>
        <v>722.41843101832524</v>
      </c>
      <c r="DT88" s="62">
        <f ca="1">AVERAGE(OFFSET($DS$3,0,0,'Données projet'!$E$14+1,1))-AVERAGE(OFFSET($H$3,0,0,'Données projet'!$E$14+1,1))</f>
        <v>398.93296311353788</v>
      </c>
      <c r="DU88" s="62">
        <f t="shared" si="98"/>
        <v>173.19148969173838</v>
      </c>
      <c r="DV88" s="16">
        <f>IF(ISNA(VLOOKUP(A88,'Données projet'!$A$165:$I$185,3,0)),0,VLOOKUP(A88,'Données projet'!$A$165:$I$185,3,0))</f>
        <v>6</v>
      </c>
      <c r="DW88" s="16">
        <f>IF(ISNA(VLOOKUP(A88,'Données projet'!$A$165:$I$185,4,0)),0,VLOOKUP(A88,'Données projet'!$A$165:$I$185,4,0))</f>
        <v>28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-5.6843418860808015E-14</v>
      </c>
      <c r="EK88" s="18">
        <f>EJ88*VLOOKUP('Données projet'!$B$15,Paramètres!$A$1:$I$89,3,0)*VLOOKUP('Données projet'!$B$15,Paramètres!$A$1:$I$89,5,0)</f>
        <v>-4.9658410716801891E-14</v>
      </c>
      <c r="EL88" s="14" t="e">
        <f t="shared" si="99"/>
        <v>#NUM!</v>
      </c>
      <c r="EM88" s="22" t="e">
        <f t="shared" si="73"/>
        <v>#NUM!</v>
      </c>
      <c r="EN88" s="62" t="e">
        <f t="shared" si="74"/>
        <v>#NUM!</v>
      </c>
      <c r="EO88" s="62">
        <f ca="1">AVERAGE(OFFSET($EN$3,0,0,'Données projet'!$E$15+1,1))-AVERAGE(OFFSET($H$3,0,0,'Données projet'!$E$15+1,1))</f>
        <v>226.37420733783091</v>
      </c>
      <c r="EP88" s="62">
        <f t="shared" si="100"/>
        <v>204.10961748628714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6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9">
        <f t="shared" si="56"/>
        <v>183.33333333333334</v>
      </c>
      <c r="I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2.8421709430404007E-13</v>
      </c>
      <c r="O89" s="14">
        <f>N89*VLOOKUP('Données projet'!$B$9,Paramètres!$A$1:$I$89,3,0)*VLOOKUP('Données projet'!$B$9,Paramètres!$A$1:$I$89,5,0)</f>
        <v>1.6626700016786346E-13</v>
      </c>
      <c r="P89" s="14">
        <f t="shared" si="87"/>
        <v>2.3542701735863119E-12</v>
      </c>
      <c r="Q89" s="22">
        <f t="shared" si="54"/>
        <v>4.3899355776218544E-12</v>
      </c>
      <c r="R89" s="62">
        <f t="shared" si="55"/>
        <v>272.98174806540908</v>
      </c>
      <c r="S89" s="62">
        <f ca="1">AVERAGE(OFFSET($R$3,0,0,'Données projet'!$E$9+1,1))-AVERAGE(OFFSET($H$3,0,0,'Données projet'!$E$9+1,1))</f>
        <v>196.48726929442091</v>
      </c>
      <c r="T89" s="62">
        <f t="shared" si="88"/>
        <v>193.28400454669347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5.9219231669871698E-8</v>
      </c>
      <c r="AC89" s="24">
        <f t="shared" si="57"/>
        <v>5.9219231669871698E-8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4.2</v>
      </c>
      <c r="AI89" s="14">
        <f>IF('Données projet'!$A$62&gt;35,AI88+AH89-AQ88,IF(A89&lt;'Données projet'!$A$62,$AF$205^A89,IF(A89='Données projet'!$A$62,'Données projet'!$B$62,AI88+AH89-AQ88)))</f>
        <v>190.2</v>
      </c>
      <c r="AJ89" s="14">
        <f>AI89*VLOOKUP('Données projet'!$B$10,Paramètres!$A$1:$I$89,3,0)*VLOOKUP('Données projet'!$B$10,Paramètres!$A$1:$I$89,5,0)</f>
        <v>192.86279999999999</v>
      </c>
      <c r="AK89" s="14">
        <f t="shared" si="89"/>
        <v>48.172325347436733</v>
      </c>
      <c r="AL89" s="22">
        <f t="shared" si="58"/>
        <v>419.80284331345229</v>
      </c>
      <c r="AM89" s="62">
        <f t="shared" si="59"/>
        <v>692.78459137885693</v>
      </c>
      <c r="AN89" s="62">
        <f ca="1">AVERAGE(OFFSET($AM$3,0,0,'Données projet'!$E$10+1,1))-AVERAGE(OFFSET($H$3,0,0,'Données projet'!$E$10+1,1))</f>
        <v>414.29294334114661</v>
      </c>
      <c r="AO89" s="62">
        <f t="shared" si="90"/>
        <v>178.72086185623849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4.2</v>
      </c>
      <c r="BD89" s="13">
        <f>IF('Données projet'!$A$88&gt;35,BD88+BC89-BL88,IF(A89&lt;'Données projet'!$A$88,$BA$205^A89,IF(A89='Données projet'!$A$88,'Données projet'!$B$88,BD88+BC89-BL88)))</f>
        <v>190.2</v>
      </c>
      <c r="BE89" s="14">
        <f>BD89*VLOOKUP('Données projet'!$B$11,Paramètres!$A$1:$I$89,3,0)*VLOOKUP('Données projet'!$B$11,Paramètres!$A$1:$I$89,5,0)</f>
        <v>204.73127999999997</v>
      </c>
      <c r="BF89" s="14">
        <f t="shared" si="91"/>
        <v>50.782540726679308</v>
      </c>
      <c r="BG89" s="22">
        <f t="shared" si="61"/>
        <v>445.01990443229971</v>
      </c>
      <c r="BH89" s="62">
        <f t="shared" si="62"/>
        <v>718.00165249770441</v>
      </c>
      <c r="BI89" s="62">
        <f ca="1">AVERAGE(OFFSET($BH$3,0,0,'Données projet'!$E$11+1,1))-AVERAGE(OFFSET($H$3,0,0,'Données projet'!$E$11+1,1))</f>
        <v>434.74983403680108</v>
      </c>
      <c r="BJ89" s="62">
        <f t="shared" si="92"/>
        <v>186.0840067781198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2.8205128205128234</v>
      </c>
      <c r="BY89" s="13">
        <f>IF('Données projet'!$A$114&gt;35,BY88+BX89-CG88,IF(A89&lt;'Données projet'!$A$114,$BV$205^A89,IF(A89='Données projet'!$A$114,'Données projet'!$B$114,BY88+BX89-CG88)))</f>
        <v>173.97435897435909</v>
      </c>
      <c r="BZ89" s="14">
        <f>BY89*VLOOKUP('Données projet'!$B$12,Paramètres!$A$1:$I$89,3,0)*VLOOKUP('Données projet'!$B$12,Paramètres!$A$1:$I$89,5,0)</f>
        <v>149.2700000000001</v>
      </c>
      <c r="CA89" s="14">
        <f t="shared" si="93"/>
        <v>38.412643427896825</v>
      </c>
      <c r="CB89" s="22">
        <f t="shared" si="64"/>
        <v>326.88060397025373</v>
      </c>
      <c r="CC89" s="62">
        <f t="shared" si="65"/>
        <v>599.86235203565843</v>
      </c>
      <c r="CD89" s="62">
        <f ca="1">AVERAGE(OFFSET($CC$3,0,0,'Données projet'!$E$12+1,1))-AVERAGE(OFFSET($H$3,0,0,'Données projet'!$E$12+1,1))</f>
        <v>288.24759203983547</v>
      </c>
      <c r="CE89" s="62">
        <f t="shared" si="94"/>
        <v>188.86613033148794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2.8205128205128234</v>
      </c>
      <c r="CT89" s="13">
        <f>IF('Données projet'!$A$140&gt;35,CT88+CS89-DB88,IF(A89&lt;'Données projet'!$A$140,$CQ$205^A89,IF(A89='Données projet'!$A$140,'Données projet'!$B$140,CT88+CS89-DB88)))</f>
        <v>173.97435897435909</v>
      </c>
      <c r="CU89" s="18">
        <f>CT89*VLOOKUP('Données projet'!$B$13,Paramètres!$A$1:$I$89,3,0)*VLOOKUP('Données projet'!$B$13,Paramètres!$A$1:$I$89,5,0)</f>
        <v>116.70200000000008</v>
      </c>
      <c r="CV89" s="14">
        <f t="shared" si="95"/>
        <v>30.904551818316662</v>
      </c>
      <c r="CW89" s="22">
        <f t="shared" si="67"/>
        <v>257.0814110835683</v>
      </c>
      <c r="CX89" s="62">
        <f t="shared" si="68"/>
        <v>530.063159148973</v>
      </c>
      <c r="CY89" s="62">
        <f ca="1">AVERAGE(OFFSET($CX$3,0,0,'Données projet'!$E$13+1,1))-AVERAGE(OFFSET($H$3,0,0,'Données projet'!$E$13+1,1))</f>
        <v>240.40157928925146</v>
      </c>
      <c r="CZ89" s="62">
        <f t="shared" si="96"/>
        <v>160.5013084380258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4.2</v>
      </c>
      <c r="DO89" s="13">
        <f>IF('Données projet'!$A$166&gt;35,DO88+DN89-DW88,IF(A89&lt;'Données projet'!$A$166,$DL$205^A89,IF(A89='Données projet'!$A$166,'Données projet'!$B$166,DO88+DN89-DW88)))</f>
        <v>190.2</v>
      </c>
      <c r="DP89" s="18">
        <f>DO89*VLOOKUP('Données projet'!$B$14,Paramètres!$A$1:$I$89,3,0)*VLOOKUP('Données projet'!$B$14,Paramètres!$A$1:$I$89,5,0)</f>
        <v>183.96143999999998</v>
      </c>
      <c r="DQ89" s="14">
        <f t="shared" si="97"/>
        <v>46.202413833061925</v>
      </c>
      <c r="DR89" s="22">
        <f t="shared" si="70"/>
        <v>400.86871209258283</v>
      </c>
      <c r="DS89" s="62">
        <f t="shared" si="71"/>
        <v>673.85046015798753</v>
      </c>
      <c r="DT89" s="62">
        <f ca="1">AVERAGE(OFFSET($DS$3,0,0,'Données projet'!$E$14+1,1))-AVERAGE(OFFSET($H$3,0,0,'Données projet'!$E$14+1,1))</f>
        <v>398.93296311353788</v>
      </c>
      <c r="DU89" s="62">
        <f t="shared" si="98"/>
        <v>173.19148969173838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-5.6843418860808015E-14</v>
      </c>
      <c r="EK89" s="18">
        <f>EJ89*VLOOKUP('Données projet'!$B$15,Paramètres!$A$1:$I$89,3,0)*VLOOKUP('Données projet'!$B$15,Paramètres!$A$1:$I$89,5,0)</f>
        <v>-4.9658410716801891E-14</v>
      </c>
      <c r="EL89" s="14" t="e">
        <f t="shared" si="99"/>
        <v>#NUM!</v>
      </c>
      <c r="EM89" s="22" t="e">
        <f t="shared" si="73"/>
        <v>#NUM!</v>
      </c>
      <c r="EN89" s="62" t="e">
        <f t="shared" si="74"/>
        <v>#NUM!</v>
      </c>
      <c r="EO89" s="62">
        <f ca="1">AVERAGE(OFFSET($EN$3,0,0,'Données projet'!$E$15+1,1))-AVERAGE(OFFSET($H$3,0,0,'Données projet'!$E$15+1,1))</f>
        <v>226.37420733783091</v>
      </c>
      <c r="EP89" s="62">
        <f t="shared" si="100"/>
        <v>204.10961748628714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6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9">
        <f t="shared" si="56"/>
        <v>183.33333333333334</v>
      </c>
      <c r="I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2.8421709430404007E-13</v>
      </c>
      <c r="O90" s="14">
        <f>N90*VLOOKUP('Données projet'!$B$9,Paramètres!$A$1:$I$89,3,0)*VLOOKUP('Données projet'!$B$9,Paramètres!$A$1:$I$89,5,0)</f>
        <v>1.6626700016786346E-13</v>
      </c>
      <c r="P90" s="14">
        <f t="shared" si="87"/>
        <v>2.3542701735863119E-12</v>
      </c>
      <c r="Q90" s="22">
        <f t="shared" si="54"/>
        <v>4.3899355776218544E-12</v>
      </c>
      <c r="R90" s="62">
        <f t="shared" si="55"/>
        <v>273.33480257047921</v>
      </c>
      <c r="S90" s="62">
        <f ca="1">AVERAGE(OFFSET($R$3,0,0,'Données projet'!$E$9+1,1))-AVERAGE(OFFSET($H$3,0,0,'Données projet'!$E$9+1,1))</f>
        <v>196.48726929442091</v>
      </c>
      <c r="T90" s="62">
        <f t="shared" si="88"/>
        <v>193.28400454669347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4.1874320290423435E-8</v>
      </c>
      <c r="AC90" s="24">
        <f t="shared" si="57"/>
        <v>4.1874320290423435E-8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4.2</v>
      </c>
      <c r="AI90" s="14">
        <f>IF('Données projet'!$A$62&gt;35,AI89+AH90-AQ89,IF(A90&lt;'Données projet'!$A$62,$AF$205^A90,IF(A90='Données projet'!$A$62,'Données projet'!$B$62,AI89+AH90-AQ89)))</f>
        <v>194.39999999999998</v>
      </c>
      <c r="AJ90" s="14">
        <f>AI90*VLOOKUP('Données projet'!$B$10,Paramètres!$A$1:$I$89,3,0)*VLOOKUP('Données projet'!$B$10,Paramètres!$A$1:$I$89,5,0)</f>
        <v>197.12159999999997</v>
      </c>
      <c r="AK90" s="14">
        <f t="shared" si="89"/>
        <v>49.111049803800405</v>
      </c>
      <c r="AL90" s="22">
        <f t="shared" si="58"/>
        <v>428.85519840828562</v>
      </c>
      <c r="AM90" s="62">
        <f t="shared" si="59"/>
        <v>702.19000097876051</v>
      </c>
      <c r="AN90" s="62">
        <f ca="1">AVERAGE(OFFSET($AM$3,0,0,'Données projet'!$E$10+1,1))-AVERAGE(OFFSET($H$3,0,0,'Données projet'!$E$10+1,1))</f>
        <v>414.29294334114661</v>
      </c>
      <c r="AO90" s="62">
        <f t="shared" si="90"/>
        <v>178.72086185623849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4.2</v>
      </c>
      <c r="BD90" s="13">
        <f>IF('Données projet'!$A$88&gt;35,BD89+BC90-BL89,IF(A90&lt;'Données projet'!$A$88,$BA$205^A90,IF(A90='Données projet'!$A$88,'Données projet'!$B$88,BD89+BC90-BL89)))</f>
        <v>194.39999999999998</v>
      </c>
      <c r="BE90" s="14">
        <f>BD90*VLOOKUP('Données projet'!$B$11,Paramètres!$A$1:$I$89,3,0)*VLOOKUP('Données projet'!$B$11,Paramètres!$A$1:$I$89,5,0)</f>
        <v>209.25215999999995</v>
      </c>
      <c r="BF90" s="14">
        <f t="shared" si="91"/>
        <v>51.772129927379012</v>
      </c>
      <c r="BG90" s="22">
        <f t="shared" si="61"/>
        <v>454.61730495685168</v>
      </c>
      <c r="BH90" s="62">
        <f t="shared" si="62"/>
        <v>727.95210752732646</v>
      </c>
      <c r="BI90" s="62">
        <f ca="1">AVERAGE(OFFSET($BH$3,0,0,'Données projet'!$E$11+1,1))-AVERAGE(OFFSET($H$3,0,0,'Données projet'!$E$11+1,1))</f>
        <v>434.74983403680108</v>
      </c>
      <c r="BJ90" s="62">
        <f t="shared" si="92"/>
        <v>186.0840067781198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2.8205128205128234</v>
      </c>
      <c r="BY90" s="13">
        <f>IF('Données projet'!$A$114&gt;35,BY89+BX90-CG89,IF(A90&lt;'Données projet'!$A$114,$BV$205^A90,IF(A90='Données projet'!$A$114,'Données projet'!$B$114,BY89+BX90-CG89)))</f>
        <v>176.79487179487191</v>
      </c>
      <c r="BZ90" s="14">
        <f>BY90*VLOOKUP('Données projet'!$B$12,Paramètres!$A$1:$I$89,3,0)*VLOOKUP('Données projet'!$B$12,Paramètres!$A$1:$I$89,5,0)</f>
        <v>151.69000000000011</v>
      </c>
      <c r="CA90" s="14">
        <f t="shared" si="93"/>
        <v>38.962393399925183</v>
      </c>
      <c r="CB90" s="22">
        <f t="shared" si="64"/>
        <v>332.05291850486987</v>
      </c>
      <c r="CC90" s="62">
        <f t="shared" si="65"/>
        <v>605.38772107534464</v>
      </c>
      <c r="CD90" s="62">
        <f ca="1">AVERAGE(OFFSET($CC$3,0,0,'Données projet'!$E$12+1,1))-AVERAGE(OFFSET($H$3,0,0,'Données projet'!$E$12+1,1))</f>
        <v>288.24759203983547</v>
      </c>
      <c r="CE90" s="62">
        <f t="shared" si="94"/>
        <v>188.86613033148794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2.8205128205128234</v>
      </c>
      <c r="CT90" s="13">
        <f>IF('Données projet'!$A$140&gt;35,CT89+CS90-DB89,IF(A90&lt;'Données projet'!$A$140,$CQ$205^A90,IF(A90='Données projet'!$A$140,'Données projet'!$B$140,CT89+CS90-DB89)))</f>
        <v>176.79487179487191</v>
      </c>
      <c r="CU90" s="18">
        <f>CT90*VLOOKUP('Données projet'!$B$13,Paramètres!$A$1:$I$89,3,0)*VLOOKUP('Données projet'!$B$13,Paramètres!$A$1:$I$89,5,0)</f>
        <v>118.59400000000008</v>
      </c>
      <c r="CV90" s="14">
        <f t="shared" si="95"/>
        <v>31.346848285873254</v>
      </c>
      <c r="CW90" s="22">
        <f t="shared" si="67"/>
        <v>261.14697743122935</v>
      </c>
      <c r="CX90" s="62">
        <f t="shared" si="68"/>
        <v>534.48178000170424</v>
      </c>
      <c r="CY90" s="62">
        <f ca="1">AVERAGE(OFFSET($CX$3,0,0,'Données projet'!$E$13+1,1))-AVERAGE(OFFSET($H$3,0,0,'Données projet'!$E$13+1,1))</f>
        <v>240.40157928925146</v>
      </c>
      <c r="CZ90" s="62">
        <f t="shared" si="96"/>
        <v>160.5013084380258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4.2</v>
      </c>
      <c r="DO90" s="13">
        <f>IF('Données projet'!$A$166&gt;35,DO89+DN90-DW89,IF(A90&lt;'Données projet'!$A$166,$DL$205^A90,IF(A90='Données projet'!$A$166,'Données projet'!$B$166,DO89+DN90-DW89)))</f>
        <v>194.39999999999998</v>
      </c>
      <c r="DP90" s="18">
        <f>DO90*VLOOKUP('Données projet'!$B$14,Paramètres!$A$1:$I$89,3,0)*VLOOKUP('Données projet'!$B$14,Paramètres!$A$1:$I$89,5,0)</f>
        <v>188.02367999999998</v>
      </c>
      <c r="DQ90" s="14">
        <f t="shared" si="97"/>
        <v>47.102751018267753</v>
      </c>
      <c r="DR90" s="22">
        <f t="shared" si="70"/>
        <v>409.51186735681631</v>
      </c>
      <c r="DS90" s="62">
        <f t="shared" si="71"/>
        <v>682.84666992729115</v>
      </c>
      <c r="DT90" s="62">
        <f ca="1">AVERAGE(OFFSET($DS$3,0,0,'Données projet'!$E$14+1,1))-AVERAGE(OFFSET($H$3,0,0,'Données projet'!$E$14+1,1))</f>
        <v>398.93296311353788</v>
      </c>
      <c r="DU90" s="62">
        <f t="shared" si="98"/>
        <v>173.19148969173838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-5.6843418860808015E-14</v>
      </c>
      <c r="EK90" s="18">
        <f>EJ90*VLOOKUP('Données projet'!$B$15,Paramètres!$A$1:$I$89,3,0)*VLOOKUP('Données projet'!$B$15,Paramètres!$A$1:$I$89,5,0)</f>
        <v>-4.9658410716801891E-14</v>
      </c>
      <c r="EL90" s="14" t="e">
        <f t="shared" si="99"/>
        <v>#NUM!</v>
      </c>
      <c r="EM90" s="22" t="e">
        <f t="shared" si="73"/>
        <v>#NUM!</v>
      </c>
      <c r="EN90" s="62" t="e">
        <f t="shared" si="74"/>
        <v>#NUM!</v>
      </c>
      <c r="EO90" s="62">
        <f ca="1">AVERAGE(OFFSET($EN$3,0,0,'Données projet'!$E$15+1,1))-AVERAGE(OFFSET($H$3,0,0,'Données projet'!$E$15+1,1))</f>
        <v>226.37420733783091</v>
      </c>
      <c r="EP90" s="62">
        <f t="shared" si="100"/>
        <v>204.10961748628714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6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9">
        <f t="shared" si="56"/>
        <v>183.33333333333334</v>
      </c>
      <c r="I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2.8421709430404007E-13</v>
      </c>
      <c r="O91" s="14">
        <f>N91*VLOOKUP('Données projet'!$B$9,Paramètres!$A$1:$I$89,3,0)*VLOOKUP('Données projet'!$B$9,Paramètres!$A$1:$I$89,5,0)</f>
        <v>1.6626700016786346E-13</v>
      </c>
      <c r="P91" s="14">
        <f t="shared" si="87"/>
        <v>2.3542701735863119E-12</v>
      </c>
      <c r="Q91" s="22">
        <f t="shared" si="54"/>
        <v>4.3899355776218544E-12</v>
      </c>
      <c r="R91" s="62">
        <f t="shared" si="55"/>
        <v>273.68173236919807</v>
      </c>
      <c r="S91" s="62">
        <f ca="1">AVERAGE(OFFSET($R$3,0,0,'Données projet'!$E$9+1,1))-AVERAGE(OFFSET($H$3,0,0,'Données projet'!$E$9+1,1))</f>
        <v>196.48726929442091</v>
      </c>
      <c r="T91" s="62">
        <f t="shared" si="88"/>
        <v>193.28400454669347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2.9609615834935852E-8</v>
      </c>
      <c r="AC91" s="24">
        <f t="shared" si="57"/>
        <v>2.9609615834935852E-8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4.2</v>
      </c>
      <c r="AI91" s="14">
        <f>IF('Données projet'!$A$62&gt;35,AI90+AH91-AQ90,IF(A91&lt;'Données projet'!$A$62,$AF$205^A91,IF(A91='Données projet'!$A$62,'Données projet'!$B$62,AI90+AH91-AQ90)))</f>
        <v>198.59999999999997</v>
      </c>
      <c r="AJ91" s="14">
        <f>AI91*VLOOKUP('Données projet'!$B$10,Paramètres!$A$1:$I$89,3,0)*VLOOKUP('Données projet'!$B$10,Paramètres!$A$1:$I$89,5,0)</f>
        <v>201.38039999999998</v>
      </c>
      <c r="AK91" s="14">
        <f t="shared" si="89"/>
        <v>50.047416314000145</v>
      </c>
      <c r="AL91" s="22">
        <f t="shared" si="58"/>
        <v>437.9034467468835</v>
      </c>
      <c r="AM91" s="62">
        <f t="shared" si="59"/>
        <v>711.58517911607714</v>
      </c>
      <c r="AN91" s="62">
        <f ca="1">AVERAGE(OFFSET($AM$3,0,0,'Données projet'!$E$10+1,1))-AVERAGE(OFFSET($H$3,0,0,'Données projet'!$E$10+1,1))</f>
        <v>414.29294334114661</v>
      </c>
      <c r="AO91" s="62">
        <f t="shared" si="90"/>
        <v>178.72086185623849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4.2</v>
      </c>
      <c r="BD91" s="13">
        <f>IF('Données projet'!$A$88&gt;35,BD90+BC91-BL90,IF(A91&lt;'Données projet'!$A$88,$BA$205^A91,IF(A91='Données projet'!$A$88,'Données projet'!$B$88,BD90+BC91-BL90)))</f>
        <v>198.59999999999997</v>
      </c>
      <c r="BE91" s="14">
        <f>BD91*VLOOKUP('Données projet'!$B$11,Paramètres!$A$1:$I$89,3,0)*VLOOKUP('Données projet'!$B$11,Paramètres!$A$1:$I$89,5,0)</f>
        <v>213.77303999999995</v>
      </c>
      <c r="BF91" s="14">
        <f t="shared" si="91"/>
        <v>52.759233416703239</v>
      </c>
      <c r="BG91" s="22">
        <f t="shared" si="61"/>
        <v>464.21037620075805</v>
      </c>
      <c r="BH91" s="62">
        <f t="shared" si="62"/>
        <v>737.89210856995169</v>
      </c>
      <c r="BI91" s="62">
        <f ca="1">AVERAGE(OFFSET($BH$3,0,0,'Données projet'!$E$11+1,1))-AVERAGE(OFFSET($H$3,0,0,'Données projet'!$E$11+1,1))</f>
        <v>434.74983403680108</v>
      </c>
      <c r="BJ91" s="62">
        <f t="shared" si="92"/>
        <v>186.0840067781198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2.8205128205128234</v>
      </c>
      <c r="BY91" s="13">
        <f>IF('Données projet'!$A$114&gt;35,BY90+BX91-CG90,IF(A91&lt;'Données projet'!$A$114,$BV$205^A91,IF(A91='Données projet'!$A$114,'Données projet'!$B$114,BY90+BX91-CG90)))</f>
        <v>179.61538461538473</v>
      </c>
      <c r="BZ91" s="14">
        <f>BY91*VLOOKUP('Données projet'!$B$12,Paramètres!$A$1:$I$89,3,0)*VLOOKUP('Données projet'!$B$12,Paramètres!$A$1:$I$89,5,0)</f>
        <v>154.1100000000001</v>
      </c>
      <c r="CA91" s="14">
        <f t="shared" si="93"/>
        <v>39.511123389009555</v>
      </c>
      <c r="CB91" s="22">
        <f t="shared" si="64"/>
        <v>337.2234565691918</v>
      </c>
      <c r="CC91" s="62">
        <f t="shared" si="65"/>
        <v>610.90518893838544</v>
      </c>
      <c r="CD91" s="62">
        <f ca="1">AVERAGE(OFFSET($CC$3,0,0,'Données projet'!$E$12+1,1))-AVERAGE(OFFSET($H$3,0,0,'Données projet'!$E$12+1,1))</f>
        <v>288.24759203983547</v>
      </c>
      <c r="CE91" s="62">
        <f t="shared" si="94"/>
        <v>188.86613033148794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2.8205128205128234</v>
      </c>
      <c r="CT91" s="13">
        <f>IF('Données projet'!$A$140&gt;35,CT90+CS91-DB90,IF(A91&lt;'Données projet'!$A$140,$CQ$205^A91,IF(A91='Données projet'!$A$140,'Données projet'!$B$140,CT90+CS91-DB90)))</f>
        <v>179.61538461538473</v>
      </c>
      <c r="CU91" s="18">
        <f>CT91*VLOOKUP('Données projet'!$B$13,Paramètres!$A$1:$I$89,3,0)*VLOOKUP('Données projet'!$B$13,Paramètres!$A$1:$I$89,5,0)</f>
        <v>120.48600000000009</v>
      </c>
      <c r="CV91" s="14">
        <f t="shared" si="95"/>
        <v>31.788324135192319</v>
      </c>
      <c r="CW91" s="22">
        <f t="shared" si="67"/>
        <v>265.21111453546013</v>
      </c>
      <c r="CX91" s="62">
        <f t="shared" si="68"/>
        <v>538.89284690465388</v>
      </c>
      <c r="CY91" s="62">
        <f ca="1">AVERAGE(OFFSET($CX$3,0,0,'Données projet'!$E$13+1,1))-AVERAGE(OFFSET($H$3,0,0,'Données projet'!$E$13+1,1))</f>
        <v>240.40157928925146</v>
      </c>
      <c r="CZ91" s="62">
        <f t="shared" si="96"/>
        <v>160.5013084380258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4.2</v>
      </c>
      <c r="DO91" s="13">
        <f>IF('Données projet'!$A$166&gt;35,DO90+DN91-DW90,IF(A91&lt;'Données projet'!$A$166,$DL$205^A91,IF(A91='Données projet'!$A$166,'Données projet'!$B$166,DO90+DN91-DW90)))</f>
        <v>198.59999999999997</v>
      </c>
      <c r="DP91" s="18">
        <f>DO91*VLOOKUP('Données projet'!$B$14,Paramètres!$A$1:$I$89,3,0)*VLOOKUP('Données projet'!$B$14,Paramètres!$A$1:$I$89,5,0)</f>
        <v>192.08591999999996</v>
      </c>
      <c r="DQ91" s="14">
        <f t="shared" si="97"/>
        <v>48.000826680832176</v>
      </c>
      <c r="DR91" s="22">
        <f t="shared" si="70"/>
        <v>418.15108380244925</v>
      </c>
      <c r="DS91" s="62">
        <f t="shared" si="71"/>
        <v>691.83281617164289</v>
      </c>
      <c r="DT91" s="62">
        <f ca="1">AVERAGE(OFFSET($DS$3,0,0,'Données projet'!$E$14+1,1))-AVERAGE(OFFSET($H$3,0,0,'Données projet'!$E$14+1,1))</f>
        <v>398.93296311353788</v>
      </c>
      <c r="DU91" s="62">
        <f t="shared" si="98"/>
        <v>173.19148969173838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-5.6843418860808015E-14</v>
      </c>
      <c r="EK91" s="18">
        <f>EJ91*VLOOKUP('Données projet'!$B$15,Paramètres!$A$1:$I$89,3,0)*VLOOKUP('Données projet'!$B$15,Paramètres!$A$1:$I$89,5,0)</f>
        <v>-4.9658410716801891E-14</v>
      </c>
      <c r="EL91" s="14" t="e">
        <f t="shared" si="99"/>
        <v>#NUM!</v>
      </c>
      <c r="EM91" s="22" t="e">
        <f t="shared" si="73"/>
        <v>#NUM!</v>
      </c>
      <c r="EN91" s="62" t="e">
        <f t="shared" si="74"/>
        <v>#NUM!</v>
      </c>
      <c r="EO91" s="62">
        <f ca="1">AVERAGE(OFFSET($EN$3,0,0,'Données projet'!$E$15+1,1))-AVERAGE(OFFSET($H$3,0,0,'Données projet'!$E$15+1,1))</f>
        <v>226.37420733783091</v>
      </c>
      <c r="EP91" s="62">
        <f t="shared" si="100"/>
        <v>204.10961748628714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6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9">
        <f t="shared" si="56"/>
        <v>183.33333333333334</v>
      </c>
      <c r="I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2.8421709430404007E-13</v>
      </c>
      <c r="O92" s="14">
        <f>N92*VLOOKUP('Données projet'!$B$9,Paramètres!$A$1:$I$89,3,0)*VLOOKUP('Données projet'!$B$9,Paramètres!$A$1:$I$89,5,0)</f>
        <v>1.6626700016786346E-13</v>
      </c>
      <c r="P92" s="14">
        <f t="shared" si="87"/>
        <v>2.3542701735863119E-12</v>
      </c>
      <c r="Q92" s="22">
        <f t="shared" si="54"/>
        <v>4.3899355776218544E-12</v>
      </c>
      <c r="R92" s="62">
        <f t="shared" si="55"/>
        <v>274.02264371152796</v>
      </c>
      <c r="S92" s="62">
        <f ca="1">AVERAGE(OFFSET($R$3,0,0,'Données projet'!$E$9+1,1))-AVERAGE(OFFSET($H$3,0,0,'Données projet'!$E$9+1,1))</f>
        <v>196.48726929442091</v>
      </c>
      <c r="T92" s="62">
        <f t="shared" si="88"/>
        <v>193.28400454669347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2.0937160145211721E-8</v>
      </c>
      <c r="AC92" s="24">
        <f t="shared" si="57"/>
        <v>2.0937160145211721E-8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4.2</v>
      </c>
      <c r="AI92" s="14">
        <f>IF('Données projet'!$A$62&gt;35,AI91+AH92-AQ91,IF(A92&lt;'Données projet'!$A$62,$AF$205^A92,IF(A92='Données projet'!$A$62,'Données projet'!$B$62,AI91+AH92-AQ91)))</f>
        <v>202.79999999999995</v>
      </c>
      <c r="AJ92" s="14">
        <f>AI92*VLOOKUP('Données projet'!$B$10,Paramètres!$A$1:$I$89,3,0)*VLOOKUP('Données projet'!$B$10,Paramètres!$A$1:$I$89,5,0)</f>
        <v>205.63919999999996</v>
      </c>
      <c r="AK92" s="14">
        <f t="shared" si="89"/>
        <v>50.981480488268119</v>
      </c>
      <c r="AL92" s="22">
        <f t="shared" si="58"/>
        <v>446.94768518373354</v>
      </c>
      <c r="AM92" s="62">
        <f t="shared" si="59"/>
        <v>720.97032889525713</v>
      </c>
      <c r="AN92" s="62">
        <f ca="1">AVERAGE(OFFSET($AM$3,0,0,'Données projet'!$E$10+1,1))-AVERAGE(OFFSET($H$3,0,0,'Données projet'!$E$10+1,1))</f>
        <v>414.29294334114661</v>
      </c>
      <c r="AO92" s="62">
        <f t="shared" si="90"/>
        <v>178.72086185623849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4.2</v>
      </c>
      <c r="BD92" s="13">
        <f>IF('Données projet'!$A$88&gt;35,BD91+BC92-BL91,IF(A92&lt;'Données projet'!$A$88,$BA$205^A92,IF(A92='Données projet'!$A$88,'Données projet'!$B$88,BD91+BC92-BL91)))</f>
        <v>202.79999999999995</v>
      </c>
      <c r="BE92" s="14">
        <f>BD92*VLOOKUP('Données projet'!$B$11,Paramètres!$A$1:$I$89,3,0)*VLOOKUP('Données projet'!$B$11,Paramètres!$A$1:$I$89,5,0)</f>
        <v>218.29391999999996</v>
      </c>
      <c r="BF92" s="14">
        <f t="shared" si="91"/>
        <v>53.743909818122162</v>
      </c>
      <c r="BG92" s="22">
        <f t="shared" si="61"/>
        <v>473.79922026656277</v>
      </c>
      <c r="BH92" s="62">
        <f t="shared" si="62"/>
        <v>747.82186397808641</v>
      </c>
      <c r="BI92" s="62">
        <f ca="1">AVERAGE(OFFSET($BH$3,0,0,'Données projet'!$E$11+1,1))-AVERAGE(OFFSET($H$3,0,0,'Données projet'!$E$11+1,1))</f>
        <v>434.74983403680108</v>
      </c>
      <c r="BJ92" s="62">
        <f t="shared" si="92"/>
        <v>186.0840067781198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2.8205128205128234</v>
      </c>
      <c r="BY92" s="13">
        <f>IF('Données projet'!$A$114&gt;35,BY91+BX92-CG91,IF(A92&lt;'Données projet'!$A$114,$BV$205^A92,IF(A92='Données projet'!$A$114,'Données projet'!$B$114,BY91+BX92-CG91)))</f>
        <v>182.43589743589754</v>
      </c>
      <c r="BZ92" s="14">
        <f>BY92*VLOOKUP('Données projet'!$B$12,Paramètres!$A$1:$I$89,3,0)*VLOOKUP('Données projet'!$B$12,Paramètres!$A$1:$I$89,5,0)</f>
        <v>156.53000000000011</v>
      </c>
      <c r="CA92" s="14">
        <f t="shared" si="93"/>
        <v>40.058851261522399</v>
      </c>
      <c r="CB92" s="22">
        <f t="shared" si="64"/>
        <v>342.39224928048503</v>
      </c>
      <c r="CC92" s="62">
        <f t="shared" si="65"/>
        <v>616.41489299200862</v>
      </c>
      <c r="CD92" s="62">
        <f ca="1">AVERAGE(OFFSET($CC$3,0,0,'Données projet'!$E$12+1,1))-AVERAGE(OFFSET($H$3,0,0,'Données projet'!$E$12+1,1))</f>
        <v>288.24759203983547</v>
      </c>
      <c r="CE92" s="62">
        <f t="shared" si="94"/>
        <v>188.86613033148794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2.8205128205128234</v>
      </c>
      <c r="CT92" s="13">
        <f>IF('Données projet'!$A$140&gt;35,CT91+CS92-DB91,IF(A92&lt;'Données projet'!$A$140,$CQ$205^A92,IF(A92='Données projet'!$A$140,'Données projet'!$B$140,CT91+CS92-DB91)))</f>
        <v>182.43589743589754</v>
      </c>
      <c r="CU92" s="18">
        <f>CT92*VLOOKUP('Données projet'!$B$13,Paramètres!$A$1:$I$89,3,0)*VLOOKUP('Données projet'!$B$13,Paramètres!$A$1:$I$89,5,0)</f>
        <v>122.37800000000007</v>
      </c>
      <c r="CV92" s="14">
        <f t="shared" si="95"/>
        <v>32.228993740505558</v>
      </c>
      <c r="CW92" s="22">
        <f t="shared" si="67"/>
        <v>269.2738474313806</v>
      </c>
      <c r="CX92" s="62">
        <f t="shared" si="68"/>
        <v>543.29649114290419</v>
      </c>
      <c r="CY92" s="62">
        <f ca="1">AVERAGE(OFFSET($CX$3,0,0,'Données projet'!$E$13+1,1))-AVERAGE(OFFSET($H$3,0,0,'Données projet'!$E$13+1,1))</f>
        <v>240.40157928925146</v>
      </c>
      <c r="CZ92" s="62">
        <f t="shared" si="96"/>
        <v>160.5013084380258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4.2</v>
      </c>
      <c r="DO92" s="13">
        <f>IF('Données projet'!$A$166&gt;35,DO91+DN92-DW91,IF(A92&lt;'Données projet'!$A$166,$DL$205^A92,IF(A92='Données projet'!$A$166,'Données projet'!$B$166,DO91+DN92-DW91)))</f>
        <v>202.79999999999995</v>
      </c>
      <c r="DP92" s="18">
        <f>DO92*VLOOKUP('Données projet'!$B$14,Paramètres!$A$1:$I$89,3,0)*VLOOKUP('Données projet'!$B$14,Paramètres!$A$1:$I$89,5,0)</f>
        <v>196.14815999999996</v>
      </c>
      <c r="DQ92" s="14">
        <f t="shared" si="97"/>
        <v>48.896694156917398</v>
      </c>
      <c r="DR92" s="22">
        <f t="shared" si="70"/>
        <v>426.78645432329768</v>
      </c>
      <c r="DS92" s="62">
        <f t="shared" si="71"/>
        <v>700.80909803482132</v>
      </c>
      <c r="DT92" s="62">
        <f ca="1">AVERAGE(OFFSET($DS$3,0,0,'Données projet'!$E$14+1,1))-AVERAGE(OFFSET($H$3,0,0,'Données projet'!$E$14+1,1))</f>
        <v>398.93296311353788</v>
      </c>
      <c r="DU92" s="62">
        <f t="shared" si="98"/>
        <v>173.19148969173838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-5.6843418860808015E-14</v>
      </c>
      <c r="EK92" s="18">
        <f>EJ92*VLOOKUP('Données projet'!$B$15,Paramètres!$A$1:$I$89,3,0)*VLOOKUP('Données projet'!$B$15,Paramètres!$A$1:$I$89,5,0)</f>
        <v>-4.9658410716801891E-14</v>
      </c>
      <c r="EL92" s="14" t="e">
        <f t="shared" si="99"/>
        <v>#NUM!</v>
      </c>
      <c r="EM92" s="22" t="e">
        <f t="shared" si="73"/>
        <v>#NUM!</v>
      </c>
      <c r="EN92" s="62" t="e">
        <f t="shared" si="74"/>
        <v>#NUM!</v>
      </c>
      <c r="EO92" s="62">
        <f ca="1">AVERAGE(OFFSET($EN$3,0,0,'Données projet'!$E$15+1,1))-AVERAGE(OFFSET($H$3,0,0,'Données projet'!$E$15+1,1))</f>
        <v>226.37420733783091</v>
      </c>
      <c r="EP92" s="62">
        <f t="shared" si="100"/>
        <v>204.10961748628714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6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9">
        <f t="shared" si="56"/>
        <v>183.33333333333334</v>
      </c>
      <c r="I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2.8421709430404007E-13</v>
      </c>
      <c r="O93" s="14">
        <f>N93*VLOOKUP('Données projet'!$B$9,Paramètres!$A$1:$I$89,3,0)*VLOOKUP('Données projet'!$B$9,Paramètres!$A$1:$I$89,5,0)</f>
        <v>1.6626700016786346E-13</v>
      </c>
      <c r="P93" s="14">
        <f t="shared" si="87"/>
        <v>2.3542701735863119E-12</v>
      </c>
      <c r="Q93" s="22">
        <f t="shared" si="54"/>
        <v>4.3899355776218544E-12</v>
      </c>
      <c r="R93" s="62">
        <f t="shared" si="55"/>
        <v>274.35764100423205</v>
      </c>
      <c r="S93" s="62">
        <f ca="1">AVERAGE(OFFSET($R$3,0,0,'Données projet'!$E$9+1,1))-AVERAGE(OFFSET($H$3,0,0,'Données projet'!$E$9+1,1))</f>
        <v>196.48726929442091</v>
      </c>
      <c r="T93" s="62">
        <f t="shared" si="88"/>
        <v>193.28400454669347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1.480480791746793E-8</v>
      </c>
      <c r="AC93" s="24">
        <f t="shared" si="57"/>
        <v>1.480480791746793E-8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207</v>
      </c>
      <c r="AG93" s="13">
        <f>VLOOKUP(A93,'Données projet'!$A$61:$I$81,9,0)</f>
        <v>4.2</v>
      </c>
      <c r="AH93" s="13">
        <f t="array" ref="AH93">INDEX(AG:AG,MIN(IF(ISNUMBER(AG93:AG289),ROW(AG93:AG289),"")))</f>
        <v>4.2</v>
      </c>
      <c r="AI93" s="14">
        <f>IF('Données projet'!$A$62&gt;35,AI92+AH93-AQ92,IF(A93&lt;'Données projet'!$A$62,$AF$205^A93,IF(A93='Données projet'!$A$62,'Données projet'!$B$62,AI92+AH93-AQ92)))</f>
        <v>206.99999999999994</v>
      </c>
      <c r="AJ93" s="14">
        <f>AI93*VLOOKUP('Données projet'!$B$10,Paramètres!$A$1:$I$89,3,0)*VLOOKUP('Données projet'!$B$10,Paramètres!$A$1:$I$89,5,0)</f>
        <v>209.89799999999994</v>
      </c>
      <c r="AK93" s="14">
        <f t="shared" si="89"/>
        <v>51.913295501810218</v>
      </c>
      <c r="AL93" s="22">
        <f t="shared" si="58"/>
        <v>455.98800633231934</v>
      </c>
      <c r="AM93" s="62">
        <f t="shared" si="59"/>
        <v>730.34564733654702</v>
      </c>
      <c r="AN93" s="62">
        <f ca="1">AVERAGE(OFFSET($AM$3,0,0,'Données projet'!$E$10+1,1))-AVERAGE(OFFSET($H$3,0,0,'Données projet'!$E$10+1,1))</f>
        <v>414.29294334114661</v>
      </c>
      <c r="AO93" s="62">
        <f t="shared" si="90"/>
        <v>178.72086185623849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207</v>
      </c>
      <c r="BB93" s="13">
        <f>VLOOKUP(A93,'Données projet'!$A$87:$I$107,9,0)</f>
        <v>4.2</v>
      </c>
      <c r="BC93" s="13">
        <f t="array" ref="BC93">INDEX(BB:BB,MIN(IF(ISNUMBER(BB93:BB289),ROW(BB93:BB289),"")))</f>
        <v>4.2</v>
      </c>
      <c r="BD93" s="13">
        <f>IF('Données projet'!$A$88&gt;35,BD92+BC93-BL92,IF(A93&lt;'Données projet'!$A$88,$BA$205^A93,IF(A93='Données projet'!$A$88,'Données projet'!$B$88,BD92+BC93-BL92)))</f>
        <v>206.99999999999994</v>
      </c>
      <c r="BE93" s="14">
        <f>BD93*VLOOKUP('Données projet'!$B$11,Paramètres!$A$1:$I$89,3,0)*VLOOKUP('Données projet'!$B$11,Paramètres!$A$1:$I$89,5,0)</f>
        <v>222.81479999999993</v>
      </c>
      <c r="BF93" s="14">
        <f t="shared" si="91"/>
        <v>54.726215188137907</v>
      </c>
      <c r="BG93" s="22">
        <f t="shared" si="61"/>
        <v>483.38393478600671</v>
      </c>
      <c r="BH93" s="62">
        <f t="shared" si="62"/>
        <v>757.74157579023438</v>
      </c>
      <c r="BI93" s="62">
        <f ca="1">AVERAGE(OFFSET($BH$3,0,0,'Données projet'!$E$11+1,1))-AVERAGE(OFFSET($H$3,0,0,'Données projet'!$E$11+1,1))</f>
        <v>434.74983403680108</v>
      </c>
      <c r="BJ93" s="62">
        <f t="shared" si="92"/>
        <v>186.0840067781198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185.25641025641025</v>
      </c>
      <c r="BW93" s="13">
        <f>VLOOKUP(A93,'Données projet'!$A$113:$I$133,9,0)</f>
        <v>2.8205128205128234</v>
      </c>
      <c r="BX93" s="13">
        <f t="array" ref="BX93">INDEX(BW:BW,MIN(IF(ISNUMBER(BW93:BW289),ROW(BW93:BW289),"")))</f>
        <v>2.8205128205128234</v>
      </c>
      <c r="BY93" s="13">
        <f>IF('Données projet'!$A$114&gt;35,BY92+BX93-CG92,IF(A93&lt;'Données projet'!$A$114,$BV$205^A93,IF(A93='Données projet'!$A$114,'Données projet'!$B$114,BY92+BX93-CG92)))</f>
        <v>185.25641025641036</v>
      </c>
      <c r="BZ93" s="14">
        <f>BY93*VLOOKUP('Données projet'!$B$12,Paramètres!$A$1:$I$89,3,0)*VLOOKUP('Données projet'!$B$12,Paramètres!$A$1:$I$89,5,0)</f>
        <v>158.9500000000001</v>
      </c>
      <c r="CA93" s="14">
        <f t="shared" si="93"/>
        <v>40.605594299701849</v>
      </c>
      <c r="CB93" s="22">
        <f t="shared" si="64"/>
        <v>347.55932673864754</v>
      </c>
      <c r="CC93" s="62">
        <f t="shared" si="65"/>
        <v>621.91696774287516</v>
      </c>
      <c r="CD93" s="62">
        <f ca="1">AVERAGE(OFFSET($CC$3,0,0,'Données projet'!$E$12+1,1))-AVERAGE(OFFSET($H$3,0,0,'Données projet'!$E$12+1,1))</f>
        <v>288.24759203983547</v>
      </c>
      <c r="CE93" s="62">
        <f t="shared" si="94"/>
        <v>188.86613033148794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185.25641025641025</v>
      </c>
      <c r="CR93" s="13">
        <f>VLOOKUP(A93,'Données projet'!$A$139:$I$159,9,0)</f>
        <v>2.8205128205128234</v>
      </c>
      <c r="CS93" s="13">
        <f t="array" ref="CS93">INDEX(CR:CR,MIN(IF(ISNUMBER(CR93:CR289),ROW(CR93:CR289),"")))</f>
        <v>2.8205128205128234</v>
      </c>
      <c r="CT93" s="13">
        <f>IF('Données projet'!$A$140&gt;35,CT92+CS93-DB92,IF(A93&lt;'Données projet'!$A$140,$CQ$205^A93,IF(A93='Données projet'!$A$140,'Données projet'!$B$140,CT92+CS93-DB92)))</f>
        <v>185.25641025641036</v>
      </c>
      <c r="CU93" s="18">
        <f>CT93*VLOOKUP('Données projet'!$B$13,Paramètres!$A$1:$I$89,3,0)*VLOOKUP('Données projet'!$B$13,Paramètres!$A$1:$I$89,5,0)</f>
        <v>124.27000000000007</v>
      </c>
      <c r="CV93" s="14">
        <f t="shared" si="95"/>
        <v>32.668871006084437</v>
      </c>
      <c r="CW93" s="22">
        <f t="shared" si="67"/>
        <v>273.33520033559716</v>
      </c>
      <c r="CX93" s="62">
        <f t="shared" si="68"/>
        <v>547.69284133982478</v>
      </c>
      <c r="CY93" s="62">
        <f ca="1">AVERAGE(OFFSET($CX$3,0,0,'Données projet'!$E$13+1,1))-AVERAGE(OFFSET($H$3,0,0,'Données projet'!$E$13+1,1))</f>
        <v>240.40157928925146</v>
      </c>
      <c r="CZ93" s="62">
        <f t="shared" si="96"/>
        <v>160.5013084380258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207</v>
      </c>
      <c r="DM93" s="13">
        <f>VLOOKUP(A93,'Données projet'!$A$165:$I$185,9,0)</f>
        <v>4.2</v>
      </c>
      <c r="DN93" s="13">
        <f t="array" ref="DN93">INDEX(DM:DM,MIN(IF(ISNUMBER(DM93:DM289),ROW(DM93:DM289),"")))</f>
        <v>4.2</v>
      </c>
      <c r="DO93" s="13">
        <f>IF('Données projet'!$A$166&gt;35,DO92+DN93-DW92,IF(A93&lt;'Données projet'!$A$166,$DL$205^A93,IF(A93='Données projet'!$A$166,'Données projet'!$B$166,DO92+DN93-DW92)))</f>
        <v>206.99999999999994</v>
      </c>
      <c r="DP93" s="18">
        <f>DO93*VLOOKUP('Données projet'!$B$14,Paramètres!$A$1:$I$89,3,0)*VLOOKUP('Données projet'!$B$14,Paramètres!$A$1:$I$89,5,0)</f>
        <v>200.21039999999996</v>
      </c>
      <c r="DQ93" s="14">
        <f t="shared" si="97"/>
        <v>49.790404447235048</v>
      </c>
      <c r="DR93" s="22">
        <f t="shared" si="70"/>
        <v>435.41806774560092</v>
      </c>
      <c r="DS93" s="62">
        <f t="shared" si="71"/>
        <v>709.7757087498286</v>
      </c>
      <c r="DT93" s="62">
        <f ca="1">AVERAGE(OFFSET($DS$3,0,0,'Données projet'!$E$14+1,1))-AVERAGE(OFFSET($H$3,0,0,'Données projet'!$E$14+1,1))</f>
        <v>398.93296311353788</v>
      </c>
      <c r="DU93" s="62">
        <f t="shared" si="98"/>
        <v>173.19148969173838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-5.6843418860808015E-14</v>
      </c>
      <c r="EK93" s="18">
        <f>EJ93*VLOOKUP('Données projet'!$B$15,Paramètres!$A$1:$I$89,3,0)*VLOOKUP('Données projet'!$B$15,Paramètres!$A$1:$I$89,5,0)</f>
        <v>-4.9658410716801891E-14</v>
      </c>
      <c r="EL93" s="14" t="e">
        <f t="shared" si="99"/>
        <v>#NUM!</v>
      </c>
      <c r="EM93" s="22" t="e">
        <f t="shared" si="73"/>
        <v>#NUM!</v>
      </c>
      <c r="EN93" s="62" t="e">
        <f t="shared" si="74"/>
        <v>#NUM!</v>
      </c>
      <c r="EO93" s="62">
        <f ca="1">AVERAGE(OFFSET($EN$3,0,0,'Données projet'!$E$15+1,1))-AVERAGE(OFFSET($H$3,0,0,'Données projet'!$E$15+1,1))</f>
        <v>226.37420733783091</v>
      </c>
      <c r="EP93" s="62">
        <f t="shared" si="100"/>
        <v>204.10961748628714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6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9">
        <f t="shared" si="56"/>
        <v>183.33333333333334</v>
      </c>
      <c r="I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2.8421709430404007E-13</v>
      </c>
      <c r="O94" s="14">
        <f>N94*VLOOKUP('Données projet'!$B$9,Paramètres!$A$1:$I$89,3,0)*VLOOKUP('Données projet'!$B$9,Paramètres!$A$1:$I$89,5,0)</f>
        <v>1.6626700016786346E-13</v>
      </c>
      <c r="P94" s="14">
        <f t="shared" si="87"/>
        <v>2.3542701735863119E-12</v>
      </c>
      <c r="Q94" s="22">
        <f t="shared" si="54"/>
        <v>4.3899355776218544E-12</v>
      </c>
      <c r="R94" s="62">
        <f t="shared" si="55"/>
        <v>274.68682684284943</v>
      </c>
      <c r="S94" s="62">
        <f ca="1">AVERAGE(OFFSET($R$3,0,0,'Données projet'!$E$9+1,1))-AVERAGE(OFFSET($H$3,0,0,'Données projet'!$E$9+1,1))</f>
        <v>196.48726929442091</v>
      </c>
      <c r="T94" s="62">
        <f t="shared" si="88"/>
        <v>193.28400454669347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1.0468580072605862E-8</v>
      </c>
      <c r="AC94" s="24">
        <f t="shared" si="57"/>
        <v>1.0468580072605862E-8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3.7</v>
      </c>
      <c r="AI94" s="14">
        <f>IF('Données projet'!$A$62&gt;35,AI93+AH94-AQ93,IF(A94&lt;'Données projet'!$A$62,$AF$205^A94,IF(A94='Données projet'!$A$62,'Données projet'!$B$62,AI93+AH94-AQ93)))</f>
        <v>210.69999999999993</v>
      </c>
      <c r="AJ94" s="14">
        <f>AI94*VLOOKUP('Données projet'!$B$10,Paramètres!$A$1:$I$89,3,0)*VLOOKUP('Données projet'!$B$10,Paramètres!$A$1:$I$89,5,0)</f>
        <v>213.64979999999994</v>
      </c>
      <c r="AK94" s="14">
        <f t="shared" si="89"/>
        <v>52.732357238333059</v>
      </c>
      <c r="AL94" s="22">
        <f t="shared" si="58"/>
        <v>463.94892385676326</v>
      </c>
      <c r="AM94" s="62">
        <f t="shared" si="59"/>
        <v>738.63575069960825</v>
      </c>
      <c r="AN94" s="62">
        <f ca="1">AVERAGE(OFFSET($AM$3,0,0,'Données projet'!$E$10+1,1))-AVERAGE(OFFSET($H$3,0,0,'Données projet'!$E$10+1,1))</f>
        <v>414.29294334114661</v>
      </c>
      <c r="AO94" s="62">
        <f t="shared" si="90"/>
        <v>178.72086185623849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3.7</v>
      </c>
      <c r="BD94" s="13">
        <f>IF('Données projet'!$A$88&gt;35,BD93+BC94-BL93,IF(A94&lt;'Données projet'!$A$88,$BA$205^A94,IF(A94='Données projet'!$A$88,'Données projet'!$B$88,BD93+BC94-BL93)))</f>
        <v>210.69999999999993</v>
      </c>
      <c r="BE94" s="14">
        <f>BD94*VLOOKUP('Données projet'!$B$11,Paramètres!$A$1:$I$89,3,0)*VLOOKUP('Données projet'!$B$11,Paramètres!$A$1:$I$89,5,0)</f>
        <v>226.79747999999992</v>
      </c>
      <c r="BF94" s="14">
        <f t="shared" si="91"/>
        <v>55.589657749663566</v>
      </c>
      <c r="BG94" s="22">
        <f t="shared" si="61"/>
        <v>491.82426491399724</v>
      </c>
      <c r="BH94" s="62">
        <f t="shared" si="62"/>
        <v>766.51109175684223</v>
      </c>
      <c r="BI94" s="62">
        <f ca="1">AVERAGE(OFFSET($BH$3,0,0,'Données projet'!$E$11+1,1))-AVERAGE(OFFSET($H$3,0,0,'Données projet'!$E$11+1,1))</f>
        <v>434.74983403680108</v>
      </c>
      <c r="BJ94" s="62">
        <f t="shared" si="92"/>
        <v>186.0840067781198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2.6923076923076907</v>
      </c>
      <c r="BY94" s="13">
        <f>IF('Données projet'!$A$114&gt;35,BY93+BX94-CG93,IF(A94&lt;'Données projet'!$A$114,$BV$205^A94,IF(A94='Données projet'!$A$114,'Données projet'!$B$114,BY93+BX94-CG93)))</f>
        <v>187.94871794871804</v>
      </c>
      <c r="BZ94" s="14">
        <f>BY94*VLOOKUP('Données projet'!$B$12,Paramètres!$A$1:$I$89,3,0)*VLOOKUP('Données projet'!$B$12,Paramètres!$A$1:$I$89,5,0)</f>
        <v>161.2600000000001</v>
      </c>
      <c r="CA94" s="14">
        <f t="shared" si="93"/>
        <v>41.126582049541568</v>
      </c>
      <c r="CB94" s="22">
        <f t="shared" si="64"/>
        <v>352.48996373628512</v>
      </c>
      <c r="CC94" s="62">
        <f t="shared" si="65"/>
        <v>627.17679057913017</v>
      </c>
      <c r="CD94" s="62">
        <f ca="1">AVERAGE(OFFSET($CC$3,0,0,'Données projet'!$E$12+1,1))-AVERAGE(OFFSET($H$3,0,0,'Données projet'!$E$12+1,1))</f>
        <v>288.24759203983547</v>
      </c>
      <c r="CE94" s="62">
        <f t="shared" si="94"/>
        <v>188.86613033148794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2.6923076923076907</v>
      </c>
      <c r="CT94" s="13">
        <f>IF('Données projet'!$A$140&gt;35,CT93+CS94-DB93,IF(A94&lt;'Données projet'!$A$140,$CQ$205^A94,IF(A94='Données projet'!$A$140,'Données projet'!$B$140,CT93+CS94-DB93)))</f>
        <v>187.94871794871804</v>
      </c>
      <c r="CU94" s="18">
        <f>CT94*VLOOKUP('Données projet'!$B$13,Paramètres!$A$1:$I$89,3,0)*VLOOKUP('Données projet'!$B$13,Paramètres!$A$1:$I$89,5,0)</f>
        <v>126.07600000000006</v>
      </c>
      <c r="CV94" s="14">
        <f t="shared" si="95"/>
        <v>33.088027082698986</v>
      </c>
      <c r="CW94" s="22">
        <f t="shared" si="67"/>
        <v>277.2106805023675</v>
      </c>
      <c r="CX94" s="62">
        <f t="shared" si="68"/>
        <v>551.89750734521249</v>
      </c>
      <c r="CY94" s="62">
        <f ca="1">AVERAGE(OFFSET($CX$3,0,0,'Données projet'!$E$13+1,1))-AVERAGE(OFFSET($H$3,0,0,'Données projet'!$E$13+1,1))</f>
        <v>240.40157928925146</v>
      </c>
      <c r="CZ94" s="62">
        <f t="shared" si="96"/>
        <v>160.5013084380258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3.7</v>
      </c>
      <c r="DO94" s="13">
        <f>IF('Données projet'!$A$166&gt;35,DO93+DN94-DW93,IF(A94&lt;'Données projet'!$A$166,$DL$205^A94,IF(A94='Données projet'!$A$166,'Données projet'!$B$166,DO93+DN94-DW93)))</f>
        <v>210.69999999999993</v>
      </c>
      <c r="DP94" s="18">
        <f>DO94*VLOOKUP('Données projet'!$B$14,Paramètres!$A$1:$I$89,3,0)*VLOOKUP('Données projet'!$B$14,Paramètres!$A$1:$I$89,5,0)</f>
        <v>203.78903999999994</v>
      </c>
      <c r="DQ94" s="14">
        <f t="shared" si="97"/>
        <v>50.575972281727609</v>
      </c>
      <c r="DR94" s="22">
        <f t="shared" si="70"/>
        <v>443.01906305734218</v>
      </c>
      <c r="DS94" s="62">
        <f t="shared" si="71"/>
        <v>717.70588990018723</v>
      </c>
      <c r="DT94" s="62">
        <f ca="1">AVERAGE(OFFSET($DS$3,0,0,'Données projet'!$E$14+1,1))-AVERAGE(OFFSET($H$3,0,0,'Données projet'!$E$14+1,1))</f>
        <v>398.93296311353788</v>
      </c>
      <c r="DU94" s="62">
        <f t="shared" si="98"/>
        <v>173.19148969173838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-5.6843418860808015E-14</v>
      </c>
      <c r="EK94" s="18">
        <f>EJ94*VLOOKUP('Données projet'!$B$15,Paramètres!$A$1:$I$89,3,0)*VLOOKUP('Données projet'!$B$15,Paramètres!$A$1:$I$89,5,0)</f>
        <v>-4.9658410716801891E-14</v>
      </c>
      <c r="EL94" s="14" t="e">
        <f t="shared" si="99"/>
        <v>#NUM!</v>
      </c>
      <c r="EM94" s="22" t="e">
        <f t="shared" si="73"/>
        <v>#NUM!</v>
      </c>
      <c r="EN94" s="62" t="e">
        <f t="shared" si="74"/>
        <v>#NUM!</v>
      </c>
      <c r="EO94" s="62">
        <f ca="1">AVERAGE(OFFSET($EN$3,0,0,'Données projet'!$E$15+1,1))-AVERAGE(OFFSET($H$3,0,0,'Données projet'!$E$15+1,1))</f>
        <v>226.37420733783091</v>
      </c>
      <c r="EP94" s="62">
        <f t="shared" si="100"/>
        <v>204.10961748628714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6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9">
        <f t="shared" si="56"/>
        <v>183.33333333333334</v>
      </c>
      <c r="I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2.8421709430404007E-13</v>
      </c>
      <c r="O95" s="14">
        <f>N95*VLOOKUP('Données projet'!$B$9,Paramètres!$A$1:$I$89,3,0)*VLOOKUP('Données projet'!$B$9,Paramètres!$A$1:$I$89,5,0)</f>
        <v>1.6626700016786346E-13</v>
      </c>
      <c r="P95" s="14">
        <f t="shared" si="87"/>
        <v>2.3542701735863119E-12</v>
      </c>
      <c r="Q95" s="22">
        <f t="shared" si="54"/>
        <v>4.3899355776218544E-12</v>
      </c>
      <c r="R95" s="62">
        <f t="shared" si="55"/>
        <v>275.0103020431161</v>
      </c>
      <c r="S95" s="62">
        <f ca="1">AVERAGE(OFFSET($R$3,0,0,'Données projet'!$E$9+1,1))-AVERAGE(OFFSET($H$3,0,0,'Données projet'!$E$9+1,1))</f>
        <v>196.48726929442091</v>
      </c>
      <c r="T95" s="62">
        <f t="shared" si="88"/>
        <v>193.28400454669347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7.4024039587339656E-9</v>
      </c>
      <c r="AC95" s="24">
        <f t="shared" si="57"/>
        <v>7.4024039587339656E-9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3.7</v>
      </c>
      <c r="AI95" s="14">
        <f>IF('Données projet'!$A$62&gt;35,AI94+AH95-AQ94,IF(A95&lt;'Données projet'!$A$62,$AF$205^A95,IF(A95='Données projet'!$A$62,'Données projet'!$B$62,AI94+AH95-AQ94)))</f>
        <v>214.39999999999992</v>
      </c>
      <c r="AJ95" s="14">
        <f>AI95*VLOOKUP('Données projet'!$B$10,Paramètres!$A$1:$I$89,3,0)*VLOOKUP('Données projet'!$B$10,Paramètres!$A$1:$I$89,5,0)</f>
        <v>217.40159999999995</v>
      </c>
      <c r="AK95" s="14">
        <f t="shared" si="89"/>
        <v>53.549746395925119</v>
      </c>
      <c r="AL95" s="22">
        <f t="shared" si="58"/>
        <v>471.90692830623613</v>
      </c>
      <c r="AM95" s="62">
        <f t="shared" si="59"/>
        <v>746.91723034934785</v>
      </c>
      <c r="AN95" s="62">
        <f ca="1">AVERAGE(OFFSET($AM$3,0,0,'Données projet'!$E$10+1,1))-AVERAGE(OFFSET($H$3,0,0,'Données projet'!$E$10+1,1))</f>
        <v>414.29294334114661</v>
      </c>
      <c r="AO95" s="62">
        <f t="shared" si="90"/>
        <v>178.72086185623849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3.7</v>
      </c>
      <c r="BD95" s="13">
        <f>IF('Données projet'!$A$88&gt;35,BD94+BC95-BL94,IF(A95&lt;'Données projet'!$A$88,$BA$205^A95,IF(A95='Données projet'!$A$88,'Données projet'!$B$88,BD94+BC95-BL94)))</f>
        <v>214.39999999999992</v>
      </c>
      <c r="BE95" s="14">
        <f>BD95*VLOOKUP('Données projet'!$B$11,Paramètres!$A$1:$I$89,3,0)*VLOOKUP('Données projet'!$B$11,Paramètres!$A$1:$I$89,5,0)</f>
        <v>230.78015999999988</v>
      </c>
      <c r="BF95" s="14">
        <f t="shared" si="91"/>
        <v>56.451337103640839</v>
      </c>
      <c r="BG95" s="22">
        <f t="shared" si="61"/>
        <v>500.26152412217425</v>
      </c>
      <c r="BH95" s="62">
        <f t="shared" si="62"/>
        <v>775.27182616528603</v>
      </c>
      <c r="BI95" s="62">
        <f ca="1">AVERAGE(OFFSET($BH$3,0,0,'Données projet'!$E$11+1,1))-AVERAGE(OFFSET($H$3,0,0,'Données projet'!$E$11+1,1))</f>
        <v>434.74983403680108</v>
      </c>
      <c r="BJ95" s="62">
        <f t="shared" si="92"/>
        <v>186.0840067781198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2.6923076923076907</v>
      </c>
      <c r="BY95" s="13">
        <f>IF('Données projet'!$A$114&gt;35,BY94+BX95-CG94,IF(A95&lt;'Données projet'!$A$114,$BV$205^A95,IF(A95='Données projet'!$A$114,'Données projet'!$B$114,BY94+BX95-CG94)))</f>
        <v>190.64102564102572</v>
      </c>
      <c r="BZ95" s="14">
        <f>BY95*VLOOKUP('Données projet'!$B$12,Paramètres!$A$1:$I$89,3,0)*VLOOKUP('Données projet'!$B$12,Paramètres!$A$1:$I$89,5,0)</f>
        <v>163.57000000000011</v>
      </c>
      <c r="CA95" s="14">
        <f t="shared" si="93"/>
        <v>41.646701799827888</v>
      </c>
      <c r="CB95" s="22">
        <f t="shared" si="64"/>
        <v>357.41908896803375</v>
      </c>
      <c r="CC95" s="62">
        <f t="shared" si="65"/>
        <v>632.42939101114553</v>
      </c>
      <c r="CD95" s="62">
        <f ca="1">AVERAGE(OFFSET($CC$3,0,0,'Données projet'!$E$12+1,1))-AVERAGE(OFFSET($H$3,0,0,'Données projet'!$E$12+1,1))</f>
        <v>288.24759203983547</v>
      </c>
      <c r="CE95" s="62">
        <f t="shared" si="94"/>
        <v>188.86613033148794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2.6923076923076907</v>
      </c>
      <c r="CT95" s="13">
        <f>IF('Données projet'!$A$140&gt;35,CT94+CS95-DB94,IF(A95&lt;'Données projet'!$A$140,$CQ$205^A95,IF(A95='Données projet'!$A$140,'Données projet'!$B$140,CT94+CS95-DB94)))</f>
        <v>190.64102564102572</v>
      </c>
      <c r="CU95" s="18">
        <f>CT95*VLOOKUP('Données projet'!$B$13,Paramètres!$A$1:$I$89,3,0)*VLOOKUP('Données projet'!$B$13,Paramètres!$A$1:$I$89,5,0)</f>
        <v>127.88200000000005</v>
      </c>
      <c r="CV95" s="14">
        <f t="shared" si="95"/>
        <v>33.506484817965941</v>
      </c>
      <c r="CW95" s="22">
        <f t="shared" si="67"/>
        <v>281.08494439129078</v>
      </c>
      <c r="CX95" s="62">
        <f t="shared" si="68"/>
        <v>556.0952464344025</v>
      </c>
      <c r="CY95" s="62">
        <f ca="1">AVERAGE(OFFSET($CX$3,0,0,'Données projet'!$E$13+1,1))-AVERAGE(OFFSET($H$3,0,0,'Données projet'!$E$13+1,1))</f>
        <v>240.40157928925146</v>
      </c>
      <c r="CZ95" s="62">
        <f t="shared" si="96"/>
        <v>160.5013084380258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3.7</v>
      </c>
      <c r="DO95" s="13">
        <f>IF('Données projet'!$A$166&gt;35,DO94+DN95-DW94,IF(A95&lt;'Données projet'!$A$166,$DL$205^A95,IF(A95='Données projet'!$A$166,'Données projet'!$B$166,DO94+DN95-DW94)))</f>
        <v>214.39999999999992</v>
      </c>
      <c r="DP95" s="18">
        <f>DO95*VLOOKUP('Données projet'!$B$14,Paramètres!$A$1:$I$89,3,0)*VLOOKUP('Données projet'!$B$14,Paramètres!$A$1:$I$89,5,0)</f>
        <v>207.36767999999992</v>
      </c>
      <c r="DQ95" s="14">
        <f t="shared" si="97"/>
        <v>51.359935934080831</v>
      </c>
      <c r="DR95" s="22">
        <f t="shared" si="70"/>
        <v>450.61726441852397</v>
      </c>
      <c r="DS95" s="62">
        <f t="shared" si="71"/>
        <v>725.62756646163575</v>
      </c>
      <c r="DT95" s="62">
        <f ca="1">AVERAGE(OFFSET($DS$3,0,0,'Données projet'!$E$14+1,1))-AVERAGE(OFFSET($H$3,0,0,'Données projet'!$E$14+1,1))</f>
        <v>398.93296311353788</v>
      </c>
      <c r="DU95" s="62">
        <f t="shared" si="98"/>
        <v>173.19148969173838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-5.6843418860808015E-14</v>
      </c>
      <c r="EK95" s="18">
        <f>EJ95*VLOOKUP('Données projet'!$B$15,Paramètres!$A$1:$I$89,3,0)*VLOOKUP('Données projet'!$B$15,Paramètres!$A$1:$I$89,5,0)</f>
        <v>-4.9658410716801891E-14</v>
      </c>
      <c r="EL95" s="14" t="e">
        <f t="shared" si="99"/>
        <v>#NUM!</v>
      </c>
      <c r="EM95" s="22" t="e">
        <f t="shared" si="73"/>
        <v>#NUM!</v>
      </c>
      <c r="EN95" s="62" t="e">
        <f t="shared" si="74"/>
        <v>#NUM!</v>
      </c>
      <c r="EO95" s="62">
        <f ca="1">AVERAGE(OFFSET($EN$3,0,0,'Données projet'!$E$15+1,1))-AVERAGE(OFFSET($H$3,0,0,'Données projet'!$E$15+1,1))</f>
        <v>226.37420733783091</v>
      </c>
      <c r="EP95" s="62">
        <f t="shared" si="100"/>
        <v>204.10961748628714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6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9">
        <f t="shared" si="56"/>
        <v>183.33333333333334</v>
      </c>
      <c r="I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2.8421709430404007E-13</v>
      </c>
      <c r="O96" s="14">
        <f>N96*VLOOKUP('Données projet'!$B$9,Paramètres!$A$1:$I$89,3,0)*VLOOKUP('Données projet'!$B$9,Paramètres!$A$1:$I$89,5,0)</f>
        <v>1.6626700016786346E-13</v>
      </c>
      <c r="P96" s="14">
        <f t="shared" si="87"/>
        <v>2.3542701735863119E-12</v>
      </c>
      <c r="Q96" s="22">
        <f t="shared" si="54"/>
        <v>4.3899355776218544E-12</v>
      </c>
      <c r="R96" s="62">
        <f t="shared" si="55"/>
        <v>275.32816567184034</v>
      </c>
      <c r="S96" s="62">
        <f ca="1">AVERAGE(OFFSET($R$3,0,0,'Données projet'!$E$9+1,1))-AVERAGE(OFFSET($H$3,0,0,'Données projet'!$E$9+1,1))</f>
        <v>196.48726929442091</v>
      </c>
      <c r="T96" s="62">
        <f t="shared" si="88"/>
        <v>193.28400454669347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5.2342900363029319E-9</v>
      </c>
      <c r="AC96" s="24">
        <f t="shared" si="57"/>
        <v>5.2342900363029319E-9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3.7</v>
      </c>
      <c r="AI96" s="14">
        <f>IF('Données projet'!$A$62&gt;35,AI95+AH96-AQ95,IF(A96&lt;'Données projet'!$A$62,$AF$205^A96,IF(A96='Données projet'!$A$62,'Données projet'!$B$62,AI95+AH96-AQ95)))</f>
        <v>218.09999999999991</v>
      </c>
      <c r="AJ96" s="14">
        <f>AI96*VLOOKUP('Données projet'!$B$10,Paramètres!$A$1:$I$89,3,0)*VLOOKUP('Données projet'!$B$10,Paramètres!$A$1:$I$89,5,0)</f>
        <v>221.15339999999995</v>
      </c>
      <c r="AK96" s="14">
        <f t="shared" si="89"/>
        <v>54.365495169756201</v>
      </c>
      <c r="AL96" s="22">
        <f t="shared" si="58"/>
        <v>479.86207575399197</v>
      </c>
      <c r="AM96" s="62">
        <f t="shared" si="59"/>
        <v>755.19024142582794</v>
      </c>
      <c r="AN96" s="62">
        <f ca="1">AVERAGE(OFFSET($AM$3,0,0,'Données projet'!$E$10+1,1))-AVERAGE(OFFSET($H$3,0,0,'Données projet'!$E$10+1,1))</f>
        <v>414.29294334114661</v>
      </c>
      <c r="AO96" s="62">
        <f t="shared" si="90"/>
        <v>178.72086185623849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3.7</v>
      </c>
      <c r="BD96" s="13">
        <f>IF('Données projet'!$A$88&gt;35,BD95+BC96-BL95,IF(A96&lt;'Données projet'!$A$88,$BA$205^A96,IF(A96='Données projet'!$A$88,'Données projet'!$B$88,BD95+BC96-BL95)))</f>
        <v>218.09999999999991</v>
      </c>
      <c r="BE96" s="14">
        <f>BD96*VLOOKUP('Données projet'!$B$11,Paramètres!$A$1:$I$89,3,0)*VLOOKUP('Données projet'!$B$11,Paramètres!$A$1:$I$89,5,0)</f>
        <v>234.76283999999987</v>
      </c>
      <c r="BF96" s="14">
        <f t="shared" si="91"/>
        <v>57.311287189733584</v>
      </c>
      <c r="BG96" s="22">
        <f t="shared" si="61"/>
        <v>508.69577152211906</v>
      </c>
      <c r="BH96" s="62">
        <f t="shared" si="62"/>
        <v>784.02393719395502</v>
      </c>
      <c r="BI96" s="62">
        <f ca="1">AVERAGE(OFFSET($BH$3,0,0,'Données projet'!$E$11+1,1))-AVERAGE(OFFSET($H$3,0,0,'Données projet'!$E$11+1,1))</f>
        <v>434.74983403680108</v>
      </c>
      <c r="BJ96" s="62">
        <f t="shared" si="92"/>
        <v>186.0840067781198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2.6923076923076907</v>
      </c>
      <c r="BY96" s="13">
        <f>IF('Données projet'!$A$114&gt;35,BY95+BX96-CG95,IF(A96&lt;'Données projet'!$A$114,$BV$205^A96,IF(A96='Données projet'!$A$114,'Données projet'!$B$114,BY95+BX96-CG95)))</f>
        <v>193.3333333333334</v>
      </c>
      <c r="BZ96" s="14">
        <f>BY96*VLOOKUP('Données projet'!$B$12,Paramètres!$A$1:$I$89,3,0)*VLOOKUP('Données projet'!$B$12,Paramètres!$A$1:$I$89,5,0)</f>
        <v>165.88000000000008</v>
      </c>
      <c r="CA96" s="14">
        <f t="shared" si="93"/>
        <v>42.16596722532374</v>
      </c>
      <c r="CB96" s="22">
        <f t="shared" si="64"/>
        <v>362.34672625077229</v>
      </c>
      <c r="CC96" s="62">
        <f t="shared" si="65"/>
        <v>637.67489192260825</v>
      </c>
      <c r="CD96" s="62">
        <f ca="1">AVERAGE(OFFSET($CC$3,0,0,'Données projet'!$E$12+1,1))-AVERAGE(OFFSET($H$3,0,0,'Données projet'!$E$12+1,1))</f>
        <v>288.24759203983547</v>
      </c>
      <c r="CE96" s="62">
        <f t="shared" si="94"/>
        <v>188.86613033148794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2.6923076923076907</v>
      </c>
      <c r="CT96" s="13">
        <f>IF('Données projet'!$A$140&gt;35,CT95+CS96-DB95,IF(A96&lt;'Données projet'!$A$140,$CQ$205^A96,IF(A96='Données projet'!$A$140,'Données projet'!$B$140,CT95+CS96-DB95)))</f>
        <v>193.3333333333334</v>
      </c>
      <c r="CU96" s="18">
        <f>CT96*VLOOKUP('Données projet'!$B$13,Paramètres!$A$1:$I$89,3,0)*VLOOKUP('Données projet'!$B$13,Paramètres!$A$1:$I$89,5,0)</f>
        <v>129.68800000000005</v>
      </c>
      <c r="CV96" s="14">
        <f t="shared" si="95"/>
        <v>33.924255213794552</v>
      </c>
      <c r="CW96" s="22">
        <f t="shared" si="67"/>
        <v>284.95801116402555</v>
      </c>
      <c r="CX96" s="62">
        <f t="shared" si="68"/>
        <v>560.28617683586151</v>
      </c>
      <c r="CY96" s="62">
        <f ca="1">AVERAGE(OFFSET($CX$3,0,0,'Données projet'!$E$13+1,1))-AVERAGE(OFFSET($H$3,0,0,'Données projet'!$E$13+1,1))</f>
        <v>240.40157928925146</v>
      </c>
      <c r="CZ96" s="62">
        <f t="shared" si="96"/>
        <v>160.5013084380258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3.7</v>
      </c>
      <c r="DO96" s="13">
        <f>IF('Données projet'!$A$166&gt;35,DO95+DN96-DW95,IF(A96&lt;'Données projet'!$A$166,$DL$205^A96,IF(A96='Données projet'!$A$166,'Données projet'!$B$166,DO95+DN96-DW95)))</f>
        <v>218.09999999999991</v>
      </c>
      <c r="DP96" s="18">
        <f>DO96*VLOOKUP('Données projet'!$B$14,Paramètres!$A$1:$I$89,3,0)*VLOOKUP('Données projet'!$B$14,Paramètres!$A$1:$I$89,5,0)</f>
        <v>210.94631999999993</v>
      </c>
      <c r="DQ96" s="14">
        <f t="shared" si="97"/>
        <v>52.142326282907113</v>
      </c>
      <c r="DR96" s="22">
        <f t="shared" si="70"/>
        <v>458.2127256093965</v>
      </c>
      <c r="DS96" s="62">
        <f t="shared" si="71"/>
        <v>733.54089128123246</v>
      </c>
      <c r="DT96" s="62">
        <f ca="1">AVERAGE(OFFSET($DS$3,0,0,'Données projet'!$E$14+1,1))-AVERAGE(OFFSET($H$3,0,0,'Données projet'!$E$14+1,1))</f>
        <v>398.93296311353788</v>
      </c>
      <c r="DU96" s="62">
        <f t="shared" si="98"/>
        <v>173.19148969173838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-5.6843418860808015E-14</v>
      </c>
      <c r="EK96" s="18">
        <f>EJ96*VLOOKUP('Données projet'!$B$15,Paramètres!$A$1:$I$89,3,0)*VLOOKUP('Données projet'!$B$15,Paramètres!$A$1:$I$89,5,0)</f>
        <v>-4.9658410716801891E-14</v>
      </c>
      <c r="EL96" s="14" t="e">
        <f t="shared" si="99"/>
        <v>#NUM!</v>
      </c>
      <c r="EM96" s="22" t="e">
        <f t="shared" si="73"/>
        <v>#NUM!</v>
      </c>
      <c r="EN96" s="62" t="e">
        <f t="shared" si="74"/>
        <v>#NUM!</v>
      </c>
      <c r="EO96" s="62">
        <f ca="1">AVERAGE(OFFSET($EN$3,0,0,'Données projet'!$E$15+1,1))-AVERAGE(OFFSET($H$3,0,0,'Données projet'!$E$15+1,1))</f>
        <v>226.37420733783091</v>
      </c>
      <c r="EP96" s="62">
        <f t="shared" si="100"/>
        <v>204.10961748628714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6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9">
        <f t="shared" si="56"/>
        <v>183.33333333333334</v>
      </c>
      <c r="I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2.8421709430404007E-13</v>
      </c>
      <c r="O97" s="14">
        <f>N97*VLOOKUP('Données projet'!$B$9,Paramètres!$A$1:$I$89,3,0)*VLOOKUP('Données projet'!$B$9,Paramètres!$A$1:$I$89,5,0)</f>
        <v>1.6626700016786346E-13</v>
      </c>
      <c r="P97" s="14">
        <f t="shared" si="87"/>
        <v>2.3542701735863119E-12</v>
      </c>
      <c r="Q97" s="22">
        <f t="shared" si="54"/>
        <v>4.3899355776218544E-12</v>
      </c>
      <c r="R97" s="62">
        <f t="shared" si="55"/>
        <v>275.64051507724287</v>
      </c>
      <c r="S97" s="62">
        <f ca="1">AVERAGE(OFFSET($R$3,0,0,'Données projet'!$E$9+1,1))-AVERAGE(OFFSET($H$3,0,0,'Données projet'!$E$9+1,1))</f>
        <v>196.48726929442091</v>
      </c>
      <c r="T97" s="62">
        <f t="shared" si="88"/>
        <v>193.28400454669347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3.7012019793669832E-9</v>
      </c>
      <c r="AC97" s="24">
        <f t="shared" si="57"/>
        <v>3.7012019793669832E-9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3.7</v>
      </c>
      <c r="AI97" s="14">
        <f>IF('Données projet'!$A$62&gt;35,AI96+AH97-AQ96,IF(A97&lt;'Données projet'!$A$62,$AF$205^A97,IF(A97='Données projet'!$A$62,'Données projet'!$B$62,AI96+AH97-AQ96)))</f>
        <v>221.7999999999999</v>
      </c>
      <c r="AJ97" s="14">
        <f>AI97*VLOOKUP('Données projet'!$B$10,Paramètres!$A$1:$I$89,3,0)*VLOOKUP('Données projet'!$B$10,Paramètres!$A$1:$I$89,5,0)</f>
        <v>224.90519999999989</v>
      </c>
      <c r="AK97" s="14">
        <f t="shared" si="89"/>
        <v>55.17963460003309</v>
      </c>
      <c r="AL97" s="22">
        <f t="shared" si="58"/>
        <v>487.81442026172414</v>
      </c>
      <c r="AM97" s="62">
        <f t="shared" si="59"/>
        <v>763.45493533896263</v>
      </c>
      <c r="AN97" s="62">
        <f ca="1">AVERAGE(OFFSET($AM$3,0,0,'Données projet'!$E$10+1,1))-AVERAGE(OFFSET($H$3,0,0,'Données projet'!$E$10+1,1))</f>
        <v>414.29294334114661</v>
      </c>
      <c r="AO97" s="62">
        <f t="shared" si="90"/>
        <v>178.72086185623849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3.7</v>
      </c>
      <c r="BD97" s="13">
        <f>IF('Données projet'!$A$88&gt;35,BD96+BC97-BL96,IF(A97&lt;'Données projet'!$A$88,$BA$205^A97,IF(A97='Données projet'!$A$88,'Données projet'!$B$88,BD96+BC97-BL96)))</f>
        <v>221.7999999999999</v>
      </c>
      <c r="BE97" s="14">
        <f>BD97*VLOOKUP('Données projet'!$B$11,Paramètres!$A$1:$I$89,3,0)*VLOOKUP('Données projet'!$B$11,Paramètres!$A$1:$I$89,5,0)</f>
        <v>238.74551999999989</v>
      </c>
      <c r="BF97" s="14">
        <f t="shared" si="91"/>
        <v>58.169540730060781</v>
      </c>
      <c r="BG97" s="22">
        <f t="shared" si="61"/>
        <v>517.12706410485566</v>
      </c>
      <c r="BH97" s="62">
        <f t="shared" si="62"/>
        <v>792.7675791820941</v>
      </c>
      <c r="BI97" s="62">
        <f ca="1">AVERAGE(OFFSET($BH$3,0,0,'Données projet'!$E$11+1,1))-AVERAGE(OFFSET($H$3,0,0,'Données projet'!$E$11+1,1))</f>
        <v>434.74983403680108</v>
      </c>
      <c r="BJ97" s="62">
        <f t="shared" si="92"/>
        <v>186.0840067781198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2.6923076923076907</v>
      </c>
      <c r="BY97" s="13">
        <f>IF('Données projet'!$A$114&gt;35,BY96+BX97-CG96,IF(A97&lt;'Données projet'!$A$114,$BV$205^A97,IF(A97='Données projet'!$A$114,'Données projet'!$B$114,BY96+BX97-CG96)))</f>
        <v>196.02564102564108</v>
      </c>
      <c r="BZ97" s="14">
        <f>BY97*VLOOKUP('Données projet'!$B$12,Paramètres!$A$1:$I$89,3,0)*VLOOKUP('Données projet'!$B$12,Paramètres!$A$1:$I$89,5,0)</f>
        <v>168.19000000000005</v>
      </c>
      <c r="CA97" s="14">
        <f t="shared" si="93"/>
        <v>42.684391598051356</v>
      </c>
      <c r="CB97" s="22">
        <f t="shared" si="64"/>
        <v>367.2728986999395</v>
      </c>
      <c r="CC97" s="62">
        <f t="shared" si="65"/>
        <v>642.91341377717799</v>
      </c>
      <c r="CD97" s="62">
        <f ca="1">AVERAGE(OFFSET($CC$3,0,0,'Données projet'!$E$12+1,1))-AVERAGE(OFFSET($H$3,0,0,'Données projet'!$E$12+1,1))</f>
        <v>288.24759203983547</v>
      </c>
      <c r="CE97" s="62">
        <f t="shared" si="94"/>
        <v>188.86613033148794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2.6923076923076907</v>
      </c>
      <c r="CT97" s="13">
        <f>IF('Données projet'!$A$140&gt;35,CT96+CS97-DB96,IF(A97&lt;'Données projet'!$A$140,$CQ$205^A97,IF(A97='Données projet'!$A$140,'Données projet'!$B$140,CT96+CS97-DB96)))</f>
        <v>196.02564102564108</v>
      </c>
      <c r="CU97" s="18">
        <f>CT97*VLOOKUP('Données projet'!$B$13,Paramètres!$A$1:$I$89,3,0)*VLOOKUP('Données projet'!$B$13,Paramètres!$A$1:$I$89,5,0)</f>
        <v>131.49400000000006</v>
      </c>
      <c r="CV97" s="14">
        <f t="shared" si="95"/>
        <v>34.341348948072792</v>
      </c>
      <c r="CW97" s="22">
        <f t="shared" si="67"/>
        <v>288.82989941789356</v>
      </c>
      <c r="CX97" s="62">
        <f t="shared" si="68"/>
        <v>564.47041449513199</v>
      </c>
      <c r="CY97" s="62">
        <f ca="1">AVERAGE(OFFSET($CX$3,0,0,'Données projet'!$E$13+1,1))-AVERAGE(OFFSET($H$3,0,0,'Données projet'!$E$13+1,1))</f>
        <v>240.40157928925146</v>
      </c>
      <c r="CZ97" s="62">
        <f t="shared" si="96"/>
        <v>160.5013084380258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3.7</v>
      </c>
      <c r="DO97" s="13">
        <f>IF('Données projet'!$A$166&gt;35,DO96+DN97-DW96,IF(A97&lt;'Données projet'!$A$166,$DL$205^A97,IF(A97='Données projet'!$A$166,'Données projet'!$B$166,DO96+DN97-DW96)))</f>
        <v>221.7999999999999</v>
      </c>
      <c r="DP97" s="18">
        <f>DO97*VLOOKUP('Données projet'!$B$14,Paramètres!$A$1:$I$89,3,0)*VLOOKUP('Données projet'!$B$14,Paramètres!$A$1:$I$89,5,0)</f>
        <v>214.52495999999991</v>
      </c>
      <c r="DQ97" s="14">
        <f t="shared" si="97"/>
        <v>52.923173099085716</v>
      </c>
      <c r="DR97" s="22">
        <f t="shared" si="70"/>
        <v>465.80549848090749</v>
      </c>
      <c r="DS97" s="62">
        <f t="shared" si="71"/>
        <v>741.44601355814598</v>
      </c>
      <c r="DT97" s="62">
        <f ca="1">AVERAGE(OFFSET($DS$3,0,0,'Données projet'!$E$14+1,1))-AVERAGE(OFFSET($H$3,0,0,'Données projet'!$E$14+1,1))</f>
        <v>398.93296311353788</v>
      </c>
      <c r="DU97" s="62">
        <f t="shared" si="98"/>
        <v>173.19148969173838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-5.6843418860808015E-14</v>
      </c>
      <c r="EK97" s="18">
        <f>EJ97*VLOOKUP('Données projet'!$B$15,Paramètres!$A$1:$I$89,3,0)*VLOOKUP('Données projet'!$B$15,Paramètres!$A$1:$I$89,5,0)</f>
        <v>-4.9658410716801891E-14</v>
      </c>
      <c r="EL97" s="14" t="e">
        <f t="shared" si="99"/>
        <v>#NUM!</v>
      </c>
      <c r="EM97" s="22" t="e">
        <f t="shared" si="73"/>
        <v>#NUM!</v>
      </c>
      <c r="EN97" s="62" t="e">
        <f t="shared" si="74"/>
        <v>#NUM!</v>
      </c>
      <c r="EO97" s="62">
        <f ca="1">AVERAGE(OFFSET($EN$3,0,0,'Données projet'!$E$15+1,1))-AVERAGE(OFFSET($H$3,0,0,'Données projet'!$E$15+1,1))</f>
        <v>226.37420733783091</v>
      </c>
      <c r="EP97" s="62">
        <f t="shared" si="100"/>
        <v>204.10961748628714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6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9">
        <f t="shared" si="56"/>
        <v>183.33333333333334</v>
      </c>
      <c r="I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2.8421709430404007E-13</v>
      </c>
      <c r="O98" s="14">
        <f>N98*VLOOKUP('Données projet'!$B$9,Paramètres!$A$1:$I$89,3,0)*VLOOKUP('Données projet'!$B$9,Paramètres!$A$1:$I$89,5,0)</f>
        <v>1.6626700016786346E-13</v>
      </c>
      <c r="P98" s="14">
        <f t="shared" si="87"/>
        <v>2.3542701735863119E-12</v>
      </c>
      <c r="Q98" s="22">
        <f t="shared" si="54"/>
        <v>4.3899355776218544E-12</v>
      </c>
      <c r="R98" s="62">
        <f t="shared" si="55"/>
        <v>275.94744591877031</v>
      </c>
      <c r="S98" s="62">
        <f ca="1">AVERAGE(OFFSET($R$3,0,0,'Données projet'!$E$9+1,1))-AVERAGE(OFFSET($H$3,0,0,'Données projet'!$E$9+1,1))</f>
        <v>196.48726929442091</v>
      </c>
      <c r="T98" s="62">
        <f t="shared" si="88"/>
        <v>193.28400454669347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2.6171450181514663E-9</v>
      </c>
      <c r="AC98" s="24">
        <f t="shared" si="57"/>
        <v>2.6171450181514663E-9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3.7</v>
      </c>
      <c r="AI98" s="14">
        <f>IF('Données projet'!$A$62&gt;35,AI97+AH98-AQ97,IF(A98&lt;'Données projet'!$A$62,$AF$205^A98,IF(A98='Données projet'!$A$62,'Données projet'!$B$62,AI97+AH98-AQ97)))</f>
        <v>225.49999999999989</v>
      </c>
      <c r="AJ98" s="14">
        <f>AI98*VLOOKUP('Données projet'!$B$10,Paramètres!$A$1:$I$89,3,0)*VLOOKUP('Données projet'!$B$10,Paramètres!$A$1:$I$89,5,0)</f>
        <v>228.6569999999999</v>
      </c>
      <c r="AK98" s="14">
        <f t="shared" si="89"/>
        <v>55.992194631995119</v>
      </c>
      <c r="AL98" s="22">
        <f t="shared" si="58"/>
        <v>495.76401398405795</v>
      </c>
      <c r="AM98" s="62">
        <f t="shared" si="59"/>
        <v>771.71145990282389</v>
      </c>
      <c r="AN98" s="62">
        <f ca="1">AVERAGE(OFFSET($AM$3,0,0,'Données projet'!$E$10+1,1))-AVERAGE(OFFSET($H$3,0,0,'Données projet'!$E$10+1,1))</f>
        <v>414.29294334114661</v>
      </c>
      <c r="AO98" s="62">
        <f t="shared" si="90"/>
        <v>178.72086185623849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3.7</v>
      </c>
      <c r="BD98" s="13">
        <f>IF('Données projet'!$A$88&gt;35,BD97+BC98-BL97,IF(A98&lt;'Données projet'!$A$88,$BA$205^A98,IF(A98='Données projet'!$A$88,'Données projet'!$B$88,BD97+BC98-BL97)))</f>
        <v>225.49999999999989</v>
      </c>
      <c r="BE98" s="14">
        <f>BD98*VLOOKUP('Données projet'!$B$11,Paramètres!$A$1:$I$89,3,0)*VLOOKUP('Données projet'!$B$11,Paramètres!$A$1:$I$89,5,0)</f>
        <v>242.72819999999987</v>
      </c>
      <c r="BF98" s="14">
        <f t="shared" si="91"/>
        <v>59.026129292443294</v>
      </c>
      <c r="BG98" s="22">
        <f t="shared" si="61"/>
        <v>525.55545685100515</v>
      </c>
      <c r="BH98" s="62">
        <f t="shared" si="62"/>
        <v>801.50290276977103</v>
      </c>
      <c r="BI98" s="62">
        <f ca="1">AVERAGE(OFFSET($BH$3,0,0,'Données projet'!$E$11+1,1))-AVERAGE(OFFSET($H$3,0,0,'Données projet'!$E$11+1,1))</f>
        <v>434.74983403680108</v>
      </c>
      <c r="BJ98" s="62">
        <f t="shared" si="92"/>
        <v>186.0840067781198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projet'!$A$113:$I$133,2,0)</f>
        <v>198.7179487179487</v>
      </c>
      <c r="BW98" s="13">
        <f>VLOOKUP(A98,'Données projet'!$A$113:$I$133,9,0)</f>
        <v>2.6923076923076907</v>
      </c>
      <c r="BX98" s="13">
        <f t="array" ref="BX98">INDEX(BW:BW,MIN(IF(ISNUMBER(BW98:BW294),ROW(BW98:BW294),"")))</f>
        <v>2.6923076923076907</v>
      </c>
      <c r="BY98" s="13">
        <f>IF('Données projet'!$A$114&gt;35,BY97+BX98-CG97,IF(A98&lt;'Données projet'!$A$114,$BV$205^A98,IF(A98='Données projet'!$A$114,'Données projet'!$B$114,BY97+BX98-CG97)))</f>
        <v>198.71794871794876</v>
      </c>
      <c r="BZ98" s="14">
        <f>BY98*VLOOKUP('Données projet'!$B$12,Paramètres!$A$1:$I$89,3,0)*VLOOKUP('Données projet'!$B$12,Paramètres!$A$1:$I$89,5,0)</f>
        <v>170.50000000000006</v>
      </c>
      <c r="CA98" s="14">
        <f t="shared" si="93"/>
        <v>43.20198780451895</v>
      </c>
      <c r="CB98" s="22">
        <f t="shared" si="64"/>
        <v>372.19762875953728</v>
      </c>
      <c r="CC98" s="62">
        <f t="shared" si="65"/>
        <v>648.14507467830322</v>
      </c>
      <c r="CD98" s="62">
        <f ca="1">AVERAGE(OFFSET($CC$3,0,0,'Données projet'!$E$12+1,1))-AVERAGE(OFFSET($H$3,0,0,'Données projet'!$E$12+1,1))</f>
        <v>288.24759203983547</v>
      </c>
      <c r="CE98" s="62">
        <f t="shared" si="94"/>
        <v>188.86613033148794</v>
      </c>
      <c r="CF98" s="16">
        <f>IF(ISNA(VLOOKUP(A98,'Données projet'!$A$113:$I$133,3,0)),0,VLOOKUP(A98,'Données projet'!$A$113:$I$133,3,0))</f>
        <v>8</v>
      </c>
      <c r="CG98" s="16">
        <f>IF(ISNA(VLOOKUP(A98,'Données projet'!$A$113:$I$133,4,0)),0,VLOOKUP(A98,'Données projet'!$A$113:$I$133,4,0))</f>
        <v>16.666666666666668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>
        <f>VLOOKUP(A98,'Données projet'!$A$139:$I$159,2,0)</f>
        <v>198.7179487179487</v>
      </c>
      <c r="CR98" s="13">
        <f>VLOOKUP(A98,'Données projet'!$A$139:$I$159,9,0)</f>
        <v>2.6923076923076907</v>
      </c>
      <c r="CS98" s="13">
        <f t="array" ref="CS98">INDEX(CR:CR,MIN(IF(ISNUMBER(CR98:CR294),ROW(CR98:CR294),"")))</f>
        <v>2.6923076923076907</v>
      </c>
      <c r="CT98" s="13">
        <f>IF('Données projet'!$A$140&gt;35,CT97+CS98-DB97,IF(A98&lt;'Données projet'!$A$140,$CQ$205^A98,IF(A98='Données projet'!$A$140,'Données projet'!$B$140,CT97+CS98-DB97)))</f>
        <v>198.71794871794876</v>
      </c>
      <c r="CU98" s="18">
        <f>CT98*VLOOKUP('Données projet'!$B$13,Paramètres!$A$1:$I$89,3,0)*VLOOKUP('Données projet'!$B$13,Paramètres!$A$1:$I$89,5,0)</f>
        <v>133.30000000000004</v>
      </c>
      <c r="CV98" s="14">
        <f t="shared" si="95"/>
        <v>34.757776388526544</v>
      </c>
      <c r="CW98" s="22">
        <f t="shared" si="67"/>
        <v>292.7006272100171</v>
      </c>
      <c r="CX98" s="62">
        <f t="shared" si="68"/>
        <v>568.64807312878304</v>
      </c>
      <c r="CY98" s="62">
        <f ca="1">AVERAGE(OFFSET($CX$3,0,0,'Données projet'!$E$13+1,1))-AVERAGE(OFFSET($H$3,0,0,'Données projet'!$E$13+1,1))</f>
        <v>240.40157928925146</v>
      </c>
      <c r="CZ98" s="62">
        <f t="shared" si="96"/>
        <v>160.5013084380258</v>
      </c>
      <c r="DA98" s="16">
        <f>IF(ISNA(VLOOKUP(A98,'Données projet'!$A$139:$I$159,3,0)),0,VLOOKUP(A98,'Données projet'!$A$139:$I$159,3,0))</f>
        <v>8</v>
      </c>
      <c r="DB98" s="16">
        <f>IF(ISNA(VLOOKUP(A98,'Données projet'!$A$139:$I$159,4,0)),0,VLOOKUP(A98,'Données projet'!$A$139:$I$159,4,0))</f>
        <v>16.666666666666668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3.7</v>
      </c>
      <c r="DO98" s="13">
        <f>IF('Données projet'!$A$166&gt;35,DO97+DN98-DW97,IF(A98&lt;'Données projet'!$A$166,$DL$205^A98,IF(A98='Données projet'!$A$166,'Données projet'!$B$166,DO97+DN98-DW97)))</f>
        <v>225.49999999999989</v>
      </c>
      <c r="DP98" s="18">
        <f>DO98*VLOOKUP('Données projet'!$B$14,Paramètres!$A$1:$I$89,3,0)*VLOOKUP('Données projet'!$B$14,Paramètres!$A$1:$I$89,5,0)</f>
        <v>218.10359999999989</v>
      </c>
      <c r="DQ98" s="14">
        <f t="shared" si="97"/>
        <v>53.702505103304937</v>
      </c>
      <c r="DR98" s="22">
        <f t="shared" si="70"/>
        <v>473.39563305492248</v>
      </c>
      <c r="DS98" s="62">
        <f t="shared" si="71"/>
        <v>749.34307897368842</v>
      </c>
      <c r="DT98" s="62">
        <f ca="1">AVERAGE(OFFSET($DS$3,0,0,'Données projet'!$E$14+1,1))-AVERAGE(OFFSET($H$3,0,0,'Données projet'!$E$14+1,1))</f>
        <v>398.93296311353788</v>
      </c>
      <c r="DU98" s="62">
        <f t="shared" si="98"/>
        <v>173.19148969173838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-5.6843418860808015E-14</v>
      </c>
      <c r="EK98" s="18">
        <f>EJ98*VLOOKUP('Données projet'!$B$15,Paramètres!$A$1:$I$89,3,0)*VLOOKUP('Données projet'!$B$15,Paramètres!$A$1:$I$89,5,0)</f>
        <v>-4.9658410716801891E-14</v>
      </c>
      <c r="EL98" s="14" t="e">
        <f t="shared" si="99"/>
        <v>#NUM!</v>
      </c>
      <c r="EM98" s="22" t="e">
        <f t="shared" si="73"/>
        <v>#NUM!</v>
      </c>
      <c r="EN98" s="62" t="e">
        <f t="shared" si="74"/>
        <v>#NUM!</v>
      </c>
      <c r="EO98" s="62">
        <f ca="1">AVERAGE(OFFSET($EN$3,0,0,'Données projet'!$E$15+1,1))-AVERAGE(OFFSET($H$3,0,0,'Données projet'!$E$15+1,1))</f>
        <v>226.37420733783091</v>
      </c>
      <c r="EP98" s="62">
        <f t="shared" si="100"/>
        <v>204.10961748628714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6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9">
        <f t="shared" si="56"/>
        <v>183.33333333333334</v>
      </c>
      <c r="I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2.8421709430404007E-13</v>
      </c>
      <c r="O99" s="14">
        <f>N99*VLOOKUP('Données projet'!$B$9,Paramètres!$A$1:$I$89,3,0)*VLOOKUP('Données projet'!$B$9,Paramètres!$A$1:$I$89,5,0)</f>
        <v>1.6626700016786346E-13</v>
      </c>
      <c r="P99" s="14">
        <f t="shared" si="87"/>
        <v>2.3542701735863119E-12</v>
      </c>
      <c r="Q99" s="22">
        <f t="shared" ref="Q99:Q130" si="107">(O99+P99)*0.475*44/12</f>
        <v>4.3899355776218544E-12</v>
      </c>
      <c r="R99" s="62">
        <f t="shared" si="55"/>
        <v>276.2490521963918</v>
      </c>
      <c r="S99" s="62">
        <f ca="1">AVERAGE(OFFSET($R$3,0,0,'Données projet'!$E$9+1,1))-AVERAGE(OFFSET($H$3,0,0,'Données projet'!$E$9+1,1))</f>
        <v>196.48726929442091</v>
      </c>
      <c r="T99" s="62">
        <f t="shared" si="88"/>
        <v>193.28400454669347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1.850600989683492E-9</v>
      </c>
      <c r="AC99" s="24">
        <f t="shared" si="57"/>
        <v>1.850600989683492E-9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3.7</v>
      </c>
      <c r="AI99" s="14">
        <f>IF('Données projet'!$A$62&gt;35,AI98+AH99-AQ98,IF(A99&lt;'Données projet'!$A$62,$AF$205^A99,IF(A99='Données projet'!$A$62,'Données projet'!$B$62,AI98+AH99-AQ98)))</f>
        <v>229.19999999999987</v>
      </c>
      <c r="AJ99" s="14">
        <f>AI99*VLOOKUP('Données projet'!$B$10,Paramètres!$A$1:$I$89,3,0)*VLOOKUP('Données projet'!$B$10,Paramètres!$A$1:$I$89,5,0)</f>
        <v>232.4087999999999</v>
      </c>
      <c r="AK99" s="14">
        <f t="shared" si="89"/>
        <v>56.803204171860791</v>
      </c>
      <c r="AL99" s="22">
        <f t="shared" si="58"/>
        <v>503.71090726599067</v>
      </c>
      <c r="AM99" s="62">
        <f t="shared" si="59"/>
        <v>779.95995946237804</v>
      </c>
      <c r="AN99" s="62">
        <f ca="1">AVERAGE(OFFSET($AM$3,0,0,'Données projet'!$E$10+1,1))-AVERAGE(OFFSET($H$3,0,0,'Données projet'!$E$10+1,1))</f>
        <v>414.29294334114661</v>
      </c>
      <c r="AO99" s="62">
        <f t="shared" si="90"/>
        <v>178.72086185623849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3.7</v>
      </c>
      <c r="BD99" s="13">
        <f>IF('Données projet'!$A$88&gt;35,BD98+BC99-BL98,IF(A99&lt;'Données projet'!$A$88,$BA$205^A99,IF(A99='Données projet'!$A$88,'Données projet'!$B$88,BD98+BC99-BL98)))</f>
        <v>229.19999999999987</v>
      </c>
      <c r="BE99" s="14">
        <f>BD99*VLOOKUP('Données projet'!$B$11,Paramètres!$A$1:$I$89,3,0)*VLOOKUP('Données projet'!$B$11,Paramètres!$A$1:$I$89,5,0)</f>
        <v>246.71087999999986</v>
      </c>
      <c r="BF99" s="14">
        <f t="shared" si="91"/>
        <v>59.881083349381889</v>
      </c>
      <c r="BG99" s="22">
        <f t="shared" si="61"/>
        <v>533.98100283350652</v>
      </c>
      <c r="BH99" s="62">
        <f t="shared" si="62"/>
        <v>810.23005502989395</v>
      </c>
      <c r="BI99" s="62">
        <f ca="1">AVERAGE(OFFSET($BH$3,0,0,'Données projet'!$E$11+1,1))-AVERAGE(OFFSET($H$3,0,0,'Données projet'!$E$11+1,1))</f>
        <v>434.74983403680108</v>
      </c>
      <c r="BJ99" s="62">
        <f t="shared" si="92"/>
        <v>186.0840067781198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2.5641025641025634</v>
      </c>
      <c r="BY99" s="13">
        <f>IF('Données projet'!$A$114&gt;35,BY98+BX99-CG98,IF(A99&lt;'Données projet'!$A$114,$BV$205^A99,IF(A99='Données projet'!$A$114,'Données projet'!$B$114,BY98+BX99-CG98)))</f>
        <v>184.61538461538467</v>
      </c>
      <c r="BZ99" s="14">
        <f>BY99*VLOOKUP('Données projet'!$B$12,Paramètres!$A$1:$I$89,3,0)*VLOOKUP('Données projet'!$B$12,Paramètres!$A$1:$I$89,5,0)</f>
        <v>158.40000000000006</v>
      </c>
      <c r="CA99" s="14">
        <f t="shared" si="93"/>
        <v>40.481420120032169</v>
      </c>
      <c r="CB99" s="22">
        <f t="shared" si="64"/>
        <v>346.38514004238942</v>
      </c>
      <c r="CC99" s="62">
        <f t="shared" si="65"/>
        <v>622.6341922387769</v>
      </c>
      <c r="CD99" s="62">
        <f ca="1">AVERAGE(OFFSET($CC$3,0,0,'Données projet'!$E$12+1,1))-AVERAGE(OFFSET($H$3,0,0,'Données projet'!$E$12+1,1))</f>
        <v>288.24759203983547</v>
      </c>
      <c r="CE99" s="62">
        <f t="shared" si="94"/>
        <v>188.86613033148794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2.5641025641025634</v>
      </c>
      <c r="CT99" s="13">
        <f>IF('Données projet'!$A$140&gt;35,CT98+CS99-DB98,IF(A99&lt;'Données projet'!$A$140,$CQ$205^A99,IF(A99='Données projet'!$A$140,'Données projet'!$B$140,CT98+CS99-DB98)))</f>
        <v>184.61538461538467</v>
      </c>
      <c r="CU99" s="18">
        <f>CT99*VLOOKUP('Données projet'!$B$13,Paramètres!$A$1:$I$89,3,0)*VLOOKUP('Données projet'!$B$13,Paramètres!$A$1:$I$89,5,0)</f>
        <v>123.84000000000003</v>
      </c>
      <c r="CV99" s="14">
        <f t="shared" si="95"/>
        <v>32.568967770388099</v>
      </c>
      <c r="CW99" s="22">
        <f t="shared" si="67"/>
        <v>272.41228553342597</v>
      </c>
      <c r="CX99" s="62">
        <f t="shared" si="68"/>
        <v>548.66133772981334</v>
      </c>
      <c r="CY99" s="62">
        <f ca="1">AVERAGE(OFFSET($CX$3,0,0,'Données projet'!$E$13+1,1))-AVERAGE(OFFSET($H$3,0,0,'Données projet'!$E$13+1,1))</f>
        <v>240.40157928925146</v>
      </c>
      <c r="CZ99" s="62">
        <f t="shared" si="96"/>
        <v>160.5013084380258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3.7</v>
      </c>
      <c r="DO99" s="13">
        <f>IF('Données projet'!$A$166&gt;35,DO98+DN99-DW98,IF(A99&lt;'Données projet'!$A$166,$DL$205^A99,IF(A99='Données projet'!$A$166,'Données projet'!$B$166,DO98+DN99-DW98)))</f>
        <v>229.19999999999987</v>
      </c>
      <c r="DP99" s="18">
        <f>DO99*VLOOKUP('Données projet'!$B$14,Paramètres!$A$1:$I$89,3,0)*VLOOKUP('Données projet'!$B$14,Paramètres!$A$1:$I$89,5,0)</f>
        <v>221.68223999999989</v>
      </c>
      <c r="DQ99" s="14">
        <f t="shared" si="97"/>
        <v>54.480350019720802</v>
      </c>
      <c r="DR99" s="22">
        <f t="shared" si="70"/>
        <v>480.98317761768021</v>
      </c>
      <c r="DS99" s="62">
        <f t="shared" si="71"/>
        <v>757.23222981406764</v>
      </c>
      <c r="DT99" s="62">
        <f ca="1">AVERAGE(OFFSET($DS$3,0,0,'Données projet'!$E$14+1,1))-AVERAGE(OFFSET($H$3,0,0,'Données projet'!$E$14+1,1))</f>
        <v>398.93296311353788</v>
      </c>
      <c r="DU99" s="62">
        <f t="shared" si="98"/>
        <v>173.19148969173838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-5.6843418860808015E-14</v>
      </c>
      <c r="EK99" s="18">
        <f>EJ99*VLOOKUP('Données projet'!$B$15,Paramètres!$A$1:$I$89,3,0)*VLOOKUP('Données projet'!$B$15,Paramètres!$A$1:$I$89,5,0)</f>
        <v>-4.9658410716801891E-14</v>
      </c>
      <c r="EL99" s="14" t="e">
        <f t="shared" si="99"/>
        <v>#NUM!</v>
      </c>
      <c r="EM99" s="22" t="e">
        <f t="shared" si="73"/>
        <v>#NUM!</v>
      </c>
      <c r="EN99" s="62" t="e">
        <f t="shared" si="74"/>
        <v>#NUM!</v>
      </c>
      <c r="EO99" s="62">
        <f ca="1">AVERAGE(OFFSET($EN$3,0,0,'Données projet'!$E$15+1,1))-AVERAGE(OFFSET($H$3,0,0,'Données projet'!$E$15+1,1))</f>
        <v>226.37420733783091</v>
      </c>
      <c r="EP99" s="62">
        <f t="shared" si="100"/>
        <v>204.10961748628714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6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9">
        <f t="shared" si="56"/>
        <v>183.33333333333334</v>
      </c>
      <c r="I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2.8421709430404007E-13</v>
      </c>
      <c r="O100" s="14">
        <f>N100*VLOOKUP('Données projet'!$B$9,Paramètres!$A$1:$I$89,3,0)*VLOOKUP('Données projet'!$B$9,Paramètres!$A$1:$I$89,5,0)</f>
        <v>1.6626700016786346E-13</v>
      </c>
      <c r="P100" s="14">
        <f t="shared" si="87"/>
        <v>2.3542701735863119E-12</v>
      </c>
      <c r="Q100" s="22">
        <f t="shared" si="107"/>
        <v>4.3899355776218544E-12</v>
      </c>
      <c r="R100" s="62">
        <f t="shared" si="55"/>
        <v>276.54542627938719</v>
      </c>
      <c r="S100" s="62">
        <f ca="1">AVERAGE(OFFSET($R$3,0,0,'Données projet'!$E$9+1,1))-AVERAGE(OFFSET($H$3,0,0,'Données projet'!$E$9+1,1))</f>
        <v>196.48726929442091</v>
      </c>
      <c r="T100" s="62">
        <f t="shared" si="88"/>
        <v>193.28400454669347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1.3085725090757334E-9</v>
      </c>
      <c r="AC100" s="24">
        <f t="shared" si="57"/>
        <v>1.3085725090757334E-9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3.7</v>
      </c>
      <c r="AI100" s="14">
        <f>IF('Données projet'!$A$62&gt;35,AI99+AH100-AQ99,IF(A100&lt;'Données projet'!$A$62,$AF$205^A100,IF(A100='Données projet'!$A$62,'Données projet'!$B$62,AI99+AH100-AQ99)))</f>
        <v>232.89999999999986</v>
      </c>
      <c r="AJ100" s="14">
        <f>AI100*VLOOKUP('Données projet'!$B$10,Paramètres!$A$1:$I$89,3,0)*VLOOKUP('Données projet'!$B$10,Paramètres!$A$1:$I$89,5,0)</f>
        <v>236.16059999999987</v>
      </c>
      <c r="AK100" s="14">
        <f t="shared" si="89"/>
        <v>57.612691139059045</v>
      </c>
      <c r="AL100" s="22">
        <f t="shared" si="58"/>
        <v>511.65514873386093</v>
      </c>
      <c r="AM100" s="62">
        <f t="shared" si="59"/>
        <v>788.20057501324368</v>
      </c>
      <c r="AN100" s="62">
        <f ca="1">AVERAGE(OFFSET($AM$3,0,0,'Données projet'!$E$10+1,1))-AVERAGE(OFFSET($H$3,0,0,'Données projet'!$E$10+1,1))</f>
        <v>414.29294334114661</v>
      </c>
      <c r="AO100" s="62">
        <f t="shared" si="90"/>
        <v>178.72086185623849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3.7</v>
      </c>
      <c r="BD100" s="13">
        <f>IF('Données projet'!$A$88&gt;35,BD99+BC100-BL99,IF(A100&lt;'Données projet'!$A$88,$BA$205^A100,IF(A100='Données projet'!$A$88,'Données projet'!$B$88,BD99+BC100-BL99)))</f>
        <v>232.89999999999986</v>
      </c>
      <c r="BE100" s="14">
        <f>BD100*VLOOKUP('Données projet'!$B$11,Paramètres!$A$1:$I$89,3,0)*VLOOKUP('Données projet'!$B$11,Paramètres!$A$1:$I$89,5,0)</f>
        <v>250.69355999999982</v>
      </c>
      <c r="BF100" s="14">
        <f t="shared" si="91"/>
        <v>60.734432333118377</v>
      </c>
      <c r="BG100" s="22">
        <f t="shared" si="61"/>
        <v>542.40375331351413</v>
      </c>
      <c r="BH100" s="62">
        <f t="shared" si="62"/>
        <v>818.94917959289694</v>
      </c>
      <c r="BI100" s="62">
        <f ca="1">AVERAGE(OFFSET($BH$3,0,0,'Données projet'!$E$11+1,1))-AVERAGE(OFFSET($H$3,0,0,'Données projet'!$E$11+1,1))</f>
        <v>434.74983403680108</v>
      </c>
      <c r="BJ100" s="62">
        <f t="shared" si="92"/>
        <v>186.0840067781198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2.5641025641025634</v>
      </c>
      <c r="BY100" s="13">
        <f>IF('Données projet'!$A$114&gt;35,BY99+BX100-CG99,IF(A100&lt;'Données projet'!$A$114,$BV$205^A100,IF(A100='Données projet'!$A$114,'Données projet'!$B$114,BY99+BX100-CG99)))</f>
        <v>187.17948717948724</v>
      </c>
      <c r="BZ100" s="14">
        <f>BY100*VLOOKUP('Données projet'!$B$12,Paramètres!$A$1:$I$89,3,0)*VLOOKUP('Données projet'!$B$12,Paramètres!$A$1:$I$89,5,0)</f>
        <v>160.60000000000005</v>
      </c>
      <c r="CA100" s="14">
        <f t="shared" si="93"/>
        <v>40.977817586493991</v>
      </c>
      <c r="CB100" s="22">
        <f t="shared" si="64"/>
        <v>351.08136562981036</v>
      </c>
      <c r="CC100" s="62">
        <f t="shared" si="65"/>
        <v>627.62679190919312</v>
      </c>
      <c r="CD100" s="62">
        <f ca="1">AVERAGE(OFFSET($CC$3,0,0,'Données projet'!$E$12+1,1))-AVERAGE(OFFSET($H$3,0,0,'Données projet'!$E$12+1,1))</f>
        <v>288.24759203983547</v>
      </c>
      <c r="CE100" s="62">
        <f t="shared" si="94"/>
        <v>188.86613033148794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2.5641025641025634</v>
      </c>
      <c r="CT100" s="13">
        <f>IF('Données projet'!$A$140&gt;35,CT99+CS100-DB99,IF(A100&lt;'Données projet'!$A$140,$CQ$205^A100,IF(A100='Données projet'!$A$140,'Données projet'!$B$140,CT99+CS100-DB99)))</f>
        <v>187.17948717948724</v>
      </c>
      <c r="CU100" s="18">
        <f>CT100*VLOOKUP('Données projet'!$B$13,Paramètres!$A$1:$I$89,3,0)*VLOOKUP('Données projet'!$B$13,Paramètres!$A$1:$I$89,5,0)</f>
        <v>125.56000000000004</v>
      </c>
      <c r="CV100" s="14">
        <f t="shared" si="95"/>
        <v>32.968339952454812</v>
      </c>
      <c r="CW100" s="22">
        <f t="shared" si="67"/>
        <v>276.10352541719226</v>
      </c>
      <c r="CX100" s="62">
        <f t="shared" si="68"/>
        <v>552.64895169657507</v>
      </c>
      <c r="CY100" s="62">
        <f ca="1">AVERAGE(OFFSET($CX$3,0,0,'Données projet'!$E$13+1,1))-AVERAGE(OFFSET($H$3,0,0,'Données projet'!$E$13+1,1))</f>
        <v>240.40157928925146</v>
      </c>
      <c r="CZ100" s="62">
        <f t="shared" si="96"/>
        <v>160.5013084380258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3.7</v>
      </c>
      <c r="DO100" s="13">
        <f>IF('Données projet'!$A$166&gt;35,DO99+DN100-DW99,IF(A100&lt;'Données projet'!$A$166,$DL$205^A100,IF(A100='Données projet'!$A$166,'Données projet'!$B$166,DO99+DN100-DW99)))</f>
        <v>232.89999999999986</v>
      </c>
      <c r="DP100" s="18">
        <f>DO100*VLOOKUP('Données projet'!$B$14,Paramètres!$A$1:$I$89,3,0)*VLOOKUP('Données projet'!$B$14,Paramètres!$A$1:$I$89,5,0)</f>
        <v>225.26087999999987</v>
      </c>
      <c r="DQ100" s="14">
        <f t="shared" si="97"/>
        <v>55.256734626052747</v>
      </c>
      <c r="DR100" s="22">
        <f t="shared" si="70"/>
        <v>488.56817880704153</v>
      </c>
      <c r="DS100" s="62">
        <f t="shared" si="71"/>
        <v>765.11360508642429</v>
      </c>
      <c r="DT100" s="62">
        <f ca="1">AVERAGE(OFFSET($DS$3,0,0,'Données projet'!$E$14+1,1))-AVERAGE(OFFSET($H$3,0,0,'Données projet'!$E$14+1,1))</f>
        <v>398.93296311353788</v>
      </c>
      <c r="DU100" s="62">
        <f t="shared" si="98"/>
        <v>173.19148969173838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-5.6843418860808015E-14</v>
      </c>
      <c r="EK100" s="18">
        <f>EJ100*VLOOKUP('Données projet'!$B$15,Paramètres!$A$1:$I$89,3,0)*VLOOKUP('Données projet'!$B$15,Paramètres!$A$1:$I$89,5,0)</f>
        <v>-4.9658410716801891E-14</v>
      </c>
      <c r="EL100" s="14" t="e">
        <f t="shared" si="99"/>
        <v>#NUM!</v>
      </c>
      <c r="EM100" s="22" t="e">
        <f t="shared" si="73"/>
        <v>#NUM!</v>
      </c>
      <c r="EN100" s="62" t="e">
        <f t="shared" si="74"/>
        <v>#NUM!</v>
      </c>
      <c r="EO100" s="62">
        <f ca="1">AVERAGE(OFFSET($EN$3,0,0,'Données projet'!$E$15+1,1))-AVERAGE(OFFSET($H$3,0,0,'Données projet'!$E$15+1,1))</f>
        <v>226.37420733783091</v>
      </c>
      <c r="EP100" s="62">
        <f t="shared" si="100"/>
        <v>204.10961748628714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6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9">
        <f t="shared" si="56"/>
        <v>183.33333333333334</v>
      </c>
      <c r="I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2.8421709430404007E-13</v>
      </c>
      <c r="O101" s="14">
        <f>N101*VLOOKUP('Données projet'!$B$9,Paramètres!$A$1:$I$89,3,0)*VLOOKUP('Données projet'!$B$9,Paramètres!$A$1:$I$89,5,0)</f>
        <v>1.6626700016786346E-13</v>
      </c>
      <c r="P101" s="14">
        <f t="shared" si="87"/>
        <v>2.3542701735863119E-12</v>
      </c>
      <c r="Q101" s="22">
        <f t="shared" si="107"/>
        <v>4.3899355776218544E-12</v>
      </c>
      <c r="R101" s="62">
        <f t="shared" si="55"/>
        <v>276.83665893463575</v>
      </c>
      <c r="S101" s="62">
        <f ca="1">AVERAGE(OFFSET($R$3,0,0,'Données projet'!$E$9+1,1))-AVERAGE(OFFSET($H$3,0,0,'Données projet'!$E$9+1,1))</f>
        <v>196.48726929442091</v>
      </c>
      <c r="T101" s="62">
        <f t="shared" si="88"/>
        <v>193.28400454669347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9.2530049484174611E-10</v>
      </c>
      <c r="AC101" s="24">
        <f t="shared" si="57"/>
        <v>9.2530049484174611E-10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3.7</v>
      </c>
      <c r="AI101" s="14">
        <f>IF('Données projet'!$A$62&gt;35,AI100+AH101-AQ100,IF(A101&lt;'Données projet'!$A$62,$AF$205^A101,IF(A101='Données projet'!$A$62,'Données projet'!$B$62,AI100+AH101-AQ100)))</f>
        <v>236.59999999999985</v>
      </c>
      <c r="AJ101" s="14">
        <f>AI101*VLOOKUP('Données projet'!$B$10,Paramètres!$A$1:$I$89,3,0)*VLOOKUP('Données projet'!$B$10,Paramètres!$A$1:$I$89,5,0)</f>
        <v>239.91239999999985</v>
      </c>
      <c r="AK101" s="14">
        <f t="shared" si="89"/>
        <v>58.420682515047339</v>
      </c>
      <c r="AL101" s="22">
        <f t="shared" si="58"/>
        <v>519.59678538037383</v>
      </c>
      <c r="AM101" s="62">
        <f t="shared" si="59"/>
        <v>796.4334443150052</v>
      </c>
      <c r="AN101" s="62">
        <f ca="1">AVERAGE(OFFSET($AM$3,0,0,'Données projet'!$E$10+1,1))-AVERAGE(OFFSET($H$3,0,0,'Données projet'!$E$10+1,1))</f>
        <v>414.29294334114661</v>
      </c>
      <c r="AO101" s="62">
        <f t="shared" si="90"/>
        <v>178.72086185623849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3.7</v>
      </c>
      <c r="BD101" s="13">
        <f>IF('Données projet'!$A$88&gt;35,BD100+BC101-BL100,IF(A101&lt;'Données projet'!$A$88,$BA$205^A101,IF(A101='Données projet'!$A$88,'Données projet'!$B$88,BD100+BC101-BL100)))</f>
        <v>236.59999999999985</v>
      </c>
      <c r="BE101" s="14">
        <f>BD101*VLOOKUP('Données projet'!$B$11,Paramètres!$A$1:$I$89,3,0)*VLOOKUP('Données projet'!$B$11,Paramètres!$A$1:$I$89,5,0)</f>
        <v>254.67623999999981</v>
      </c>
      <c r="BF101" s="14">
        <f t="shared" si="91"/>
        <v>61.58620468709951</v>
      </c>
      <c r="BG101" s="22">
        <f t="shared" si="61"/>
        <v>550.82375783003135</v>
      </c>
      <c r="BH101" s="62">
        <f t="shared" si="62"/>
        <v>827.66041676466273</v>
      </c>
      <c r="BI101" s="62">
        <f ca="1">AVERAGE(OFFSET($BH$3,0,0,'Données projet'!$E$11+1,1))-AVERAGE(OFFSET($H$3,0,0,'Données projet'!$E$11+1,1))</f>
        <v>434.74983403680108</v>
      </c>
      <c r="BJ101" s="62">
        <f t="shared" si="92"/>
        <v>186.0840067781198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2.5641025641025634</v>
      </c>
      <c r="BY101" s="13">
        <f>IF('Données projet'!$A$114&gt;35,BY100+BX101-CG100,IF(A101&lt;'Données projet'!$A$114,$BV$205^A101,IF(A101='Données projet'!$A$114,'Données projet'!$B$114,BY100+BX101-CG100)))</f>
        <v>189.74358974358981</v>
      </c>
      <c r="BZ101" s="14">
        <f>BY101*VLOOKUP('Données projet'!$B$12,Paramètres!$A$1:$I$89,3,0)*VLOOKUP('Données projet'!$B$12,Paramètres!$A$1:$I$89,5,0)</f>
        <v>162.80000000000007</v>
      </c>
      <c r="CA101" s="14">
        <f t="shared" si="93"/>
        <v>41.473424141548499</v>
      </c>
      <c r="CB101" s="22">
        <f t="shared" si="64"/>
        <v>355.77621371319702</v>
      </c>
      <c r="CC101" s="62">
        <f t="shared" si="65"/>
        <v>632.61287264782845</v>
      </c>
      <c r="CD101" s="62">
        <f ca="1">AVERAGE(OFFSET($CC$3,0,0,'Données projet'!$E$12+1,1))-AVERAGE(OFFSET($H$3,0,0,'Données projet'!$E$12+1,1))</f>
        <v>288.24759203983547</v>
      </c>
      <c r="CE101" s="62">
        <f t="shared" si="94"/>
        <v>188.86613033148794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2.5641025641025634</v>
      </c>
      <c r="CT101" s="13">
        <f>IF('Données projet'!$A$140&gt;35,CT100+CS101-DB100,IF(A101&lt;'Données projet'!$A$140,$CQ$205^A101,IF(A101='Données projet'!$A$140,'Données projet'!$B$140,CT100+CS101-DB100)))</f>
        <v>189.74358974358981</v>
      </c>
      <c r="CU101" s="18">
        <f>CT101*VLOOKUP('Données projet'!$B$13,Paramètres!$A$1:$I$89,3,0)*VLOOKUP('Données projet'!$B$13,Paramètres!$A$1:$I$89,5,0)</f>
        <v>127.28000000000006</v>
      </c>
      <c r="CV101" s="14">
        <f t="shared" si="95"/>
        <v>33.367075813758639</v>
      </c>
      <c r="CW101" s="22">
        <f t="shared" si="67"/>
        <v>279.79365704229639</v>
      </c>
      <c r="CX101" s="62">
        <f t="shared" si="68"/>
        <v>556.6303159769277</v>
      </c>
      <c r="CY101" s="62">
        <f ca="1">AVERAGE(OFFSET($CX$3,0,0,'Données projet'!$E$13+1,1))-AVERAGE(OFFSET($H$3,0,0,'Données projet'!$E$13+1,1))</f>
        <v>240.40157928925146</v>
      </c>
      <c r="CZ101" s="62">
        <f t="shared" si="96"/>
        <v>160.5013084380258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3.7</v>
      </c>
      <c r="DO101" s="13">
        <f>IF('Données projet'!$A$166&gt;35,DO100+DN101-DW100,IF(A101&lt;'Données projet'!$A$166,$DL$205^A101,IF(A101='Données projet'!$A$166,'Données projet'!$B$166,DO100+DN101-DW100)))</f>
        <v>236.59999999999985</v>
      </c>
      <c r="DP101" s="18">
        <f>DO101*VLOOKUP('Données projet'!$B$14,Paramètres!$A$1:$I$89,3,0)*VLOOKUP('Données projet'!$B$14,Paramètres!$A$1:$I$89,5,0)</f>
        <v>228.83951999999985</v>
      </c>
      <c r="DQ101" s="14">
        <f t="shared" si="97"/>
        <v>56.031684800405088</v>
      </c>
      <c r="DR101" s="22">
        <f t="shared" si="70"/>
        <v>496.15068169403861</v>
      </c>
      <c r="DS101" s="62">
        <f t="shared" si="71"/>
        <v>772.98734062866993</v>
      </c>
      <c r="DT101" s="62">
        <f ca="1">AVERAGE(OFFSET($DS$3,0,0,'Données projet'!$E$14+1,1))-AVERAGE(OFFSET($H$3,0,0,'Données projet'!$E$14+1,1))</f>
        <v>398.93296311353788</v>
      </c>
      <c r="DU101" s="62">
        <f t="shared" si="98"/>
        <v>173.19148969173838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-5.6843418860808015E-14</v>
      </c>
      <c r="EK101" s="18">
        <f>EJ101*VLOOKUP('Données projet'!$B$15,Paramètres!$A$1:$I$89,3,0)*VLOOKUP('Données projet'!$B$15,Paramètres!$A$1:$I$89,5,0)</f>
        <v>-4.9658410716801891E-14</v>
      </c>
      <c r="EL101" s="14" t="e">
        <f t="shared" si="99"/>
        <v>#NUM!</v>
      </c>
      <c r="EM101" s="22" t="e">
        <f t="shared" si="73"/>
        <v>#NUM!</v>
      </c>
      <c r="EN101" s="62" t="e">
        <f t="shared" si="74"/>
        <v>#NUM!</v>
      </c>
      <c r="EO101" s="62">
        <f ca="1">AVERAGE(OFFSET($EN$3,0,0,'Données projet'!$E$15+1,1))-AVERAGE(OFFSET($H$3,0,0,'Données projet'!$E$15+1,1))</f>
        <v>226.37420733783091</v>
      </c>
      <c r="EP101" s="62">
        <f t="shared" si="100"/>
        <v>204.10961748628714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6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9">
        <f t="shared" si="56"/>
        <v>183.33333333333334</v>
      </c>
      <c r="I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2.8421709430404007E-13</v>
      </c>
      <c r="O102" s="14">
        <f>N102*VLOOKUP('Données projet'!$B$9,Paramètres!$A$1:$I$89,3,0)*VLOOKUP('Données projet'!$B$9,Paramètres!$A$1:$I$89,5,0)</f>
        <v>1.6626700016786346E-13</v>
      </c>
      <c r="P102" s="14">
        <f t="shared" si="87"/>
        <v>2.3542701735863119E-12</v>
      </c>
      <c r="Q102" s="22">
        <f t="shared" si="107"/>
        <v>4.3899355776218544E-12</v>
      </c>
      <c r="R102" s="62">
        <f t="shared" si="55"/>
        <v>277.12283935441451</v>
      </c>
      <c r="S102" s="62">
        <f ca="1">AVERAGE(OFFSET($R$3,0,0,'Données projet'!$E$9+1,1))-AVERAGE(OFFSET($H$3,0,0,'Données projet'!$E$9+1,1))</f>
        <v>196.48726929442091</v>
      </c>
      <c r="T102" s="62">
        <f t="shared" si="88"/>
        <v>193.28400454669347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6.5428625453786679E-10</v>
      </c>
      <c r="AC102" s="24">
        <f t="shared" si="57"/>
        <v>6.5428625453786679E-10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3.7</v>
      </c>
      <c r="AI102" s="14">
        <f>IF('Données projet'!$A$62&gt;35,AI101+AH102-AQ101,IF(A102&lt;'Données projet'!$A$62,$AF$205^A102,IF(A102='Données projet'!$A$62,'Données projet'!$B$62,AI101+AH102-AQ101)))</f>
        <v>240.29999999999984</v>
      </c>
      <c r="AJ102" s="14">
        <f>AI102*VLOOKUP('Données projet'!$B$10,Paramètres!$A$1:$I$89,3,0)*VLOOKUP('Données projet'!$B$10,Paramètres!$A$1:$I$89,5,0)</f>
        <v>243.66419999999985</v>
      </c>
      <c r="AK102" s="14">
        <f t="shared" si="89"/>
        <v>59.227204388989406</v>
      </c>
      <c r="AL102" s="22">
        <f t="shared" si="58"/>
        <v>527.53586264415628</v>
      </c>
      <c r="AM102" s="62">
        <f t="shared" si="59"/>
        <v>804.65870199856636</v>
      </c>
      <c r="AN102" s="62">
        <f ca="1">AVERAGE(OFFSET($AM$3,0,0,'Données projet'!$E$10+1,1))-AVERAGE(OFFSET($H$3,0,0,'Données projet'!$E$10+1,1))</f>
        <v>414.29294334114661</v>
      </c>
      <c r="AO102" s="62">
        <f t="shared" si="90"/>
        <v>178.72086185623849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3.7</v>
      </c>
      <c r="BD102" s="13">
        <f>IF('Données projet'!$A$88&gt;35,BD101+BC102-BL101,IF(A102&lt;'Données projet'!$A$88,$BA$205^A102,IF(A102='Données projet'!$A$88,'Données projet'!$B$88,BD101+BC102-BL101)))</f>
        <v>240.29999999999984</v>
      </c>
      <c r="BE102" s="14">
        <f>BD102*VLOOKUP('Données projet'!$B$11,Paramètres!$A$1:$I$89,3,0)*VLOOKUP('Données projet'!$B$11,Paramètres!$A$1:$I$89,5,0)</f>
        <v>258.6589199999998</v>
      </c>
      <c r="BF102" s="14">
        <f t="shared" si="91"/>
        <v>62.436427914129176</v>
      </c>
      <c r="BG102" s="22">
        <f t="shared" si="61"/>
        <v>559.24106428377456</v>
      </c>
      <c r="BH102" s="62">
        <f t="shared" si="62"/>
        <v>836.36390363818464</v>
      </c>
      <c r="BI102" s="62">
        <f ca="1">AVERAGE(OFFSET($BH$3,0,0,'Données projet'!$E$11+1,1))-AVERAGE(OFFSET($H$3,0,0,'Données projet'!$E$11+1,1))</f>
        <v>434.74983403680108</v>
      </c>
      <c r="BJ102" s="62">
        <f t="shared" si="92"/>
        <v>186.0840067781198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2.5641025641025634</v>
      </c>
      <c r="BY102" s="13">
        <f>IF('Données projet'!$A$114&gt;35,BY101+BX102-CG101,IF(A102&lt;'Données projet'!$A$114,$BV$205^A102,IF(A102='Données projet'!$A$114,'Données projet'!$B$114,BY101+BX102-CG101)))</f>
        <v>192.30769230769238</v>
      </c>
      <c r="BZ102" s="14">
        <f>BY102*VLOOKUP('Données projet'!$B$12,Paramètres!$A$1:$I$89,3,0)*VLOOKUP('Données projet'!$B$12,Paramètres!$A$1:$I$89,5,0)</f>
        <v>165.00000000000009</v>
      </c>
      <c r="CA102" s="14">
        <f t="shared" si="93"/>
        <v>41.968251708620684</v>
      </c>
      <c r="CB102" s="22">
        <f t="shared" si="64"/>
        <v>360.46970505918108</v>
      </c>
      <c r="CC102" s="62">
        <f t="shared" si="65"/>
        <v>637.59254441359121</v>
      </c>
      <c r="CD102" s="62">
        <f ca="1">AVERAGE(OFFSET($CC$3,0,0,'Données projet'!$E$12+1,1))-AVERAGE(OFFSET($H$3,0,0,'Données projet'!$E$12+1,1))</f>
        <v>288.24759203983547</v>
      </c>
      <c r="CE102" s="62">
        <f t="shared" si="94"/>
        <v>188.86613033148794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2.5641025641025634</v>
      </c>
      <c r="CT102" s="13">
        <f>IF('Données projet'!$A$140&gt;35,CT101+CS102-DB101,IF(A102&lt;'Données projet'!$A$140,$CQ$205^A102,IF(A102='Données projet'!$A$140,'Données projet'!$B$140,CT101+CS102-DB101)))</f>
        <v>192.30769230769238</v>
      </c>
      <c r="CU102" s="18">
        <f>CT102*VLOOKUP('Données projet'!$B$13,Paramètres!$A$1:$I$89,3,0)*VLOOKUP('Données projet'!$B$13,Paramètres!$A$1:$I$89,5,0)</f>
        <v>129.00000000000006</v>
      </c>
      <c r="CV102" s="14">
        <f t="shared" si="95"/>
        <v>33.765184947185467</v>
      </c>
      <c r="CW102" s="22">
        <f t="shared" si="67"/>
        <v>283.48269711634811</v>
      </c>
      <c r="CX102" s="62">
        <f t="shared" si="68"/>
        <v>560.60553647075824</v>
      </c>
      <c r="CY102" s="62">
        <f ca="1">AVERAGE(OFFSET($CX$3,0,0,'Données projet'!$E$13+1,1))-AVERAGE(OFFSET($H$3,0,0,'Données projet'!$E$13+1,1))</f>
        <v>240.40157928925146</v>
      </c>
      <c r="CZ102" s="62">
        <f t="shared" si="96"/>
        <v>160.5013084380258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3.7</v>
      </c>
      <c r="DO102" s="13">
        <f>IF('Données projet'!$A$166&gt;35,DO101+DN102-DW101,IF(A102&lt;'Données projet'!$A$166,$DL$205^A102,IF(A102='Données projet'!$A$166,'Données projet'!$B$166,DO101+DN102-DW101)))</f>
        <v>240.29999999999984</v>
      </c>
      <c r="DP102" s="18">
        <f>DO102*VLOOKUP('Données projet'!$B$14,Paramètres!$A$1:$I$89,3,0)*VLOOKUP('Données projet'!$B$14,Paramètres!$A$1:$I$89,5,0)</f>
        <v>232.41815999999986</v>
      </c>
      <c r="DQ102" s="14">
        <f t="shared" si="97"/>
        <v>56.805225565077208</v>
      </c>
      <c r="DR102" s="22">
        <f t="shared" si="70"/>
        <v>503.73072985917588</v>
      </c>
      <c r="DS102" s="62">
        <f t="shared" si="71"/>
        <v>780.85356921358607</v>
      </c>
      <c r="DT102" s="62">
        <f ca="1">AVERAGE(OFFSET($DS$3,0,0,'Données projet'!$E$14+1,1))-AVERAGE(OFFSET($H$3,0,0,'Données projet'!$E$14+1,1))</f>
        <v>398.93296311353788</v>
      </c>
      <c r="DU102" s="62">
        <f t="shared" si="98"/>
        <v>173.19148969173838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-5.6843418860808015E-14</v>
      </c>
      <c r="EK102" s="18">
        <f>EJ102*VLOOKUP('Données projet'!$B$15,Paramètres!$A$1:$I$89,3,0)*VLOOKUP('Données projet'!$B$15,Paramètres!$A$1:$I$89,5,0)</f>
        <v>-4.9658410716801891E-14</v>
      </c>
      <c r="EL102" s="14" t="e">
        <f t="shared" si="99"/>
        <v>#NUM!</v>
      </c>
      <c r="EM102" s="22" t="e">
        <f t="shared" si="73"/>
        <v>#NUM!</v>
      </c>
      <c r="EN102" s="62" t="e">
        <f t="shared" si="74"/>
        <v>#NUM!</v>
      </c>
      <c r="EO102" s="62">
        <f ca="1">AVERAGE(OFFSET($EN$3,0,0,'Données projet'!$E$15+1,1))-AVERAGE(OFFSET($H$3,0,0,'Données projet'!$E$15+1,1))</f>
        <v>226.37420733783091</v>
      </c>
      <c r="EP102" s="62">
        <f t="shared" si="100"/>
        <v>204.10961748628714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6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9">
        <f t="shared" si="56"/>
        <v>183.33333333333334</v>
      </c>
      <c r="I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2.8421709430404007E-13</v>
      </c>
      <c r="O103" s="14">
        <f>N103*VLOOKUP('Données projet'!$B$9,Paramètres!$A$1:$I$89,3,0)*VLOOKUP('Données projet'!$B$9,Paramètres!$A$1:$I$89,5,0)</f>
        <v>1.6626700016786346E-13</v>
      </c>
      <c r="P103" s="14">
        <f t="shared" si="87"/>
        <v>2.3542701735863119E-12</v>
      </c>
      <c r="Q103" s="22">
        <f t="shared" si="107"/>
        <v>4.3899355776218544E-12</v>
      </c>
      <c r="R103" s="62">
        <f t="shared" si="55"/>
        <v>277.40405518371358</v>
      </c>
      <c r="S103" s="62">
        <f ca="1">AVERAGE(OFFSET($R$3,0,0,'Données projet'!$E$9+1,1))-AVERAGE(OFFSET($H$3,0,0,'Données projet'!$E$9+1,1))</f>
        <v>196.48726929442091</v>
      </c>
      <c r="T103" s="62">
        <f t="shared" si="88"/>
        <v>193.28400454669347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4.6265024742087316E-10</v>
      </c>
      <c r="AC103" s="24">
        <f t="shared" si="57"/>
        <v>4.6265024742087316E-10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244</v>
      </c>
      <c r="AG103" s="13">
        <f>VLOOKUP(A103,'Données projet'!$A$61:$I$81,9,0)</f>
        <v>3.7</v>
      </c>
      <c r="AH103" s="13">
        <f t="array" ref="AH103">INDEX(AG:AG,MIN(IF(ISNUMBER(AG103:AG299),ROW(AG103:AG299),"")))</f>
        <v>3.7</v>
      </c>
      <c r="AI103" s="14">
        <f>IF('Données projet'!$A$62&gt;35,AI102+AH103-AQ102,IF(A103&lt;'Données projet'!$A$62,$AF$205^A103,IF(A103='Données projet'!$A$62,'Données projet'!$B$62,AI102+AH103-AQ102)))</f>
        <v>243.99999999999983</v>
      </c>
      <c r="AJ103" s="14">
        <f>AI103*VLOOKUP('Données projet'!$B$10,Paramètres!$A$1:$I$89,3,0)*VLOOKUP('Données projet'!$B$10,Paramètres!$A$1:$I$89,5,0)</f>
        <v>247.41599999999983</v>
      </c>
      <c r="AK103" s="14">
        <f t="shared" si="89"/>
        <v>60.032282000540135</v>
      </c>
      <c r="AL103" s="22">
        <f t="shared" si="58"/>
        <v>535.4724244842738</v>
      </c>
      <c r="AM103" s="62">
        <f t="shared" si="59"/>
        <v>812.87647966798295</v>
      </c>
      <c r="AN103" s="62">
        <f ca="1">AVERAGE(OFFSET($AM$3,0,0,'Données projet'!$E$10+1,1))-AVERAGE(OFFSET($H$3,0,0,'Données projet'!$E$10+1,1))</f>
        <v>414.29294334114661</v>
      </c>
      <c r="AO103" s="62">
        <f t="shared" si="90"/>
        <v>178.72086185623849</v>
      </c>
      <c r="AP103" s="16">
        <f>IF(ISNA(VLOOKUP(A103,'Données projet'!$A$61:$I$81,3,0)),0,VLOOKUP(A103,'Données projet'!$A$61:$I$81,3,0))</f>
        <v>7</v>
      </c>
      <c r="AQ103" s="16">
        <f>IF(ISNA(VLOOKUP(A103,'Données projet'!$A$61:$I$81,4,0)),0,VLOOKUP(A103,'Données projet'!$A$61:$I$81,4,0))</f>
        <v>42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244</v>
      </c>
      <c r="BB103" s="13">
        <f>VLOOKUP(A103,'Données projet'!$A$87:$I$107,9,0)</f>
        <v>3.7</v>
      </c>
      <c r="BC103" s="13">
        <f t="array" ref="BC103">INDEX(BB:BB,MIN(IF(ISNUMBER(BB103:BB299),ROW(BB103:BB299),"")))</f>
        <v>3.7</v>
      </c>
      <c r="BD103" s="13">
        <f>IF('Données projet'!$A$88&gt;35,BD102+BC103-BL102,IF(A103&lt;'Données projet'!$A$88,$BA$205^A103,IF(A103='Données projet'!$A$88,'Données projet'!$B$88,BD102+BC103-BL102)))</f>
        <v>243.99999999999983</v>
      </c>
      <c r="BE103" s="14">
        <f>BD103*VLOOKUP('Données projet'!$B$11,Paramètres!$A$1:$I$89,3,0)*VLOOKUP('Données projet'!$B$11,Paramètres!$A$1:$I$89,5,0)</f>
        <v>262.64159999999981</v>
      </c>
      <c r="BF103" s="14">
        <f t="shared" si="91"/>
        <v>63.285128621471884</v>
      </c>
      <c r="BG103" s="22">
        <f t="shared" si="61"/>
        <v>567.6557190157298</v>
      </c>
      <c r="BH103" s="62">
        <f t="shared" si="62"/>
        <v>845.05977419943906</v>
      </c>
      <c r="BI103" s="62">
        <f ca="1">AVERAGE(OFFSET($BH$3,0,0,'Données projet'!$E$11+1,1))-AVERAGE(OFFSET($H$3,0,0,'Données projet'!$E$11+1,1))</f>
        <v>434.74983403680108</v>
      </c>
      <c r="BJ103" s="62">
        <f t="shared" si="92"/>
        <v>186.0840067781198</v>
      </c>
      <c r="BK103" s="16">
        <f>IF(ISNA(VLOOKUP(A103,'Données projet'!$A$87:$I$107,3,0)),0,VLOOKUP(A103,'Données projet'!$A$87:$I$107,3,0))</f>
        <v>7</v>
      </c>
      <c r="BL103" s="16">
        <f>IF(ISNA(VLOOKUP(A103,'Données projet'!$A$87:$I$107,4,0)),0,VLOOKUP(A103,'Données projet'!$A$87:$I$107,4,0))</f>
        <v>42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194.87179487179486</v>
      </c>
      <c r="BW103" s="13">
        <f>VLOOKUP(A103,'Données projet'!$A$113:$I$133,9,0)</f>
        <v>2.5641025641025634</v>
      </c>
      <c r="BX103" s="13">
        <f t="array" ref="BX103">INDEX(BW:BW,MIN(IF(ISNUMBER(BW103:BW299),ROW(BW103:BW299),"")))</f>
        <v>2.5641025641025634</v>
      </c>
      <c r="BY103" s="13">
        <f>IF('Données projet'!$A$114&gt;35,BY102+BX103-CG102,IF(A103&lt;'Données projet'!$A$114,$BV$205^A103,IF(A103='Données projet'!$A$114,'Données projet'!$B$114,BY102+BX103-CG102)))</f>
        <v>194.87179487179495</v>
      </c>
      <c r="BZ103" s="14">
        <f>BY103*VLOOKUP('Données projet'!$B$12,Paramètres!$A$1:$I$89,3,0)*VLOOKUP('Données projet'!$B$12,Paramètres!$A$1:$I$89,5,0)</f>
        <v>167.20000000000007</v>
      </c>
      <c r="CA103" s="14">
        <f t="shared" si="93"/>
        <v>42.462311874903641</v>
      </c>
      <c r="CB103" s="22">
        <f t="shared" si="64"/>
        <v>365.16185984879058</v>
      </c>
      <c r="CC103" s="62">
        <f t="shared" si="65"/>
        <v>642.56591503249979</v>
      </c>
      <c r="CD103" s="62">
        <f ca="1">AVERAGE(OFFSET($CC$3,0,0,'Données projet'!$E$12+1,1))-AVERAGE(OFFSET($H$3,0,0,'Données projet'!$E$12+1,1))</f>
        <v>288.24759203983547</v>
      </c>
      <c r="CE103" s="62">
        <f t="shared" si="94"/>
        <v>188.86613033148794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194.87179487179486</v>
      </c>
      <c r="CR103" s="13">
        <f>VLOOKUP(A103,'Données projet'!$A$139:$I$159,9,0)</f>
        <v>2.5641025641025634</v>
      </c>
      <c r="CS103" s="13">
        <f t="array" ref="CS103">INDEX(CR:CR,MIN(IF(ISNUMBER(CR103:CR299),ROW(CR103:CR299),"")))</f>
        <v>2.5641025641025634</v>
      </c>
      <c r="CT103" s="13">
        <f>IF('Données projet'!$A$140&gt;35,CT102+CS103-DB102,IF(A103&lt;'Données projet'!$A$140,$CQ$205^A103,IF(A103='Données projet'!$A$140,'Données projet'!$B$140,CT102+CS103-DB102)))</f>
        <v>194.87179487179495</v>
      </c>
      <c r="CU103" s="18">
        <f>CT103*VLOOKUP('Données projet'!$B$13,Paramètres!$A$1:$I$89,3,0)*VLOOKUP('Données projet'!$B$13,Paramètres!$A$1:$I$89,5,0)</f>
        <v>130.72000000000006</v>
      </c>
      <c r="CV103" s="14">
        <f t="shared" si="95"/>
        <v>34.162676675108806</v>
      </c>
      <c r="CW103" s="22">
        <f t="shared" si="67"/>
        <v>287.17066187581457</v>
      </c>
      <c r="CX103" s="62">
        <f t="shared" si="68"/>
        <v>564.57471705952378</v>
      </c>
      <c r="CY103" s="62">
        <f ca="1">AVERAGE(OFFSET($CX$3,0,0,'Données projet'!$E$13+1,1))-AVERAGE(OFFSET($H$3,0,0,'Données projet'!$E$13+1,1))</f>
        <v>240.40157928925146</v>
      </c>
      <c r="CZ103" s="62">
        <f t="shared" si="96"/>
        <v>160.5013084380258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244</v>
      </c>
      <c r="DM103" s="13">
        <f>VLOOKUP(A103,'Données projet'!$A$165:$I$185,9,0)</f>
        <v>3.7</v>
      </c>
      <c r="DN103" s="13">
        <f t="array" ref="DN103">INDEX(DM:DM,MIN(IF(ISNUMBER(DM103:DM299),ROW(DM103:DM299),"")))</f>
        <v>3.7</v>
      </c>
      <c r="DO103" s="13">
        <f>IF('Données projet'!$A$166&gt;35,DO102+DN103-DW102,IF(A103&lt;'Données projet'!$A$166,$DL$205^A103,IF(A103='Données projet'!$A$166,'Données projet'!$B$166,DO102+DN103-DW102)))</f>
        <v>243.99999999999983</v>
      </c>
      <c r="DP103" s="18">
        <f>DO103*VLOOKUP('Données projet'!$B$14,Paramètres!$A$1:$I$89,3,0)*VLOOKUP('Données projet'!$B$14,Paramètres!$A$1:$I$89,5,0)</f>
        <v>235.99679999999984</v>
      </c>
      <c r="DQ103" s="14">
        <f t="shared" si="97"/>
        <v>57.577381127598322</v>
      </c>
      <c r="DR103" s="22">
        <f t="shared" si="70"/>
        <v>511.30836546389997</v>
      </c>
      <c r="DS103" s="62">
        <f t="shared" si="71"/>
        <v>788.71242064760918</v>
      </c>
      <c r="DT103" s="62">
        <f ca="1">AVERAGE(OFFSET($DS$3,0,0,'Données projet'!$E$14+1,1))-AVERAGE(OFFSET($H$3,0,0,'Données projet'!$E$14+1,1))</f>
        <v>398.93296311353788</v>
      </c>
      <c r="DU103" s="62">
        <f t="shared" si="98"/>
        <v>173.19148969173838</v>
      </c>
      <c r="DV103" s="16">
        <f>IF(ISNA(VLOOKUP(A103,'Données projet'!$A$165:$I$185,3,0)),0,VLOOKUP(A103,'Données projet'!$A$165:$I$185,3,0))</f>
        <v>7</v>
      </c>
      <c r="DW103" s="16">
        <f>IF(ISNA(VLOOKUP(A103,'Données projet'!$A$165:$I$185,4,0)),0,VLOOKUP(A103,'Données projet'!$A$165:$I$185,4,0))</f>
        <v>42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-5.6843418860808015E-14</v>
      </c>
      <c r="EK103" s="18">
        <f>EJ103*VLOOKUP('Données projet'!$B$15,Paramètres!$A$1:$I$89,3,0)*VLOOKUP('Données projet'!$B$15,Paramètres!$A$1:$I$89,5,0)</f>
        <v>-4.9658410716801891E-14</v>
      </c>
      <c r="EL103" s="14" t="e">
        <f t="shared" si="99"/>
        <v>#NUM!</v>
      </c>
      <c r="EM103" s="22" t="e">
        <f t="shared" si="73"/>
        <v>#NUM!</v>
      </c>
      <c r="EN103" s="62" t="e">
        <f t="shared" si="74"/>
        <v>#NUM!</v>
      </c>
      <c r="EO103" s="62">
        <f ca="1">AVERAGE(OFFSET($EN$3,0,0,'Données projet'!$E$15+1,1))-AVERAGE(OFFSET($H$3,0,0,'Données projet'!$E$15+1,1))</f>
        <v>226.37420733783091</v>
      </c>
      <c r="EP103" s="62">
        <f t="shared" si="100"/>
        <v>204.10961748628714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6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9">
        <f t="shared" si="56"/>
        <v>183.33333333333334</v>
      </c>
      <c r="I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2.8421709430404007E-13</v>
      </c>
      <c r="O104" s="14">
        <f>N104*VLOOKUP('Données projet'!$B$9,Paramètres!$A$1:$I$89,3,0)*VLOOKUP('Données projet'!$B$9,Paramètres!$A$1:$I$89,5,0)</f>
        <v>1.6626700016786346E-13</v>
      </c>
      <c r="P104" s="14">
        <f t="shared" si="87"/>
        <v>2.3542701735863119E-12</v>
      </c>
      <c r="Q104" s="22">
        <f t="shared" si="107"/>
        <v>4.3899355776218544E-12</v>
      </c>
      <c r="R104" s="62">
        <f t="shared" si="55"/>
        <v>277.68039254707878</v>
      </c>
      <c r="S104" s="62">
        <f ca="1">AVERAGE(OFFSET($R$3,0,0,'Données projet'!$E$9+1,1))-AVERAGE(OFFSET($H$3,0,0,'Données projet'!$E$9+1,1))</f>
        <v>196.48726929442091</v>
      </c>
      <c r="T104" s="62">
        <f t="shared" si="88"/>
        <v>193.28400454669347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3.2714312726893345E-10</v>
      </c>
      <c r="AC104" s="24">
        <f t="shared" si="57"/>
        <v>3.2714312726893345E-10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3.1</v>
      </c>
      <c r="AI104" s="14">
        <f>IF('Données projet'!$A$62&gt;35,AI103+AH104-AQ103,IF(A104&lt;'Données projet'!$A$62,$AF$205^A104,IF(A104='Données projet'!$A$62,'Données projet'!$B$62,AI103+AH104-AQ103)))</f>
        <v>205.09999999999982</v>
      </c>
      <c r="AJ104" s="14">
        <f>AI104*VLOOKUP('Données projet'!$B$10,Paramètres!$A$1:$I$89,3,0)*VLOOKUP('Données projet'!$B$10,Paramètres!$A$1:$I$89,5,0)</f>
        <v>207.97139999999982</v>
      </c>
      <c r="AK104" s="14">
        <f t="shared" si="89"/>
        <v>51.492035430274768</v>
      </c>
      <c r="AL104" s="22">
        <f t="shared" si="58"/>
        <v>451.8988167077282</v>
      </c>
      <c r="AM104" s="62">
        <f t="shared" si="59"/>
        <v>729.57920925480266</v>
      </c>
      <c r="AN104" s="62">
        <f ca="1">AVERAGE(OFFSET($AM$3,0,0,'Données projet'!$E$10+1,1))-AVERAGE(OFFSET($H$3,0,0,'Données projet'!$E$10+1,1))</f>
        <v>414.29294334114661</v>
      </c>
      <c r="AO104" s="62">
        <f t="shared" si="90"/>
        <v>178.72086185623849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3.1</v>
      </c>
      <c r="BD104" s="13">
        <f>IF('Données projet'!$A$88&gt;35,BD103+BC104-BL103,IF(A104&lt;'Données projet'!$A$88,$BA$205^A104,IF(A104='Données projet'!$A$88,'Données projet'!$B$88,BD103+BC104-BL103)))</f>
        <v>205.09999999999982</v>
      </c>
      <c r="BE104" s="14">
        <f>BD104*VLOOKUP('Données projet'!$B$11,Paramètres!$A$1:$I$89,3,0)*VLOOKUP('Données projet'!$B$11,Paramètres!$A$1:$I$89,5,0)</f>
        <v>220.76963999999978</v>
      </c>
      <c r="BF104" s="14">
        <f t="shared" si="91"/>
        <v>54.282129157725613</v>
      </c>
      <c r="BG104" s="22">
        <f t="shared" si="61"/>
        <v>479.04849794970505</v>
      </c>
      <c r="BH104" s="62">
        <f t="shared" si="62"/>
        <v>756.72889049677951</v>
      </c>
      <c r="BI104" s="62">
        <f ca="1">AVERAGE(OFFSET($BH$3,0,0,'Données projet'!$E$11+1,1))-AVERAGE(OFFSET($H$3,0,0,'Données projet'!$E$11+1,1))</f>
        <v>434.74983403680108</v>
      </c>
      <c r="BJ104" s="62">
        <f t="shared" si="92"/>
        <v>186.0840067781198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2.3076923076923093</v>
      </c>
      <c r="BY104" s="13">
        <f>IF('Données projet'!$A$114&gt;35,BY103+BX104-CG103,IF(A104&lt;'Données projet'!$A$114,$BV$205^A104,IF(A104='Données projet'!$A$114,'Données projet'!$B$114,BY103+BX104-CG103)))</f>
        <v>197.17948717948727</v>
      </c>
      <c r="BZ104" s="14">
        <f>BY104*VLOOKUP('Données projet'!$B$12,Paramètres!$A$1:$I$89,3,0)*VLOOKUP('Données projet'!$B$12,Paramètres!$A$1:$I$89,5,0)</f>
        <v>169.18000000000009</v>
      </c>
      <c r="CA104" s="14">
        <f t="shared" si="93"/>
        <v>42.906319213641126</v>
      </c>
      <c r="CB104" s="22">
        <f t="shared" si="64"/>
        <v>369.38367263042511</v>
      </c>
      <c r="CC104" s="62">
        <f t="shared" si="65"/>
        <v>647.06406517749951</v>
      </c>
      <c r="CD104" s="62">
        <f ca="1">AVERAGE(OFFSET($CC$3,0,0,'Données projet'!$E$12+1,1))-AVERAGE(OFFSET($H$3,0,0,'Données projet'!$E$12+1,1))</f>
        <v>288.24759203983547</v>
      </c>
      <c r="CE104" s="62">
        <f t="shared" si="94"/>
        <v>188.86613033148794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2.3076923076923093</v>
      </c>
      <c r="CT104" s="13">
        <f>IF('Données projet'!$A$140&gt;35,CT103+CS104-DB103,IF(A104&lt;'Données projet'!$A$140,$CQ$205^A104,IF(A104='Données projet'!$A$140,'Données projet'!$B$140,CT103+CS104-DB103)))</f>
        <v>197.17948717948727</v>
      </c>
      <c r="CU104" s="18">
        <f>CT104*VLOOKUP('Données projet'!$B$13,Paramètres!$A$1:$I$89,3,0)*VLOOKUP('Données projet'!$B$13,Paramètres!$A$1:$I$89,5,0)</f>
        <v>132.26800000000006</v>
      </c>
      <c r="CV104" s="14">
        <f t="shared" si="95"/>
        <v>34.519898844249127</v>
      </c>
      <c r="CW104" s="22">
        <f t="shared" si="67"/>
        <v>290.48892382040066</v>
      </c>
      <c r="CX104" s="62">
        <f t="shared" si="68"/>
        <v>568.16931636747506</v>
      </c>
      <c r="CY104" s="62">
        <f ca="1">AVERAGE(OFFSET($CX$3,0,0,'Données projet'!$E$13+1,1))-AVERAGE(OFFSET($H$3,0,0,'Données projet'!$E$13+1,1))</f>
        <v>240.40157928925146</v>
      </c>
      <c r="CZ104" s="62">
        <f t="shared" si="96"/>
        <v>160.5013084380258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3.1</v>
      </c>
      <c r="DO104" s="13">
        <f>IF('Données projet'!$A$166&gt;35,DO103+DN104-DW103,IF(A104&lt;'Données projet'!$A$166,$DL$205^A104,IF(A104='Données projet'!$A$166,'Données projet'!$B$166,DO103+DN104-DW103)))</f>
        <v>205.09999999999982</v>
      </c>
      <c r="DP104" s="18">
        <f>DO104*VLOOKUP('Données projet'!$B$14,Paramètres!$A$1:$I$89,3,0)*VLOOKUP('Données projet'!$B$14,Paramètres!$A$1:$I$89,5,0)</f>
        <v>198.37271999999984</v>
      </c>
      <c r="DQ104" s="14">
        <f t="shared" si="97"/>
        <v>49.38637096917374</v>
      </c>
      <c r="DR104" s="22">
        <f t="shared" si="70"/>
        <v>431.51375010464403</v>
      </c>
      <c r="DS104" s="62">
        <f t="shared" si="71"/>
        <v>709.19414265171849</v>
      </c>
      <c r="DT104" s="62">
        <f ca="1">AVERAGE(OFFSET($DS$3,0,0,'Données projet'!$E$14+1,1))-AVERAGE(OFFSET($H$3,0,0,'Données projet'!$E$14+1,1))</f>
        <v>398.93296311353788</v>
      </c>
      <c r="DU104" s="62">
        <f t="shared" si="98"/>
        <v>173.19148969173838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-5.6843418860808015E-14</v>
      </c>
      <c r="EK104" s="18">
        <f>EJ104*VLOOKUP('Données projet'!$B$15,Paramètres!$A$1:$I$89,3,0)*VLOOKUP('Données projet'!$B$15,Paramètres!$A$1:$I$89,5,0)</f>
        <v>-4.9658410716801891E-14</v>
      </c>
      <c r="EL104" s="14" t="e">
        <f t="shared" si="99"/>
        <v>#NUM!</v>
      </c>
      <c r="EM104" s="22" t="e">
        <f t="shared" si="73"/>
        <v>#NUM!</v>
      </c>
      <c r="EN104" s="62" t="e">
        <f t="shared" si="74"/>
        <v>#NUM!</v>
      </c>
      <c r="EO104" s="62">
        <f ca="1">AVERAGE(OFFSET($EN$3,0,0,'Données projet'!$E$15+1,1))-AVERAGE(OFFSET($H$3,0,0,'Données projet'!$E$15+1,1))</f>
        <v>226.37420733783091</v>
      </c>
      <c r="EP104" s="62">
        <f t="shared" si="100"/>
        <v>204.10961748628714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6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9">
        <f t="shared" si="56"/>
        <v>183.33333333333334</v>
      </c>
      <c r="I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2.8421709430404007E-13</v>
      </c>
      <c r="O105" s="14">
        <f>N105*VLOOKUP('Données projet'!$B$9,Paramètres!$A$1:$I$89,3,0)*VLOOKUP('Données projet'!$B$9,Paramètres!$A$1:$I$89,5,0)</f>
        <v>1.6626700016786346E-13</v>
      </c>
      <c r="P105" s="14">
        <f t="shared" si="87"/>
        <v>2.3542701735863119E-12</v>
      </c>
      <c r="Q105" s="22">
        <f t="shared" si="107"/>
        <v>4.3899355776218544E-12</v>
      </c>
      <c r="R105" s="62">
        <f t="shared" si="55"/>
        <v>277.95193607498732</v>
      </c>
      <c r="S105" s="62">
        <f ca="1">AVERAGE(OFFSET($R$3,0,0,'Données projet'!$E$9+1,1))-AVERAGE(OFFSET($H$3,0,0,'Données projet'!$E$9+1,1))</f>
        <v>196.48726929442091</v>
      </c>
      <c r="T105" s="62">
        <f t="shared" si="88"/>
        <v>193.28400454669347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2.3132512371043661E-10</v>
      </c>
      <c r="AC105" s="24">
        <f t="shared" si="57"/>
        <v>2.3132512371043661E-10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3.1</v>
      </c>
      <c r="AI105" s="14">
        <f>IF('Données projet'!$A$62&gt;35,AI104+AH105-AQ104,IF(A105&lt;'Données projet'!$A$62,$AF$205^A105,IF(A105='Données projet'!$A$62,'Données projet'!$B$62,AI104+AH105-AQ104)))</f>
        <v>208.19999999999982</v>
      </c>
      <c r="AJ105" s="14">
        <f>AI105*VLOOKUP('Données projet'!$B$10,Paramètres!$A$1:$I$89,3,0)*VLOOKUP('Données projet'!$B$10,Paramètres!$A$1:$I$89,5,0)</f>
        <v>211.11479999999986</v>
      </c>
      <c r="AK105" s="14">
        <f t="shared" si="89"/>
        <v>52.179122428493628</v>
      </c>
      <c r="AL105" s="22">
        <f t="shared" si="58"/>
        <v>458.57024822962609</v>
      </c>
      <c r="AM105" s="62">
        <f t="shared" si="59"/>
        <v>736.52218430460903</v>
      </c>
      <c r="AN105" s="62">
        <f ca="1">AVERAGE(OFFSET($AM$3,0,0,'Données projet'!$E$10+1,1))-AVERAGE(OFFSET($H$3,0,0,'Données projet'!$E$10+1,1))</f>
        <v>414.29294334114661</v>
      </c>
      <c r="AO105" s="62">
        <f t="shared" si="90"/>
        <v>178.72086185623849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3.1</v>
      </c>
      <c r="BD105" s="13">
        <f>IF('Données projet'!$A$88&gt;35,BD104+BC105-BL104,IF(A105&lt;'Données projet'!$A$88,$BA$205^A105,IF(A105='Données projet'!$A$88,'Données projet'!$B$88,BD104+BC105-BL104)))</f>
        <v>208.19999999999982</v>
      </c>
      <c r="BE105" s="14">
        <f>BD105*VLOOKUP('Données projet'!$B$11,Paramètres!$A$1:$I$89,3,0)*VLOOKUP('Données projet'!$B$11,Paramètres!$A$1:$I$89,5,0)</f>
        <v>224.10647999999981</v>
      </c>
      <c r="BF105" s="14">
        <f t="shared" si="91"/>
        <v>55.006445935422491</v>
      </c>
      <c r="BG105" s="22">
        <f t="shared" si="61"/>
        <v>486.12167933752715</v>
      </c>
      <c r="BH105" s="62">
        <f t="shared" si="62"/>
        <v>764.07361541251009</v>
      </c>
      <c r="BI105" s="62">
        <f ca="1">AVERAGE(OFFSET($BH$3,0,0,'Données projet'!$E$11+1,1))-AVERAGE(OFFSET($H$3,0,0,'Données projet'!$E$11+1,1))</f>
        <v>434.74983403680108</v>
      </c>
      <c r="BJ105" s="62">
        <f t="shared" si="92"/>
        <v>186.0840067781198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2.3076923076923093</v>
      </c>
      <c r="BY105" s="13">
        <f>IF('Données projet'!$A$114&gt;35,BY104+BX105-CG104,IF(A105&lt;'Données projet'!$A$114,$BV$205^A105,IF(A105='Données projet'!$A$114,'Données projet'!$B$114,BY104+BX105-CG104)))</f>
        <v>199.48717948717959</v>
      </c>
      <c r="BZ105" s="14">
        <f>BY105*VLOOKUP('Données projet'!$B$12,Paramètres!$A$1:$I$89,3,0)*VLOOKUP('Données projet'!$B$12,Paramètres!$A$1:$I$89,5,0)</f>
        <v>171.16000000000011</v>
      </c>
      <c r="CA105" s="14">
        <f t="shared" si="93"/>
        <v>43.34972208342559</v>
      </c>
      <c r="CB105" s="22">
        <f t="shared" si="64"/>
        <v>373.60443262863305</v>
      </c>
      <c r="CC105" s="62">
        <f t="shared" si="65"/>
        <v>651.55636870361604</v>
      </c>
      <c r="CD105" s="62">
        <f ca="1">AVERAGE(OFFSET($CC$3,0,0,'Données projet'!$E$12+1,1))-AVERAGE(OFFSET($H$3,0,0,'Données projet'!$E$12+1,1))</f>
        <v>288.24759203983547</v>
      </c>
      <c r="CE105" s="62">
        <f t="shared" si="94"/>
        <v>188.86613033148794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2.3076923076923093</v>
      </c>
      <c r="CT105" s="13">
        <f>IF('Données projet'!$A$140&gt;35,CT104+CS105-DB104,IF(A105&lt;'Données projet'!$A$140,$CQ$205^A105,IF(A105='Données projet'!$A$140,'Données projet'!$B$140,CT104+CS105-DB104)))</f>
        <v>199.48717948717959</v>
      </c>
      <c r="CU105" s="18">
        <f>CT105*VLOOKUP('Données projet'!$B$13,Paramètres!$A$1:$I$89,3,0)*VLOOKUP('Données projet'!$B$13,Paramètres!$A$1:$I$89,5,0)</f>
        <v>133.81600000000006</v>
      </c>
      <c r="CV105" s="14">
        <f t="shared" si="95"/>
        <v>34.876634693250637</v>
      </c>
      <c r="CW105" s="22">
        <f t="shared" si="67"/>
        <v>293.80633875741159</v>
      </c>
      <c r="CX105" s="62">
        <f t="shared" si="68"/>
        <v>571.75827483239459</v>
      </c>
      <c r="CY105" s="62">
        <f ca="1">AVERAGE(OFFSET($CX$3,0,0,'Données projet'!$E$13+1,1))-AVERAGE(OFFSET($H$3,0,0,'Données projet'!$E$13+1,1))</f>
        <v>240.40157928925146</v>
      </c>
      <c r="CZ105" s="62">
        <f t="shared" si="96"/>
        <v>160.5013084380258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3.1</v>
      </c>
      <c r="DO105" s="13">
        <f>IF('Données projet'!$A$166&gt;35,DO104+DN105-DW104,IF(A105&lt;'Données projet'!$A$166,$DL$205^A105,IF(A105='Données projet'!$A$166,'Données projet'!$B$166,DO104+DN105-DW104)))</f>
        <v>208.19999999999982</v>
      </c>
      <c r="DP105" s="18">
        <f>DO105*VLOOKUP('Données projet'!$B$14,Paramètres!$A$1:$I$89,3,0)*VLOOKUP('Données projet'!$B$14,Paramètres!$A$1:$I$89,5,0)</f>
        <v>201.37103999999982</v>
      </c>
      <c r="DQ105" s="14">
        <f t="shared" si="97"/>
        <v>50.045360910017713</v>
      </c>
      <c r="DR105" s="22">
        <f t="shared" si="70"/>
        <v>437.88356491828057</v>
      </c>
      <c r="DS105" s="62">
        <f t="shared" si="71"/>
        <v>715.83550099326351</v>
      </c>
      <c r="DT105" s="62">
        <f ca="1">AVERAGE(OFFSET($DS$3,0,0,'Données projet'!$E$14+1,1))-AVERAGE(OFFSET($H$3,0,0,'Données projet'!$E$14+1,1))</f>
        <v>398.93296311353788</v>
      </c>
      <c r="DU105" s="62">
        <f t="shared" si="98"/>
        <v>173.19148969173838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-5.6843418860808015E-14</v>
      </c>
      <c r="EK105" s="18">
        <f>EJ105*VLOOKUP('Données projet'!$B$15,Paramètres!$A$1:$I$89,3,0)*VLOOKUP('Données projet'!$B$15,Paramètres!$A$1:$I$89,5,0)</f>
        <v>-4.9658410716801891E-14</v>
      </c>
      <c r="EL105" s="14" t="e">
        <f t="shared" si="99"/>
        <v>#NUM!</v>
      </c>
      <c r="EM105" s="22" t="e">
        <f t="shared" si="73"/>
        <v>#NUM!</v>
      </c>
      <c r="EN105" s="62" t="e">
        <f t="shared" si="74"/>
        <v>#NUM!</v>
      </c>
      <c r="EO105" s="62">
        <f ca="1">AVERAGE(OFFSET($EN$3,0,0,'Données projet'!$E$15+1,1))-AVERAGE(OFFSET($H$3,0,0,'Données projet'!$E$15+1,1))</f>
        <v>226.37420733783091</v>
      </c>
      <c r="EP105" s="62">
        <f t="shared" si="100"/>
        <v>204.10961748628714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6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9">
        <f t="shared" si="56"/>
        <v>183.33333333333334</v>
      </c>
      <c r="I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2.8421709430404007E-13</v>
      </c>
      <c r="O106" s="14">
        <f>N106*VLOOKUP('Données projet'!$B$9,Paramètres!$A$1:$I$89,3,0)*VLOOKUP('Données projet'!$B$9,Paramètres!$A$1:$I$89,5,0)</f>
        <v>1.6626700016786346E-13</v>
      </c>
      <c r="P106" s="14">
        <f t="shared" si="87"/>
        <v>2.3542701735863119E-12</v>
      </c>
      <c r="Q106" s="22">
        <f t="shared" si="107"/>
        <v>4.3899355776218544E-12</v>
      </c>
      <c r="R106" s="62">
        <f t="shared" si="55"/>
        <v>278.21876892976707</v>
      </c>
      <c r="S106" s="62">
        <f ca="1">AVERAGE(OFFSET($R$3,0,0,'Données projet'!$E$9+1,1))-AVERAGE(OFFSET($H$3,0,0,'Données projet'!$E$9+1,1))</f>
        <v>196.48726929442091</v>
      </c>
      <c r="T106" s="62">
        <f t="shared" si="88"/>
        <v>193.28400454669347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1.6357156363446675E-10</v>
      </c>
      <c r="AC106" s="24">
        <f t="shared" si="57"/>
        <v>1.6357156363446675E-10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3.1</v>
      </c>
      <c r="AI106" s="14">
        <f>IF('Données projet'!$A$62&gt;35,AI105+AH106-AQ105,IF(A106&lt;'Données projet'!$A$62,$AF$205^A106,IF(A106='Données projet'!$A$62,'Données projet'!$B$62,AI105+AH106-AQ105)))</f>
        <v>211.29999999999981</v>
      </c>
      <c r="AJ106" s="14">
        <f>AI106*VLOOKUP('Données projet'!$B$10,Paramètres!$A$1:$I$89,3,0)*VLOOKUP('Données projet'!$B$10,Paramètres!$A$1:$I$89,5,0)</f>
        <v>214.25819999999982</v>
      </c>
      <c r="AK106" s="14">
        <f t="shared" si="89"/>
        <v>52.86501959276859</v>
      </c>
      <c r="AL106" s="22">
        <f t="shared" si="58"/>
        <v>465.23960745740493</v>
      </c>
      <c r="AM106" s="62">
        <f t="shared" si="59"/>
        <v>743.45837638716762</v>
      </c>
      <c r="AN106" s="62">
        <f ca="1">AVERAGE(OFFSET($AM$3,0,0,'Données projet'!$E$10+1,1))-AVERAGE(OFFSET($H$3,0,0,'Données projet'!$E$10+1,1))</f>
        <v>414.29294334114661</v>
      </c>
      <c r="AO106" s="62">
        <f t="shared" si="90"/>
        <v>178.72086185623849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3.1</v>
      </c>
      <c r="BD106" s="13">
        <f>IF('Données projet'!$A$88&gt;35,BD105+BC106-BL105,IF(A106&lt;'Données projet'!$A$88,$BA$205^A106,IF(A106='Données projet'!$A$88,'Données projet'!$B$88,BD105+BC106-BL105)))</f>
        <v>211.29999999999981</v>
      </c>
      <c r="BE106" s="14">
        <f>BD106*VLOOKUP('Données projet'!$B$11,Paramètres!$A$1:$I$89,3,0)*VLOOKUP('Données projet'!$B$11,Paramètres!$A$1:$I$89,5,0)</f>
        <v>227.44331999999977</v>
      </c>
      <c r="BF106" s="14">
        <f t="shared" si="91"/>
        <v>55.729508408074295</v>
      </c>
      <c r="BG106" s="22">
        <f t="shared" si="61"/>
        <v>493.19267614406226</v>
      </c>
      <c r="BH106" s="62">
        <f t="shared" si="62"/>
        <v>771.41144507382501</v>
      </c>
      <c r="BI106" s="62">
        <f ca="1">AVERAGE(OFFSET($BH$3,0,0,'Données projet'!$E$11+1,1))-AVERAGE(OFFSET($H$3,0,0,'Données projet'!$E$11+1,1))</f>
        <v>434.74983403680108</v>
      </c>
      <c r="BJ106" s="62">
        <f t="shared" si="92"/>
        <v>186.0840067781198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2.3076923076923093</v>
      </c>
      <c r="BY106" s="13">
        <f>IF('Données projet'!$A$114&gt;35,BY105+BX106-CG105,IF(A106&lt;'Données projet'!$A$114,$BV$205^A106,IF(A106='Données projet'!$A$114,'Données projet'!$B$114,BY105+BX106-CG105)))</f>
        <v>201.79487179487191</v>
      </c>
      <c r="BZ106" s="14">
        <f>BY106*VLOOKUP('Données projet'!$B$12,Paramètres!$A$1:$I$89,3,0)*VLOOKUP('Données projet'!$B$12,Paramètres!$A$1:$I$89,5,0)</f>
        <v>173.14000000000013</v>
      </c>
      <c r="CA106" s="14">
        <f t="shared" si="93"/>
        <v>43.792528285860037</v>
      </c>
      <c r="CB106" s="22">
        <f t="shared" si="64"/>
        <v>377.82415343120647</v>
      </c>
      <c r="CC106" s="62">
        <f t="shared" si="65"/>
        <v>656.04292236096921</v>
      </c>
      <c r="CD106" s="62">
        <f ca="1">AVERAGE(OFFSET($CC$3,0,0,'Données projet'!$E$12+1,1))-AVERAGE(OFFSET($H$3,0,0,'Données projet'!$E$12+1,1))</f>
        <v>288.24759203983547</v>
      </c>
      <c r="CE106" s="62">
        <f t="shared" si="94"/>
        <v>188.86613033148794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2.3076923076923093</v>
      </c>
      <c r="CT106" s="13">
        <f>IF('Données projet'!$A$140&gt;35,CT105+CS106-DB105,IF(A106&lt;'Données projet'!$A$140,$CQ$205^A106,IF(A106='Données projet'!$A$140,'Données projet'!$B$140,CT105+CS106-DB105)))</f>
        <v>201.79487179487191</v>
      </c>
      <c r="CU106" s="18">
        <f>CT106*VLOOKUP('Données projet'!$B$13,Paramètres!$A$1:$I$89,3,0)*VLOOKUP('Données projet'!$B$13,Paramètres!$A$1:$I$89,5,0)</f>
        <v>135.36400000000009</v>
      </c>
      <c r="CV106" s="14">
        <f t="shared" si="95"/>
        <v>35.23289049882402</v>
      </c>
      <c r="CW106" s="22">
        <f t="shared" si="67"/>
        <v>297.12291761878532</v>
      </c>
      <c r="CX106" s="62">
        <f t="shared" si="68"/>
        <v>575.34168654854807</v>
      </c>
      <c r="CY106" s="62">
        <f ca="1">AVERAGE(OFFSET($CX$3,0,0,'Données projet'!$E$13+1,1))-AVERAGE(OFFSET($H$3,0,0,'Données projet'!$E$13+1,1))</f>
        <v>240.40157928925146</v>
      </c>
      <c r="CZ106" s="62">
        <f t="shared" si="96"/>
        <v>160.5013084380258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3.1</v>
      </c>
      <c r="DO106" s="13">
        <f>IF('Données projet'!$A$166&gt;35,DO105+DN106-DW105,IF(A106&lt;'Données projet'!$A$166,$DL$205^A106,IF(A106='Données projet'!$A$166,'Données projet'!$B$166,DO105+DN106-DW105)))</f>
        <v>211.29999999999981</v>
      </c>
      <c r="DP106" s="18">
        <f>DO106*VLOOKUP('Données projet'!$B$14,Paramètres!$A$1:$I$89,3,0)*VLOOKUP('Données projet'!$B$14,Paramètres!$A$1:$I$89,5,0)</f>
        <v>204.36935999999983</v>
      </c>
      <c r="DQ106" s="14">
        <f t="shared" si="97"/>
        <v>50.703209672812378</v>
      </c>
      <c r="DR106" s="22">
        <f t="shared" si="70"/>
        <v>444.25139218014789</v>
      </c>
      <c r="DS106" s="62">
        <f t="shared" si="71"/>
        <v>722.47016110991058</v>
      </c>
      <c r="DT106" s="62">
        <f ca="1">AVERAGE(OFFSET($DS$3,0,0,'Données projet'!$E$14+1,1))-AVERAGE(OFFSET($H$3,0,0,'Données projet'!$E$14+1,1))</f>
        <v>398.93296311353788</v>
      </c>
      <c r="DU106" s="62">
        <f t="shared" si="98"/>
        <v>173.19148969173838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-5.6843418860808015E-14</v>
      </c>
      <c r="EK106" s="18">
        <f>EJ106*VLOOKUP('Données projet'!$B$15,Paramètres!$A$1:$I$89,3,0)*VLOOKUP('Données projet'!$B$15,Paramètres!$A$1:$I$89,5,0)</f>
        <v>-4.9658410716801891E-14</v>
      </c>
      <c r="EL106" s="14" t="e">
        <f t="shared" si="99"/>
        <v>#NUM!</v>
      </c>
      <c r="EM106" s="22" t="e">
        <f t="shared" si="73"/>
        <v>#NUM!</v>
      </c>
      <c r="EN106" s="62" t="e">
        <f t="shared" si="74"/>
        <v>#NUM!</v>
      </c>
      <c r="EO106" s="62">
        <f ca="1">AVERAGE(OFFSET($EN$3,0,0,'Données projet'!$E$15+1,1))-AVERAGE(OFFSET($H$3,0,0,'Données projet'!$E$15+1,1))</f>
        <v>226.37420733783091</v>
      </c>
      <c r="EP106" s="62">
        <f t="shared" si="100"/>
        <v>204.10961748628714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6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9">
        <f t="shared" si="56"/>
        <v>183.33333333333334</v>
      </c>
      <c r="I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2.8421709430404007E-13</v>
      </c>
      <c r="O107" s="14">
        <f>N107*VLOOKUP('Données projet'!$B$9,Paramètres!$A$1:$I$89,3,0)*VLOOKUP('Données projet'!$B$9,Paramètres!$A$1:$I$89,5,0)</f>
        <v>1.6626700016786346E-13</v>
      </c>
      <c r="P107" s="14">
        <f t="shared" si="87"/>
        <v>2.3542701735863119E-12</v>
      </c>
      <c r="Q107" s="22">
        <f t="shared" si="107"/>
        <v>4.3899355776218544E-12</v>
      </c>
      <c r="R107" s="62">
        <f t="shared" si="55"/>
        <v>278.48097283106529</v>
      </c>
      <c r="S107" s="62">
        <f ca="1">AVERAGE(OFFSET($R$3,0,0,'Données projet'!$E$9+1,1))-AVERAGE(OFFSET($H$3,0,0,'Données projet'!$E$9+1,1))</f>
        <v>196.48726929442091</v>
      </c>
      <c r="T107" s="62">
        <f t="shared" si="88"/>
        <v>193.28400454669347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1.1566256185521833E-10</v>
      </c>
      <c r="AC107" s="24">
        <f t="shared" si="57"/>
        <v>1.1566256185521833E-10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3.1</v>
      </c>
      <c r="AI107" s="14">
        <f>IF('Données projet'!$A$62&gt;35,AI106+AH107-AQ106,IF(A107&lt;'Données projet'!$A$62,$AF$205^A107,IF(A107='Données projet'!$A$62,'Données projet'!$B$62,AI106+AH107-AQ106)))</f>
        <v>214.39999999999981</v>
      </c>
      <c r="AJ107" s="14">
        <f>AI107*VLOOKUP('Données projet'!$B$10,Paramètres!$A$1:$I$89,3,0)*VLOOKUP('Données projet'!$B$10,Paramètres!$A$1:$I$89,5,0)</f>
        <v>217.4015999999998</v>
      </c>
      <c r="AK107" s="14">
        <f t="shared" si="89"/>
        <v>53.549746395925069</v>
      </c>
      <c r="AL107" s="22">
        <f t="shared" si="58"/>
        <v>471.90692830623578</v>
      </c>
      <c r="AM107" s="62">
        <f t="shared" si="59"/>
        <v>750.38790113729669</v>
      </c>
      <c r="AN107" s="62">
        <f ca="1">AVERAGE(OFFSET($AM$3,0,0,'Données projet'!$E$10+1,1))-AVERAGE(OFFSET($H$3,0,0,'Données projet'!$E$10+1,1))</f>
        <v>414.29294334114661</v>
      </c>
      <c r="AO107" s="62">
        <f t="shared" si="90"/>
        <v>178.72086185623849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3.1</v>
      </c>
      <c r="BD107" s="13">
        <f>IF('Données projet'!$A$88&gt;35,BD106+BC107-BL106,IF(A107&lt;'Données projet'!$A$88,$BA$205^A107,IF(A107='Données projet'!$A$88,'Données projet'!$B$88,BD106+BC107-BL106)))</f>
        <v>214.39999999999981</v>
      </c>
      <c r="BE107" s="14">
        <f>BD107*VLOOKUP('Données projet'!$B$11,Paramètres!$A$1:$I$89,3,0)*VLOOKUP('Données projet'!$B$11,Paramètres!$A$1:$I$89,5,0)</f>
        <v>230.7801599999998</v>
      </c>
      <c r="BF107" s="14">
        <f t="shared" si="91"/>
        <v>56.451337103640839</v>
      </c>
      <c r="BG107" s="22">
        <f t="shared" si="61"/>
        <v>500.26152412217419</v>
      </c>
      <c r="BH107" s="62">
        <f t="shared" si="62"/>
        <v>778.7424969532351</v>
      </c>
      <c r="BI107" s="62">
        <f ca="1">AVERAGE(OFFSET($BH$3,0,0,'Données projet'!$E$11+1,1))-AVERAGE(OFFSET($H$3,0,0,'Données projet'!$E$11+1,1))</f>
        <v>434.74983403680108</v>
      </c>
      <c r="BJ107" s="62">
        <f t="shared" si="92"/>
        <v>186.0840067781198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2.3076923076923093</v>
      </c>
      <c r="BY107" s="13">
        <f>IF('Données projet'!$A$114&gt;35,BY106+BX107-CG106,IF(A107&lt;'Données projet'!$A$114,$BV$205^A107,IF(A107='Données projet'!$A$114,'Données projet'!$B$114,BY106+BX107-CG106)))</f>
        <v>204.10256410256423</v>
      </c>
      <c r="BZ107" s="14">
        <f>BY107*VLOOKUP('Données projet'!$B$12,Paramètres!$A$1:$I$89,3,0)*VLOOKUP('Données projet'!$B$12,Paramètres!$A$1:$I$89,5,0)</f>
        <v>175.12000000000012</v>
      </c>
      <c r="CA107" s="14">
        <f t="shared" si="93"/>
        <v>44.234745433840345</v>
      </c>
      <c r="CB107" s="22">
        <f t="shared" si="64"/>
        <v>382.04284829727209</v>
      </c>
      <c r="CC107" s="62">
        <f t="shared" si="65"/>
        <v>660.523821128333</v>
      </c>
      <c r="CD107" s="62">
        <f ca="1">AVERAGE(OFFSET($CC$3,0,0,'Données projet'!$E$12+1,1))-AVERAGE(OFFSET($H$3,0,0,'Données projet'!$E$12+1,1))</f>
        <v>288.24759203983547</v>
      </c>
      <c r="CE107" s="62">
        <f t="shared" si="94"/>
        <v>188.86613033148794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2.3076923076923093</v>
      </c>
      <c r="CT107" s="13">
        <f>IF('Données projet'!$A$140&gt;35,CT106+CS107-DB106,IF(A107&lt;'Données projet'!$A$140,$CQ$205^A107,IF(A107='Données projet'!$A$140,'Données projet'!$B$140,CT106+CS107-DB106)))</f>
        <v>204.10256410256423</v>
      </c>
      <c r="CU107" s="18">
        <f>CT107*VLOOKUP('Données projet'!$B$13,Paramètres!$A$1:$I$89,3,0)*VLOOKUP('Données projet'!$B$13,Paramètres!$A$1:$I$89,5,0)</f>
        <v>136.91200000000009</v>
      </c>
      <c r="CV107" s="14">
        <f t="shared" si="95"/>
        <v>35.588672385857095</v>
      </c>
      <c r="CW107" s="22">
        <f t="shared" si="67"/>
        <v>300.43867107203454</v>
      </c>
      <c r="CX107" s="62">
        <f t="shared" si="68"/>
        <v>578.91964390309545</v>
      </c>
      <c r="CY107" s="62">
        <f ca="1">AVERAGE(OFFSET($CX$3,0,0,'Données projet'!$E$13+1,1))-AVERAGE(OFFSET($H$3,0,0,'Données projet'!$E$13+1,1))</f>
        <v>240.40157928925146</v>
      </c>
      <c r="CZ107" s="62">
        <f t="shared" si="96"/>
        <v>160.5013084380258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3.1</v>
      </c>
      <c r="DO107" s="13">
        <f>IF('Données projet'!$A$166&gt;35,DO106+DN107-DW106,IF(A107&lt;'Données projet'!$A$166,$DL$205^A107,IF(A107='Données projet'!$A$166,'Données projet'!$B$166,DO106+DN107-DW106)))</f>
        <v>214.39999999999981</v>
      </c>
      <c r="DP107" s="18">
        <f>DO107*VLOOKUP('Données projet'!$B$14,Paramètres!$A$1:$I$89,3,0)*VLOOKUP('Données projet'!$B$14,Paramètres!$A$1:$I$89,5,0)</f>
        <v>207.36767999999984</v>
      </c>
      <c r="DQ107" s="14">
        <f t="shared" si="97"/>
        <v>51.359935934080831</v>
      </c>
      <c r="DR107" s="22">
        <f t="shared" si="70"/>
        <v>450.6172644185238</v>
      </c>
      <c r="DS107" s="62">
        <f t="shared" si="71"/>
        <v>729.09823724958471</v>
      </c>
      <c r="DT107" s="62">
        <f ca="1">AVERAGE(OFFSET($DS$3,0,0,'Données projet'!$E$14+1,1))-AVERAGE(OFFSET($H$3,0,0,'Données projet'!$E$14+1,1))</f>
        <v>398.93296311353788</v>
      </c>
      <c r="DU107" s="62">
        <f t="shared" si="98"/>
        <v>173.19148969173838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-5.6843418860808015E-14</v>
      </c>
      <c r="EK107" s="18">
        <f>EJ107*VLOOKUP('Données projet'!$B$15,Paramètres!$A$1:$I$89,3,0)*VLOOKUP('Données projet'!$B$15,Paramètres!$A$1:$I$89,5,0)</f>
        <v>-4.9658410716801891E-14</v>
      </c>
      <c r="EL107" s="14" t="e">
        <f t="shared" si="99"/>
        <v>#NUM!</v>
      </c>
      <c r="EM107" s="22" t="e">
        <f t="shared" si="73"/>
        <v>#NUM!</v>
      </c>
      <c r="EN107" s="62" t="e">
        <f t="shared" si="74"/>
        <v>#NUM!</v>
      </c>
      <c r="EO107" s="62">
        <f ca="1">AVERAGE(OFFSET($EN$3,0,0,'Données projet'!$E$15+1,1))-AVERAGE(OFFSET($H$3,0,0,'Données projet'!$E$15+1,1))</f>
        <v>226.37420733783091</v>
      </c>
      <c r="EP107" s="62">
        <f t="shared" si="100"/>
        <v>204.10961748628714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6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9">
        <f t="shared" si="56"/>
        <v>183.33333333333334</v>
      </c>
      <c r="I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2.8421709430404007E-13</v>
      </c>
      <c r="O108" s="14">
        <f>N108*VLOOKUP('Données projet'!$B$9,Paramètres!$A$1:$I$89,3,0)*VLOOKUP('Données projet'!$B$9,Paramètres!$A$1:$I$89,5,0)</f>
        <v>1.6626700016786346E-13</v>
      </c>
      <c r="P108" s="14">
        <f t="shared" si="87"/>
        <v>2.3542701735863119E-12</v>
      </c>
      <c r="Q108" s="22">
        <f t="shared" si="107"/>
        <v>4.3899355776218544E-12</v>
      </c>
      <c r="R108" s="62">
        <f t="shared" si="55"/>
        <v>278.73862808087614</v>
      </c>
      <c r="S108" s="62">
        <f ca="1">AVERAGE(OFFSET($R$3,0,0,'Données projet'!$E$9+1,1))-AVERAGE(OFFSET($H$3,0,0,'Données projet'!$E$9+1,1))</f>
        <v>196.48726929442091</v>
      </c>
      <c r="T108" s="62">
        <f t="shared" si="88"/>
        <v>193.28400454669347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8.1785781817233388E-11</v>
      </c>
      <c r="AC108" s="24">
        <f t="shared" si="57"/>
        <v>8.1785781817233388E-11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3.1</v>
      </c>
      <c r="AI108" s="14">
        <f>IF('Données projet'!$A$62&gt;35,AI107+AH108-AQ107,IF(A108&lt;'Données projet'!$A$62,$AF$205^A108,IF(A108='Données projet'!$A$62,'Données projet'!$B$62,AI107+AH108-AQ107)))</f>
        <v>217.4999999999998</v>
      </c>
      <c r="AJ108" s="14">
        <f>AI108*VLOOKUP('Données projet'!$B$10,Paramètres!$A$1:$I$89,3,0)*VLOOKUP('Données projet'!$B$10,Paramètres!$A$1:$I$89,5,0)</f>
        <v>220.54499999999982</v>
      </c>
      <c r="AK108" s="14">
        <f t="shared" si="89"/>
        <v>54.233321715341418</v>
      </c>
      <c r="AL108" s="22">
        <f t="shared" si="58"/>
        <v>478.57224365421933</v>
      </c>
      <c r="AM108" s="62">
        <f t="shared" si="59"/>
        <v>757.31087173509104</v>
      </c>
      <c r="AN108" s="62">
        <f ca="1">AVERAGE(OFFSET($AM$3,0,0,'Données projet'!$E$10+1,1))-AVERAGE(OFFSET($H$3,0,0,'Données projet'!$E$10+1,1))</f>
        <v>414.29294334114661</v>
      </c>
      <c r="AO108" s="62">
        <f t="shared" si="90"/>
        <v>178.72086185623849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3.1</v>
      </c>
      <c r="BD108" s="13">
        <f>IF('Données projet'!$A$88&gt;35,BD107+BC108-BL107,IF(A108&lt;'Données projet'!$A$88,$BA$205^A108,IF(A108='Données projet'!$A$88,'Données projet'!$B$88,BD107+BC108-BL107)))</f>
        <v>217.4999999999998</v>
      </c>
      <c r="BE108" s="14">
        <f>BD108*VLOOKUP('Données projet'!$B$11,Paramètres!$A$1:$I$89,3,0)*VLOOKUP('Données projet'!$B$11,Paramètres!$A$1:$I$89,5,0)</f>
        <v>234.11699999999976</v>
      </c>
      <c r="BF108" s="14">
        <f t="shared" si="91"/>
        <v>57.171951922370127</v>
      </c>
      <c r="BG108" s="22">
        <f t="shared" si="61"/>
        <v>507.32825793146094</v>
      </c>
      <c r="BH108" s="62">
        <f t="shared" si="62"/>
        <v>786.0668860123327</v>
      </c>
      <c r="BI108" s="62">
        <f ca="1">AVERAGE(OFFSET($BH$3,0,0,'Données projet'!$E$11+1,1))-AVERAGE(OFFSET($H$3,0,0,'Données projet'!$E$11+1,1))</f>
        <v>434.74983403680108</v>
      </c>
      <c r="BJ108" s="62">
        <f t="shared" si="92"/>
        <v>186.0840067781198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>
        <f>VLOOKUP(A108,'Données projet'!$A$113:$I$133,2,0)</f>
        <v>206.41025641025641</v>
      </c>
      <c r="BW108" s="13">
        <f>VLOOKUP(A108,'Données projet'!$A$113:$I$133,9,0)</f>
        <v>2.3076923076923093</v>
      </c>
      <c r="BX108" s="13">
        <f t="array" ref="BX108">INDEX(BW:BW,MIN(IF(ISNUMBER(BW108:BW304),ROW(BW108:BW304),"")))</f>
        <v>2.3076923076923093</v>
      </c>
      <c r="BY108" s="13">
        <f>IF('Données projet'!$A$114&gt;35,BY107+BX108-CG107,IF(A108&lt;'Données projet'!$A$114,$BV$205^A108,IF(A108='Données projet'!$A$114,'Données projet'!$B$114,BY107+BX108-CG107)))</f>
        <v>206.41025641025655</v>
      </c>
      <c r="BZ108" s="14">
        <f>BY108*VLOOKUP('Données projet'!$B$12,Paramètres!$A$1:$I$89,3,0)*VLOOKUP('Données projet'!$B$12,Paramètres!$A$1:$I$89,5,0)</f>
        <v>177.10000000000014</v>
      </c>
      <c r="CA108" s="14">
        <f t="shared" si="93"/>
        <v>44.676380958200603</v>
      </c>
      <c r="CB108" s="22">
        <f t="shared" si="64"/>
        <v>386.2605301688663</v>
      </c>
      <c r="CC108" s="62">
        <f t="shared" si="65"/>
        <v>664.999158249738</v>
      </c>
      <c r="CD108" s="62">
        <f ca="1">AVERAGE(OFFSET($CC$3,0,0,'Données projet'!$E$12+1,1))-AVERAGE(OFFSET($H$3,0,0,'Données projet'!$E$12+1,1))</f>
        <v>288.24759203983547</v>
      </c>
      <c r="CE108" s="62">
        <f t="shared" si="94"/>
        <v>188.86613033148794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>
        <f>VLOOKUP(A108,'Données projet'!$A$139:$I$159,2,0)</f>
        <v>206.41025641025641</v>
      </c>
      <c r="CR108" s="13">
        <f>VLOOKUP(A108,'Données projet'!$A$139:$I$159,9,0)</f>
        <v>2.3076923076923093</v>
      </c>
      <c r="CS108" s="13">
        <f t="array" ref="CS108">INDEX(CR:CR,MIN(IF(ISNUMBER(CR108:CR304),ROW(CR108:CR304),"")))</f>
        <v>2.3076923076923093</v>
      </c>
      <c r="CT108" s="13">
        <f>IF('Données projet'!$A$140&gt;35,CT107+CS108-DB107,IF(A108&lt;'Données projet'!$A$140,$CQ$205^A108,IF(A108='Données projet'!$A$140,'Données projet'!$B$140,CT107+CS108-DB107)))</f>
        <v>206.41025641025655</v>
      </c>
      <c r="CU108" s="18">
        <f>CT108*VLOOKUP('Données projet'!$B$13,Paramètres!$A$1:$I$89,3,0)*VLOOKUP('Données projet'!$B$13,Paramètres!$A$1:$I$89,5,0)</f>
        <v>138.46000000000009</v>
      </c>
      <c r="CV108" s="14">
        <f t="shared" si="95"/>
        <v>35.943986332761554</v>
      </c>
      <c r="CW108" s="22">
        <f t="shared" si="67"/>
        <v>303.75360952955981</v>
      </c>
      <c r="CX108" s="62">
        <f t="shared" si="68"/>
        <v>582.49223761043163</v>
      </c>
      <c r="CY108" s="62">
        <f ca="1">AVERAGE(OFFSET($CX$3,0,0,'Données projet'!$E$13+1,1))-AVERAGE(OFFSET($H$3,0,0,'Données projet'!$E$13+1,1))</f>
        <v>240.40157928925146</v>
      </c>
      <c r="CZ108" s="62">
        <f t="shared" si="96"/>
        <v>160.5013084380258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3.1</v>
      </c>
      <c r="DO108" s="13">
        <f>IF('Données projet'!$A$166&gt;35,DO107+DN108-DW107,IF(A108&lt;'Données projet'!$A$166,$DL$205^A108,IF(A108='Données projet'!$A$166,'Données projet'!$B$166,DO107+DN108-DW107)))</f>
        <v>217.4999999999998</v>
      </c>
      <c r="DP108" s="18">
        <f>DO108*VLOOKUP('Données projet'!$B$14,Paramètres!$A$1:$I$89,3,0)*VLOOKUP('Données projet'!$B$14,Paramètres!$A$1:$I$89,5,0)</f>
        <v>210.36599999999981</v>
      </c>
      <c r="DQ108" s="14">
        <f t="shared" si="97"/>
        <v>52.01555779924832</v>
      </c>
      <c r="DR108" s="22">
        <f t="shared" si="70"/>
        <v>456.98121316702378</v>
      </c>
      <c r="DS108" s="62">
        <f t="shared" si="71"/>
        <v>735.7198412478956</v>
      </c>
      <c r="DT108" s="62">
        <f ca="1">AVERAGE(OFFSET($DS$3,0,0,'Données projet'!$E$14+1,1))-AVERAGE(OFFSET($H$3,0,0,'Données projet'!$E$14+1,1))</f>
        <v>398.93296311353788</v>
      </c>
      <c r="DU108" s="62">
        <f t="shared" si="98"/>
        <v>173.19148969173838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-5.6843418860808015E-14</v>
      </c>
      <c r="EK108" s="18">
        <f>EJ108*VLOOKUP('Données projet'!$B$15,Paramètres!$A$1:$I$89,3,0)*VLOOKUP('Données projet'!$B$15,Paramètres!$A$1:$I$89,5,0)</f>
        <v>-4.9658410716801891E-14</v>
      </c>
      <c r="EL108" s="14" t="e">
        <f t="shared" si="99"/>
        <v>#NUM!</v>
      </c>
      <c r="EM108" s="22" t="e">
        <f t="shared" si="73"/>
        <v>#NUM!</v>
      </c>
      <c r="EN108" s="62" t="e">
        <f t="shared" si="74"/>
        <v>#NUM!</v>
      </c>
      <c r="EO108" s="62">
        <f ca="1">AVERAGE(OFFSET($EN$3,0,0,'Données projet'!$E$15+1,1))-AVERAGE(OFFSET($H$3,0,0,'Données projet'!$E$15+1,1))</f>
        <v>226.37420733783091</v>
      </c>
      <c r="EP108" s="62">
        <f t="shared" si="100"/>
        <v>204.10961748628714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6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9">
        <f t="shared" si="56"/>
        <v>183.33333333333334</v>
      </c>
      <c r="I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2.8421709430404007E-13</v>
      </c>
      <c r="O109" s="14">
        <f>N109*VLOOKUP('Données projet'!$B$9,Paramètres!$A$1:$I$89,3,0)*VLOOKUP('Données projet'!$B$9,Paramètres!$A$1:$I$89,5,0)</f>
        <v>1.6626700016786346E-13</v>
      </c>
      <c r="P109" s="14">
        <f t="shared" si="87"/>
        <v>2.3542701735863119E-12</v>
      </c>
      <c r="Q109" s="22">
        <f t="shared" si="107"/>
        <v>4.3899355776218544E-12</v>
      </c>
      <c r="R109" s="62">
        <f t="shared" si="55"/>
        <v>278.99181358813348</v>
      </c>
      <c r="S109" s="62">
        <f ca="1">AVERAGE(OFFSET($R$3,0,0,'Données projet'!$E$9+1,1))-AVERAGE(OFFSET($H$3,0,0,'Données projet'!$E$9+1,1))</f>
        <v>196.48726929442091</v>
      </c>
      <c r="T109" s="62">
        <f t="shared" si="88"/>
        <v>193.28400454669347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5.7831280927609171E-11</v>
      </c>
      <c r="AC109" s="24">
        <f t="shared" si="57"/>
        <v>5.7831280927609171E-11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3.1</v>
      </c>
      <c r="AI109" s="14">
        <f>IF('Données projet'!$A$62&gt;35,AI108+AH109-AQ108,IF(A109&lt;'Données projet'!$A$62,$AF$205^A109,IF(A109='Données projet'!$A$62,'Données projet'!$B$62,AI108+AH109-AQ108)))</f>
        <v>220.5999999999998</v>
      </c>
      <c r="AJ109" s="14">
        <f>AI109*VLOOKUP('Données projet'!$B$10,Paramètres!$A$1:$I$89,3,0)*VLOOKUP('Données projet'!$B$10,Paramètres!$A$1:$I$89,5,0)</f>
        <v>223.6883999999998</v>
      </c>
      <c r="AK109" s="14">
        <f t="shared" si="89"/>
        <v>54.915763859378451</v>
      </c>
      <c r="AL109" s="22">
        <f t="shared" si="58"/>
        <v>485.23558538841718</v>
      </c>
      <c r="AM109" s="62">
        <f t="shared" si="59"/>
        <v>764.22739897654628</v>
      </c>
      <c r="AN109" s="62">
        <f ca="1">AVERAGE(OFFSET($AM$3,0,0,'Données projet'!$E$10+1,1))-AVERAGE(OFFSET($H$3,0,0,'Données projet'!$E$10+1,1))</f>
        <v>414.29294334114661</v>
      </c>
      <c r="AO109" s="62">
        <f t="shared" si="90"/>
        <v>178.72086185623849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3.1</v>
      </c>
      <c r="BD109" s="13">
        <f>IF('Données projet'!$A$88&gt;35,BD108+BC109-BL108,IF(A109&lt;'Données projet'!$A$88,$BA$205^A109,IF(A109='Données projet'!$A$88,'Données projet'!$B$88,BD108+BC109-BL108)))</f>
        <v>220.5999999999998</v>
      </c>
      <c r="BE109" s="14">
        <f>BD109*VLOOKUP('Données projet'!$B$11,Paramètres!$A$1:$I$89,3,0)*VLOOKUP('Données projet'!$B$11,Paramètres!$A$1:$I$89,5,0)</f>
        <v>237.45383999999979</v>
      </c>
      <c r="BF109" s="14">
        <f t="shared" si="91"/>
        <v>57.891372164660901</v>
      </c>
      <c r="BG109" s="22">
        <f t="shared" si="61"/>
        <v>514.39291118678386</v>
      </c>
      <c r="BH109" s="62">
        <f t="shared" si="62"/>
        <v>793.38472477491291</v>
      </c>
      <c r="BI109" s="62">
        <f ca="1">AVERAGE(OFFSET($BH$3,0,0,'Données projet'!$E$11+1,1))-AVERAGE(OFFSET($H$3,0,0,'Données projet'!$E$11+1,1))</f>
        <v>434.74983403680108</v>
      </c>
      <c r="BJ109" s="62">
        <f t="shared" si="92"/>
        <v>186.0840067781198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2.4358974358974366</v>
      </c>
      <c r="BY109" s="13">
        <f>IF('Données projet'!$A$114&gt;35,BY108+BX109-CG108,IF(A109&lt;'Données projet'!$A$114,$BV$205^A109,IF(A109='Données projet'!$A$114,'Données projet'!$B$114,BY108+BX109-CG108)))</f>
        <v>208.84615384615398</v>
      </c>
      <c r="BZ109" s="14">
        <f>BY109*VLOOKUP('Données projet'!$B$12,Paramètres!$A$1:$I$89,3,0)*VLOOKUP('Données projet'!$B$12,Paramètres!$A$1:$I$89,5,0)</f>
        <v>179.19000000000014</v>
      </c>
      <c r="CA109" s="14">
        <f t="shared" si="93"/>
        <v>45.141928813684643</v>
      </c>
      <c r="CB109" s="22">
        <f t="shared" si="64"/>
        <v>390.71144268383432</v>
      </c>
      <c r="CC109" s="62">
        <f t="shared" si="65"/>
        <v>669.70325627196348</v>
      </c>
      <c r="CD109" s="62">
        <f ca="1">AVERAGE(OFFSET($CC$3,0,0,'Données projet'!$E$12+1,1))-AVERAGE(OFFSET($H$3,0,0,'Données projet'!$E$12+1,1))</f>
        <v>288.24759203983547</v>
      </c>
      <c r="CE109" s="62">
        <f t="shared" si="94"/>
        <v>188.86613033148794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2.4358974358974366</v>
      </c>
      <c r="CT109" s="13">
        <f>IF('Données projet'!$A$140&gt;35,CT108+CS109-DB108,IF(A109&lt;'Données projet'!$A$140,$CQ$205^A109,IF(A109='Données projet'!$A$140,'Données projet'!$B$140,CT108+CS109-DB108)))</f>
        <v>208.84615384615398</v>
      </c>
      <c r="CU109" s="18">
        <f>CT109*VLOOKUP('Données projet'!$B$13,Paramètres!$A$1:$I$89,3,0)*VLOOKUP('Données projet'!$B$13,Paramètres!$A$1:$I$89,5,0)</f>
        <v>140.09400000000008</v>
      </c>
      <c r="CV109" s="14">
        <f t="shared" si="95"/>
        <v>36.318538733736489</v>
      </c>
      <c r="CW109" s="22">
        <f t="shared" si="67"/>
        <v>307.25183829459121</v>
      </c>
      <c r="CX109" s="62">
        <f t="shared" si="68"/>
        <v>586.24365188272031</v>
      </c>
      <c r="CY109" s="62">
        <f ca="1">AVERAGE(OFFSET($CX$3,0,0,'Données projet'!$E$13+1,1))-AVERAGE(OFFSET($H$3,0,0,'Données projet'!$E$13+1,1))</f>
        <v>240.40157928925146</v>
      </c>
      <c r="CZ109" s="62">
        <f t="shared" si="96"/>
        <v>160.5013084380258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3.1</v>
      </c>
      <c r="DO109" s="13">
        <f>IF('Données projet'!$A$166&gt;35,DO108+DN109-DW108,IF(A109&lt;'Données projet'!$A$166,$DL$205^A109,IF(A109='Données projet'!$A$166,'Données projet'!$B$166,DO108+DN109-DW108)))</f>
        <v>220.5999999999998</v>
      </c>
      <c r="DP109" s="18">
        <f>DO109*VLOOKUP('Données projet'!$B$14,Paramètres!$A$1:$I$89,3,0)*VLOOKUP('Données projet'!$B$14,Paramètres!$A$1:$I$89,5,0)</f>
        <v>213.36431999999982</v>
      </c>
      <c r="DQ109" s="14">
        <f t="shared" si="97"/>
        <v>52.670092827991724</v>
      </c>
      <c r="DR109" s="22">
        <f t="shared" si="70"/>
        <v>463.34326900875197</v>
      </c>
      <c r="DS109" s="62">
        <f t="shared" si="71"/>
        <v>742.33508259688108</v>
      </c>
      <c r="DT109" s="62">
        <f ca="1">AVERAGE(OFFSET($DS$3,0,0,'Données projet'!$E$14+1,1))-AVERAGE(OFFSET($H$3,0,0,'Données projet'!$E$14+1,1))</f>
        <v>398.93296311353788</v>
      </c>
      <c r="DU109" s="62">
        <f t="shared" si="98"/>
        <v>173.19148969173838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-5.6843418860808015E-14</v>
      </c>
      <c r="EK109" s="18">
        <f>EJ109*VLOOKUP('Données projet'!$B$15,Paramètres!$A$1:$I$89,3,0)*VLOOKUP('Données projet'!$B$15,Paramètres!$A$1:$I$89,5,0)</f>
        <v>-4.9658410716801891E-14</v>
      </c>
      <c r="EL109" s="14" t="e">
        <f t="shared" si="99"/>
        <v>#NUM!</v>
      </c>
      <c r="EM109" s="22" t="e">
        <f t="shared" si="73"/>
        <v>#NUM!</v>
      </c>
      <c r="EN109" s="62" t="e">
        <f t="shared" si="74"/>
        <v>#NUM!</v>
      </c>
      <c r="EO109" s="62">
        <f ca="1">AVERAGE(OFFSET($EN$3,0,0,'Données projet'!$E$15+1,1))-AVERAGE(OFFSET($H$3,0,0,'Données projet'!$E$15+1,1))</f>
        <v>226.37420733783091</v>
      </c>
      <c r="EP109" s="62">
        <f t="shared" si="100"/>
        <v>204.10961748628714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6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9">
        <f t="shared" si="56"/>
        <v>183.33333333333334</v>
      </c>
      <c r="I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2.8421709430404007E-13</v>
      </c>
      <c r="O110" s="14">
        <f>N110*VLOOKUP('Données projet'!$B$9,Paramètres!$A$1:$I$89,3,0)*VLOOKUP('Données projet'!$B$9,Paramètres!$A$1:$I$89,5,0)</f>
        <v>1.6626700016786346E-13</v>
      </c>
      <c r="P110" s="14">
        <f t="shared" si="87"/>
        <v>2.3542701735863119E-12</v>
      </c>
      <c r="Q110" s="22">
        <f t="shared" si="107"/>
        <v>4.3899355776218544E-12</v>
      </c>
      <c r="R110" s="62">
        <f t="shared" si="55"/>
        <v>279.24060689287802</v>
      </c>
      <c r="S110" s="62">
        <f ca="1">AVERAGE(OFFSET($R$3,0,0,'Données projet'!$E$9+1,1))-AVERAGE(OFFSET($H$3,0,0,'Données projet'!$E$9+1,1))</f>
        <v>196.48726929442091</v>
      </c>
      <c r="T110" s="62">
        <f t="shared" si="88"/>
        <v>193.28400454669347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4.08928909086167E-11</v>
      </c>
      <c r="AC110" s="24">
        <f t="shared" si="57"/>
        <v>4.08928909086167E-11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3.1</v>
      </c>
      <c r="AI110" s="14">
        <f>IF('Données projet'!$A$62&gt;35,AI109+AH110-AQ109,IF(A110&lt;'Données projet'!$A$62,$AF$205^A110,IF(A110='Données projet'!$A$62,'Données projet'!$B$62,AI109+AH110-AQ109)))</f>
        <v>223.69999999999979</v>
      </c>
      <c r="AJ110" s="14">
        <f>AI110*VLOOKUP('Données projet'!$B$10,Paramètres!$A$1:$I$89,3,0)*VLOOKUP('Données projet'!$B$10,Paramètres!$A$1:$I$89,5,0)</f>
        <v>226.83179999999979</v>
      </c>
      <c r="AK110" s="14">
        <f t="shared" si="89"/>
        <v>55.597090592281752</v>
      </c>
      <c r="AL110" s="22">
        <f t="shared" si="58"/>
        <v>491.89698444822369</v>
      </c>
      <c r="AM110" s="62">
        <f t="shared" si="59"/>
        <v>771.13759134109728</v>
      </c>
      <c r="AN110" s="62">
        <f ca="1">AVERAGE(OFFSET($AM$3,0,0,'Données projet'!$E$10+1,1))-AVERAGE(OFFSET($H$3,0,0,'Données projet'!$E$10+1,1))</f>
        <v>414.29294334114661</v>
      </c>
      <c r="AO110" s="62">
        <f t="shared" si="90"/>
        <v>178.72086185623849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3.1</v>
      </c>
      <c r="BD110" s="13">
        <f>IF('Données projet'!$A$88&gt;35,BD109+BC110-BL109,IF(A110&lt;'Données projet'!$A$88,$BA$205^A110,IF(A110='Données projet'!$A$88,'Données projet'!$B$88,BD109+BC110-BL109)))</f>
        <v>223.69999999999979</v>
      </c>
      <c r="BE110" s="14">
        <f>BD110*VLOOKUP('Données projet'!$B$11,Paramètres!$A$1:$I$89,3,0)*VLOOKUP('Données projet'!$B$11,Paramètres!$A$1:$I$89,5,0)</f>
        <v>240.79067999999975</v>
      </c>
      <c r="BF110" s="14">
        <f t="shared" si="91"/>
        <v>58.609616557313579</v>
      </c>
      <c r="BG110" s="22">
        <f t="shared" si="61"/>
        <v>521.45551650398738</v>
      </c>
      <c r="BH110" s="62">
        <f t="shared" si="62"/>
        <v>800.69612339686103</v>
      </c>
      <c r="BI110" s="62">
        <f ca="1">AVERAGE(OFFSET($BH$3,0,0,'Données projet'!$E$11+1,1))-AVERAGE(OFFSET($H$3,0,0,'Données projet'!$E$11+1,1))</f>
        <v>434.74983403680108</v>
      </c>
      <c r="BJ110" s="62">
        <f t="shared" si="92"/>
        <v>186.0840067781198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2.4358974358974366</v>
      </c>
      <c r="BY110" s="13">
        <f>IF('Données projet'!$A$114&gt;35,BY109+BX110-CG109,IF(A110&lt;'Données projet'!$A$114,$BV$205^A110,IF(A110='Données projet'!$A$114,'Données projet'!$B$114,BY109+BX110-CG109)))</f>
        <v>211.28205128205141</v>
      </c>
      <c r="BZ110" s="14">
        <f>BY110*VLOOKUP('Données projet'!$B$12,Paramètres!$A$1:$I$89,3,0)*VLOOKUP('Données projet'!$B$12,Paramètres!$A$1:$I$89,5,0)</f>
        <v>181.28000000000014</v>
      </c>
      <c r="CA110" s="14">
        <f t="shared" si="93"/>
        <v>45.606845035217781</v>
      </c>
      <c r="CB110" s="22">
        <f t="shared" si="64"/>
        <v>395.16125510300458</v>
      </c>
      <c r="CC110" s="62">
        <f t="shared" si="65"/>
        <v>674.40186199587822</v>
      </c>
      <c r="CD110" s="62">
        <f ca="1">AVERAGE(OFFSET($CC$3,0,0,'Données projet'!$E$12+1,1))-AVERAGE(OFFSET($H$3,0,0,'Données projet'!$E$12+1,1))</f>
        <v>288.24759203983547</v>
      </c>
      <c r="CE110" s="62">
        <f t="shared" si="94"/>
        <v>188.86613033148794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2.4358974358974366</v>
      </c>
      <c r="CT110" s="13">
        <f>IF('Données projet'!$A$140&gt;35,CT109+CS110-DB109,IF(A110&lt;'Données projet'!$A$140,$CQ$205^A110,IF(A110='Données projet'!$A$140,'Données projet'!$B$140,CT109+CS110-DB109)))</f>
        <v>211.28205128205141</v>
      </c>
      <c r="CU110" s="18">
        <f>CT110*VLOOKUP('Données projet'!$B$13,Paramètres!$A$1:$I$89,3,0)*VLOOKUP('Données projet'!$B$13,Paramètres!$A$1:$I$89,5,0)</f>
        <v>141.72800000000009</v>
      </c>
      <c r="CV110" s="14">
        <f t="shared" si="95"/>
        <v>36.692582959214363</v>
      </c>
      <c r="CW110" s="22">
        <f t="shared" si="67"/>
        <v>310.74918198729853</v>
      </c>
      <c r="CX110" s="62">
        <f t="shared" si="68"/>
        <v>589.98978888017223</v>
      </c>
      <c r="CY110" s="62">
        <f ca="1">AVERAGE(OFFSET($CX$3,0,0,'Données projet'!$E$13+1,1))-AVERAGE(OFFSET($H$3,0,0,'Données projet'!$E$13+1,1))</f>
        <v>240.40157928925146</v>
      </c>
      <c r="CZ110" s="62">
        <f t="shared" si="96"/>
        <v>160.5013084380258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3.1</v>
      </c>
      <c r="DO110" s="13">
        <f>IF('Données projet'!$A$166&gt;35,DO109+DN110-DW109,IF(A110&lt;'Données projet'!$A$166,$DL$205^A110,IF(A110='Données projet'!$A$166,'Données projet'!$B$166,DO109+DN110-DW109)))</f>
        <v>223.69999999999979</v>
      </c>
      <c r="DP110" s="18">
        <f>DO110*VLOOKUP('Données projet'!$B$14,Paramètres!$A$1:$I$89,3,0)*VLOOKUP('Données projet'!$B$14,Paramètres!$A$1:$I$89,5,0)</f>
        <v>216.3626399999998</v>
      </c>
      <c r="DQ110" s="14">
        <f t="shared" si="97"/>
        <v>53.323558058123105</v>
      </c>
      <c r="DR110" s="22">
        <f t="shared" si="70"/>
        <v>469.70346161789735</v>
      </c>
      <c r="DS110" s="62">
        <f t="shared" si="71"/>
        <v>748.94406851077099</v>
      </c>
      <c r="DT110" s="62">
        <f ca="1">AVERAGE(OFFSET($DS$3,0,0,'Données projet'!$E$14+1,1))-AVERAGE(OFFSET($H$3,0,0,'Données projet'!$E$14+1,1))</f>
        <v>398.93296311353788</v>
      </c>
      <c r="DU110" s="62">
        <f t="shared" si="98"/>
        <v>173.19148969173838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-5.6843418860808015E-14</v>
      </c>
      <c r="EK110" s="18">
        <f>EJ110*VLOOKUP('Données projet'!$B$15,Paramètres!$A$1:$I$89,3,0)*VLOOKUP('Données projet'!$B$15,Paramètres!$A$1:$I$89,5,0)</f>
        <v>-4.9658410716801891E-14</v>
      </c>
      <c r="EL110" s="14" t="e">
        <f t="shared" si="99"/>
        <v>#NUM!</v>
      </c>
      <c r="EM110" s="22" t="e">
        <f t="shared" si="73"/>
        <v>#NUM!</v>
      </c>
      <c r="EN110" s="62" t="e">
        <f t="shared" si="74"/>
        <v>#NUM!</v>
      </c>
      <c r="EO110" s="62">
        <f ca="1">AVERAGE(OFFSET($EN$3,0,0,'Données projet'!$E$15+1,1))-AVERAGE(OFFSET($H$3,0,0,'Données projet'!$E$15+1,1))</f>
        <v>226.37420733783091</v>
      </c>
      <c r="EP110" s="62">
        <f t="shared" si="100"/>
        <v>204.10961748628714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6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9">
        <f t="shared" si="56"/>
        <v>183.33333333333334</v>
      </c>
      <c r="I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2.8421709430404007E-13</v>
      </c>
      <c r="O111" s="14">
        <f>N111*VLOOKUP('Données projet'!$B$9,Paramètres!$A$1:$I$89,3,0)*VLOOKUP('Données projet'!$B$9,Paramètres!$A$1:$I$89,5,0)</f>
        <v>1.6626700016786346E-13</v>
      </c>
      <c r="P111" s="14">
        <f t="shared" si="87"/>
        <v>2.3542701735863119E-12</v>
      </c>
      <c r="Q111" s="22">
        <f t="shared" si="107"/>
        <v>4.3899355776218544E-12</v>
      </c>
      <c r="R111" s="62">
        <f t="shared" si="55"/>
        <v>279.4850841900037</v>
      </c>
      <c r="S111" s="62">
        <f ca="1">AVERAGE(OFFSET($R$3,0,0,'Données projet'!$E$9+1,1))-AVERAGE(OFFSET($H$3,0,0,'Données projet'!$E$9+1,1))</f>
        <v>196.48726929442091</v>
      </c>
      <c r="T111" s="62">
        <f t="shared" si="88"/>
        <v>193.28400454669347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2.8915640463804589E-11</v>
      </c>
      <c r="AC111" s="24">
        <f t="shared" si="57"/>
        <v>2.8915640463804589E-11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3.1</v>
      </c>
      <c r="AI111" s="14">
        <f>IF('Données projet'!$A$62&gt;35,AI110+AH111-AQ110,IF(A111&lt;'Données projet'!$A$62,$AF$205^A111,IF(A111='Données projet'!$A$62,'Données projet'!$B$62,AI110+AH111-AQ110)))</f>
        <v>226.79999999999978</v>
      </c>
      <c r="AJ111" s="14">
        <f>AI111*VLOOKUP('Données projet'!$B$10,Paramètres!$A$1:$I$89,3,0)*VLOOKUP('Données projet'!$B$10,Paramètres!$A$1:$I$89,5,0)</f>
        <v>229.9751999999998</v>
      </c>
      <c r="AK111" s="14">
        <f t="shared" si="89"/>
        <v>56.277319157664266</v>
      </c>
      <c r="AL111" s="22">
        <f t="shared" si="58"/>
        <v>498.55647086626499</v>
      </c>
      <c r="AM111" s="62">
        <f t="shared" si="59"/>
        <v>778.04155505626431</v>
      </c>
      <c r="AN111" s="62">
        <f ca="1">AVERAGE(OFFSET($AM$3,0,0,'Données projet'!$E$10+1,1))-AVERAGE(OFFSET($H$3,0,0,'Données projet'!$E$10+1,1))</f>
        <v>414.29294334114661</v>
      </c>
      <c r="AO111" s="62">
        <f t="shared" si="90"/>
        <v>178.72086185623849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3.1</v>
      </c>
      <c r="BD111" s="13">
        <f>IF('Données projet'!$A$88&gt;35,BD110+BC111-BL110,IF(A111&lt;'Données projet'!$A$88,$BA$205^A111,IF(A111='Données projet'!$A$88,'Données projet'!$B$88,BD110+BC111-BL110)))</f>
        <v>226.79999999999978</v>
      </c>
      <c r="BE111" s="14">
        <f>BD111*VLOOKUP('Données projet'!$B$11,Paramètres!$A$1:$I$89,3,0)*VLOOKUP('Données projet'!$B$11,Paramètres!$A$1:$I$89,5,0)</f>
        <v>244.12751999999978</v>
      </c>
      <c r="BF111" s="14">
        <f t="shared" si="91"/>
        <v>59.326703278285549</v>
      </c>
      <c r="BG111" s="22">
        <f t="shared" si="61"/>
        <v>528.51610554301351</v>
      </c>
      <c r="BH111" s="62">
        <f t="shared" si="62"/>
        <v>808.00118973301278</v>
      </c>
      <c r="BI111" s="62">
        <f ca="1">AVERAGE(OFFSET($BH$3,0,0,'Données projet'!$E$11+1,1))-AVERAGE(OFFSET($H$3,0,0,'Données projet'!$E$11+1,1))</f>
        <v>434.74983403680108</v>
      </c>
      <c r="BJ111" s="62">
        <f t="shared" si="92"/>
        <v>186.0840067781198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2.4358974358974366</v>
      </c>
      <c r="BY111" s="13">
        <f>IF('Données projet'!$A$114&gt;35,BY110+BX111-CG110,IF(A111&lt;'Données projet'!$A$114,$BV$205^A111,IF(A111='Données projet'!$A$114,'Données projet'!$B$114,BY110+BX111-CG110)))</f>
        <v>213.71794871794884</v>
      </c>
      <c r="BZ111" s="14">
        <f>BY111*VLOOKUP('Données projet'!$B$12,Paramètres!$A$1:$I$89,3,0)*VLOOKUP('Données projet'!$B$12,Paramètres!$A$1:$I$89,5,0)</f>
        <v>183.37000000000012</v>
      </c>
      <c r="CA111" s="14">
        <f t="shared" si="93"/>
        <v>46.071137747543261</v>
      </c>
      <c r="CB111" s="22">
        <f t="shared" si="64"/>
        <v>399.60998157697139</v>
      </c>
      <c r="CC111" s="62">
        <f t="shared" si="65"/>
        <v>679.09506576697072</v>
      </c>
      <c r="CD111" s="62">
        <f ca="1">AVERAGE(OFFSET($CC$3,0,0,'Données projet'!$E$12+1,1))-AVERAGE(OFFSET($H$3,0,0,'Données projet'!$E$12+1,1))</f>
        <v>288.24759203983547</v>
      </c>
      <c r="CE111" s="62">
        <f t="shared" si="94"/>
        <v>188.86613033148794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2.4358974358974366</v>
      </c>
      <c r="CT111" s="13">
        <f>IF('Données projet'!$A$140&gt;35,CT110+CS111-DB110,IF(A111&lt;'Données projet'!$A$140,$CQ$205^A111,IF(A111='Données projet'!$A$140,'Données projet'!$B$140,CT110+CS111-DB110)))</f>
        <v>213.71794871794884</v>
      </c>
      <c r="CU111" s="18">
        <f>CT111*VLOOKUP('Données projet'!$B$13,Paramètres!$A$1:$I$89,3,0)*VLOOKUP('Données projet'!$B$13,Paramètres!$A$1:$I$89,5,0)</f>
        <v>143.36200000000008</v>
      </c>
      <c r="CV111" s="14">
        <f t="shared" si="95"/>
        <v>37.066125545885491</v>
      </c>
      <c r="CW111" s="22">
        <f t="shared" si="67"/>
        <v>314.24565199241732</v>
      </c>
      <c r="CX111" s="62">
        <f t="shared" si="68"/>
        <v>593.73073618241665</v>
      </c>
      <c r="CY111" s="62">
        <f ca="1">AVERAGE(OFFSET($CX$3,0,0,'Données projet'!$E$13+1,1))-AVERAGE(OFFSET($H$3,0,0,'Données projet'!$E$13+1,1))</f>
        <v>240.40157928925146</v>
      </c>
      <c r="CZ111" s="62">
        <f t="shared" si="96"/>
        <v>160.5013084380258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3.1</v>
      </c>
      <c r="DO111" s="13">
        <f>IF('Données projet'!$A$166&gt;35,DO110+DN111-DW110,IF(A111&lt;'Données projet'!$A$166,$DL$205^A111,IF(A111='Données projet'!$A$166,'Données projet'!$B$166,DO110+DN111-DW110)))</f>
        <v>226.79999999999978</v>
      </c>
      <c r="DP111" s="18">
        <f>DO111*VLOOKUP('Données projet'!$B$14,Paramètres!$A$1:$I$89,3,0)*VLOOKUP('Données projet'!$B$14,Paramètres!$A$1:$I$89,5,0)</f>
        <v>219.36095999999981</v>
      </c>
      <c r="DQ111" s="14">
        <f t="shared" si="97"/>
        <v>53.975970028112073</v>
      </c>
      <c r="DR111" s="22">
        <f t="shared" si="70"/>
        <v>476.06181979896149</v>
      </c>
      <c r="DS111" s="62">
        <f t="shared" si="71"/>
        <v>755.54690398896082</v>
      </c>
      <c r="DT111" s="62">
        <f ca="1">AVERAGE(OFFSET($DS$3,0,0,'Données projet'!$E$14+1,1))-AVERAGE(OFFSET($H$3,0,0,'Données projet'!$E$14+1,1))</f>
        <v>398.93296311353788</v>
      </c>
      <c r="DU111" s="62">
        <f t="shared" si="98"/>
        <v>173.19148969173838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-5.6843418860808015E-14</v>
      </c>
      <c r="EK111" s="18">
        <f>EJ111*VLOOKUP('Données projet'!$B$15,Paramètres!$A$1:$I$89,3,0)*VLOOKUP('Données projet'!$B$15,Paramètres!$A$1:$I$89,5,0)</f>
        <v>-4.9658410716801891E-14</v>
      </c>
      <c r="EL111" s="14" t="e">
        <f t="shared" si="99"/>
        <v>#NUM!</v>
      </c>
      <c r="EM111" s="22" t="e">
        <f t="shared" si="73"/>
        <v>#NUM!</v>
      </c>
      <c r="EN111" s="62" t="e">
        <f t="shared" si="74"/>
        <v>#NUM!</v>
      </c>
      <c r="EO111" s="62">
        <f ca="1">AVERAGE(OFFSET($EN$3,0,0,'Données projet'!$E$15+1,1))-AVERAGE(OFFSET($H$3,0,0,'Données projet'!$E$15+1,1))</f>
        <v>226.37420733783091</v>
      </c>
      <c r="EP111" s="62">
        <f t="shared" si="100"/>
        <v>204.10961748628714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6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9">
        <f t="shared" si="56"/>
        <v>183.33333333333334</v>
      </c>
      <c r="I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2.8421709430404007E-13</v>
      </c>
      <c r="O112" s="14">
        <f>N112*VLOOKUP('Données projet'!$B$9,Paramètres!$A$1:$I$89,3,0)*VLOOKUP('Données projet'!$B$9,Paramètres!$A$1:$I$89,5,0)</f>
        <v>1.6626700016786346E-13</v>
      </c>
      <c r="P112" s="14">
        <f t="shared" si="87"/>
        <v>2.3542701735863119E-12</v>
      </c>
      <c r="Q112" s="22">
        <f t="shared" si="107"/>
        <v>4.3899355776218544E-12</v>
      </c>
      <c r="R112" s="62">
        <f t="shared" si="55"/>
        <v>279.72532035259366</v>
      </c>
      <c r="S112" s="62">
        <f ca="1">AVERAGE(OFFSET($R$3,0,0,'Données projet'!$E$9+1,1))-AVERAGE(OFFSET($H$3,0,0,'Données projet'!$E$9+1,1))</f>
        <v>196.48726929442091</v>
      </c>
      <c r="T112" s="62">
        <f t="shared" si="88"/>
        <v>193.28400454669347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2.0446445454308353E-11</v>
      </c>
      <c r="AC112" s="24">
        <f t="shared" si="57"/>
        <v>2.0446445454308353E-11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3.1</v>
      </c>
      <c r="AI112" s="14">
        <f>IF('Données projet'!$A$62&gt;35,AI111+AH112-AQ111,IF(A112&lt;'Données projet'!$A$62,$AF$205^A112,IF(A112='Données projet'!$A$62,'Données projet'!$B$62,AI111+AH112-AQ111)))</f>
        <v>229.89999999999978</v>
      </c>
      <c r="AJ112" s="14">
        <f>AI112*VLOOKUP('Données projet'!$B$10,Paramètres!$A$1:$I$89,3,0)*VLOOKUP('Données projet'!$B$10,Paramètres!$A$1:$I$89,5,0)</f>
        <v>233.11859999999979</v>
      </c>
      <c r="AK112" s="14">
        <f t="shared" si="89"/>
        <v>56.956466300668282</v>
      </c>
      <c r="AL112" s="22">
        <f t="shared" si="58"/>
        <v>505.21407380699685</v>
      </c>
      <c r="AM112" s="62">
        <f t="shared" si="59"/>
        <v>784.93939415958607</v>
      </c>
      <c r="AN112" s="62">
        <f ca="1">AVERAGE(OFFSET($AM$3,0,0,'Données projet'!$E$10+1,1))-AVERAGE(OFFSET($H$3,0,0,'Données projet'!$E$10+1,1))</f>
        <v>414.29294334114661</v>
      </c>
      <c r="AO112" s="62">
        <f t="shared" si="90"/>
        <v>178.72086185623849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3.1</v>
      </c>
      <c r="BD112" s="13">
        <f>IF('Données projet'!$A$88&gt;35,BD111+BC112-BL111,IF(A112&lt;'Données projet'!$A$88,$BA$205^A112,IF(A112='Données projet'!$A$88,'Données projet'!$B$88,BD111+BC112-BL111)))</f>
        <v>229.89999999999978</v>
      </c>
      <c r="BE112" s="14">
        <f>BD112*VLOOKUP('Données projet'!$B$11,Paramètres!$A$1:$I$89,3,0)*VLOOKUP('Données projet'!$B$11,Paramètres!$A$1:$I$89,5,0)</f>
        <v>247.46435999999974</v>
      </c>
      <c r="BF112" s="14">
        <f t="shared" si="91"/>
        <v>60.042649980053952</v>
      </c>
      <c r="BG112" s="22">
        <f t="shared" si="61"/>
        <v>535.57470904859349</v>
      </c>
      <c r="BH112" s="62">
        <f t="shared" si="62"/>
        <v>815.30002940118277</v>
      </c>
      <c r="BI112" s="62">
        <f ca="1">AVERAGE(OFFSET($BH$3,0,0,'Données projet'!$E$11+1,1))-AVERAGE(OFFSET($H$3,0,0,'Données projet'!$E$11+1,1))</f>
        <v>434.74983403680108</v>
      </c>
      <c r="BJ112" s="62">
        <f t="shared" si="92"/>
        <v>186.0840067781198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2.4358974358974366</v>
      </c>
      <c r="BY112" s="13">
        <f>IF('Données projet'!$A$114&gt;35,BY111+BX112-CG111,IF(A112&lt;'Données projet'!$A$114,$BV$205^A112,IF(A112='Données projet'!$A$114,'Données projet'!$B$114,BY111+BX112-CG111)))</f>
        <v>216.15384615384627</v>
      </c>
      <c r="BZ112" s="14">
        <f>BY112*VLOOKUP('Données projet'!$B$12,Paramètres!$A$1:$I$89,3,0)*VLOOKUP('Données projet'!$B$12,Paramètres!$A$1:$I$89,5,0)</f>
        <v>185.46000000000012</v>
      </c>
      <c r="CA112" s="14">
        <f t="shared" si="93"/>
        <v>46.53481487953573</v>
      </c>
      <c r="CB112" s="22">
        <f t="shared" si="64"/>
        <v>404.05763591519161</v>
      </c>
      <c r="CC112" s="62">
        <f t="shared" si="65"/>
        <v>683.78295626778095</v>
      </c>
      <c r="CD112" s="62">
        <f ca="1">AVERAGE(OFFSET($CC$3,0,0,'Données projet'!$E$12+1,1))-AVERAGE(OFFSET($H$3,0,0,'Données projet'!$E$12+1,1))</f>
        <v>288.24759203983547</v>
      </c>
      <c r="CE112" s="62">
        <f t="shared" si="94"/>
        <v>188.86613033148794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2.4358974358974366</v>
      </c>
      <c r="CT112" s="13">
        <f>IF('Données projet'!$A$140&gt;35,CT111+CS112-DB111,IF(A112&lt;'Données projet'!$A$140,$CQ$205^A112,IF(A112='Données projet'!$A$140,'Données projet'!$B$140,CT111+CS112-DB111)))</f>
        <v>216.15384615384627</v>
      </c>
      <c r="CU112" s="18">
        <f>CT112*VLOOKUP('Données projet'!$B$13,Paramètres!$A$1:$I$89,3,0)*VLOOKUP('Données projet'!$B$13,Paramètres!$A$1:$I$89,5,0)</f>
        <v>144.99600000000007</v>
      </c>
      <c r="CV112" s="14">
        <f t="shared" si="95"/>
        <v>37.439172872855515</v>
      </c>
      <c r="CW112" s="22">
        <f t="shared" si="67"/>
        <v>317.74125942022346</v>
      </c>
      <c r="CX112" s="62">
        <f t="shared" si="68"/>
        <v>597.46657977281279</v>
      </c>
      <c r="CY112" s="62">
        <f ca="1">AVERAGE(OFFSET($CX$3,0,0,'Données projet'!$E$13+1,1))-AVERAGE(OFFSET($H$3,0,0,'Données projet'!$E$13+1,1))</f>
        <v>240.40157928925146</v>
      </c>
      <c r="CZ112" s="62">
        <f t="shared" si="96"/>
        <v>160.5013084380258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3.1</v>
      </c>
      <c r="DO112" s="13">
        <f>IF('Données projet'!$A$166&gt;35,DO111+DN112-DW111,IF(A112&lt;'Données projet'!$A$166,$DL$205^A112,IF(A112='Données projet'!$A$166,'Données projet'!$B$166,DO111+DN112-DW111)))</f>
        <v>229.89999999999978</v>
      </c>
      <c r="DP112" s="18">
        <f>DO112*VLOOKUP('Données projet'!$B$14,Paramètres!$A$1:$I$89,3,0)*VLOOKUP('Données projet'!$B$14,Paramètres!$A$1:$I$89,5,0)</f>
        <v>222.35927999999981</v>
      </c>
      <c r="DQ112" s="14">
        <f t="shared" si="97"/>
        <v>54.627344798341689</v>
      </c>
      <c r="DR112" s="22">
        <f t="shared" si="70"/>
        <v>482.41837152377803</v>
      </c>
      <c r="DS112" s="62">
        <f t="shared" si="71"/>
        <v>762.14369187636726</v>
      </c>
      <c r="DT112" s="62">
        <f ca="1">AVERAGE(OFFSET($DS$3,0,0,'Données projet'!$E$14+1,1))-AVERAGE(OFFSET($H$3,0,0,'Données projet'!$E$14+1,1))</f>
        <v>398.93296311353788</v>
      </c>
      <c r="DU112" s="62">
        <f t="shared" si="98"/>
        <v>173.19148969173838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-5.6843418860808015E-14</v>
      </c>
      <c r="EK112" s="18">
        <f>EJ112*VLOOKUP('Données projet'!$B$15,Paramètres!$A$1:$I$89,3,0)*VLOOKUP('Données projet'!$B$15,Paramètres!$A$1:$I$89,5,0)</f>
        <v>-4.9658410716801891E-14</v>
      </c>
      <c r="EL112" s="14" t="e">
        <f t="shared" si="99"/>
        <v>#NUM!</v>
      </c>
      <c r="EM112" s="22" t="e">
        <f t="shared" si="73"/>
        <v>#NUM!</v>
      </c>
      <c r="EN112" s="62" t="e">
        <f t="shared" si="74"/>
        <v>#NUM!</v>
      </c>
      <c r="EO112" s="62">
        <f ca="1">AVERAGE(OFFSET($EN$3,0,0,'Données projet'!$E$15+1,1))-AVERAGE(OFFSET($H$3,0,0,'Données projet'!$E$15+1,1))</f>
        <v>226.37420733783091</v>
      </c>
      <c r="EP112" s="62">
        <f t="shared" si="100"/>
        <v>204.10961748628714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6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9">
        <f t="shared" si="56"/>
        <v>183.33333333333334</v>
      </c>
      <c r="I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2.8421709430404007E-13</v>
      </c>
      <c r="O113" s="14">
        <f>N113*VLOOKUP('Données projet'!$B$9,Paramètres!$A$1:$I$89,3,0)*VLOOKUP('Données projet'!$B$9,Paramètres!$A$1:$I$89,5,0)</f>
        <v>1.6626700016786346E-13</v>
      </c>
      <c r="P113" s="14">
        <f t="shared" si="87"/>
        <v>2.3542701735863119E-12</v>
      </c>
      <c r="Q113" s="22">
        <f t="shared" si="107"/>
        <v>4.3899355776218544E-12</v>
      </c>
      <c r="R113" s="62">
        <f t="shared" si="55"/>
        <v>279.96138895485024</v>
      </c>
      <c r="S113" s="62">
        <f ca="1">AVERAGE(OFFSET($R$3,0,0,'Données projet'!$E$9+1,1))-AVERAGE(OFFSET($H$3,0,0,'Données projet'!$E$9+1,1))</f>
        <v>196.48726929442091</v>
      </c>
      <c r="T113" s="62">
        <f t="shared" si="88"/>
        <v>193.28400454669347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1.4457820231902298E-11</v>
      </c>
      <c r="AC113" s="24">
        <f t="shared" si="57"/>
        <v>1.4457820231902298E-11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233</v>
      </c>
      <c r="AG113" s="13">
        <f>VLOOKUP(A113,'Données projet'!$A$61:$I$81,9,0)</f>
        <v>3.1</v>
      </c>
      <c r="AH113" s="13">
        <f t="array" ref="AH113">INDEX(AG:AG,MIN(IF(ISNUMBER(AG113:AG309),ROW(AG113:AG309),"")))</f>
        <v>3.1</v>
      </c>
      <c r="AI113" s="14">
        <f>IF('Données projet'!$A$62&gt;35,AI112+AH113-AQ112,IF(A113&lt;'Données projet'!$A$62,$AF$205^A113,IF(A113='Données projet'!$A$62,'Données projet'!$B$62,AI112+AH113-AQ112)))</f>
        <v>232.99999999999977</v>
      </c>
      <c r="AJ113" s="14">
        <f>AI113*VLOOKUP('Données projet'!$B$10,Paramètres!$A$1:$I$89,3,0)*VLOOKUP('Données projet'!$B$10,Paramètres!$A$1:$I$89,5,0)</f>
        <v>236.26199999999977</v>
      </c>
      <c r="AK113" s="14">
        <f t="shared" si="89"/>
        <v>57.634548288898394</v>
      </c>
      <c r="AL113" s="22">
        <f t="shared" si="58"/>
        <v>511.86982160316421</v>
      </c>
      <c r="AM113" s="62">
        <f t="shared" si="59"/>
        <v>791.83121055801007</v>
      </c>
      <c r="AN113" s="62">
        <f ca="1">AVERAGE(OFFSET($AM$3,0,0,'Données projet'!$E$10+1,1))-AVERAGE(OFFSET($H$3,0,0,'Données projet'!$E$10+1,1))</f>
        <v>414.29294334114661</v>
      </c>
      <c r="AO113" s="62">
        <f t="shared" si="90"/>
        <v>178.72086185623849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233</v>
      </c>
      <c r="BB113" s="13">
        <f>VLOOKUP(A113,'Données projet'!$A$87:$I$107,9,0)</f>
        <v>3.1</v>
      </c>
      <c r="BC113" s="13">
        <f t="array" ref="BC113">INDEX(BB:BB,MIN(IF(ISNUMBER(BB113:BB309),ROW(BB113:BB309),"")))</f>
        <v>3.1</v>
      </c>
      <c r="BD113" s="13">
        <f>IF('Données projet'!$A$88&gt;35,BD112+BC113-BL112,IF(A113&lt;'Données projet'!$A$88,$BA$205^A113,IF(A113='Données projet'!$A$88,'Données projet'!$B$88,BD112+BC113-BL112)))</f>
        <v>232.99999999999977</v>
      </c>
      <c r="BE113" s="14">
        <f>BD113*VLOOKUP('Données projet'!$B$11,Paramètres!$A$1:$I$89,3,0)*VLOOKUP('Données projet'!$B$11,Paramètres!$A$1:$I$89,5,0)</f>
        <v>250.80119999999977</v>
      </c>
      <c r="BF113" s="14">
        <f t="shared" si="91"/>
        <v>60.75747381168263</v>
      </c>
      <c r="BG113" s="22">
        <f t="shared" si="61"/>
        <v>542.63135688868022</v>
      </c>
      <c r="BH113" s="62">
        <f t="shared" si="62"/>
        <v>822.59274584352602</v>
      </c>
      <c r="BI113" s="62">
        <f ca="1">AVERAGE(OFFSET($BH$3,0,0,'Données projet'!$E$11+1,1))-AVERAGE(OFFSET($H$3,0,0,'Données projet'!$E$11+1,1))</f>
        <v>434.74983403680108</v>
      </c>
      <c r="BJ113" s="62">
        <f t="shared" si="92"/>
        <v>186.0840067781198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218.58974358974359</v>
      </c>
      <c r="BW113" s="13">
        <f>VLOOKUP(A113,'Données projet'!$A$113:$I$133,9,0)</f>
        <v>2.4358974358974366</v>
      </c>
      <c r="BX113" s="13">
        <f t="array" ref="BX113">INDEX(BW:BW,MIN(IF(ISNUMBER(BW113:BW309),ROW(BW113:BW309),"")))</f>
        <v>2.4358974358974366</v>
      </c>
      <c r="BY113" s="13">
        <f>IF('Données projet'!$A$114&gt;35,BY112+BX113-CG112,IF(A113&lt;'Données projet'!$A$114,$BV$205^A113,IF(A113='Données projet'!$A$114,'Données projet'!$B$114,BY112+BX113-CG112)))</f>
        <v>218.5897435897437</v>
      </c>
      <c r="BZ113" s="14">
        <f>BY113*VLOOKUP('Données projet'!$B$12,Paramètres!$A$1:$I$89,3,0)*VLOOKUP('Données projet'!$B$12,Paramètres!$A$1:$I$89,5,0)</f>
        <v>187.55000000000013</v>
      </c>
      <c r="CA113" s="14">
        <f t="shared" si="93"/>
        <v>46.997884171075818</v>
      </c>
      <c r="CB113" s="22">
        <f t="shared" si="64"/>
        <v>408.50423159795719</v>
      </c>
      <c r="CC113" s="62">
        <f t="shared" si="65"/>
        <v>688.4656205528031</v>
      </c>
      <c r="CD113" s="62">
        <f ca="1">AVERAGE(OFFSET($CC$3,0,0,'Données projet'!$E$12+1,1))-AVERAGE(OFFSET($H$3,0,0,'Données projet'!$E$12+1,1))</f>
        <v>288.24759203983547</v>
      </c>
      <c r="CE113" s="62">
        <f t="shared" si="94"/>
        <v>188.86613033148794</v>
      </c>
      <c r="CF113" s="16">
        <f>IF(ISNA(VLOOKUP(A113,'Données projet'!$A$113:$I$133,3,0)),0,VLOOKUP(A113,'Données projet'!$A$113:$I$133,3,0))</f>
        <v>9</v>
      </c>
      <c r="CG113" s="16">
        <f>IF(ISNA(VLOOKUP(A113,'Données projet'!$A$113:$I$133,4,0)),0,VLOOKUP(A113,'Données projet'!$A$113:$I$133,4,0))</f>
        <v>218.58974358974359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218.58974358974359</v>
      </c>
      <c r="CR113" s="13">
        <f>VLOOKUP(A113,'Données projet'!$A$139:$I$159,9,0)</f>
        <v>2.4358974358974366</v>
      </c>
      <c r="CS113" s="13">
        <f t="array" ref="CS113">INDEX(CR:CR,MIN(IF(ISNUMBER(CR113:CR309),ROW(CR113:CR309),"")))</f>
        <v>2.4358974358974366</v>
      </c>
      <c r="CT113" s="13">
        <f>IF('Données projet'!$A$140&gt;35,CT112+CS113-DB112,IF(A113&lt;'Données projet'!$A$140,$CQ$205^A113,IF(A113='Données projet'!$A$140,'Données projet'!$B$140,CT112+CS113-DB112)))</f>
        <v>218.5897435897437</v>
      </c>
      <c r="CU113" s="18">
        <f>CT113*VLOOKUP('Données projet'!$B$13,Paramètres!$A$1:$I$89,3,0)*VLOOKUP('Données projet'!$B$13,Paramètres!$A$1:$I$89,5,0)</f>
        <v>146.63000000000008</v>
      </c>
      <c r="CV113" s="14">
        <f t="shared" si="95"/>
        <v>37.811731167176845</v>
      </c>
      <c r="CW113" s="22">
        <f t="shared" si="67"/>
        <v>321.23601511616647</v>
      </c>
      <c r="CX113" s="62">
        <f t="shared" si="68"/>
        <v>601.19740407101233</v>
      </c>
      <c r="CY113" s="62">
        <f ca="1">AVERAGE(OFFSET($CX$3,0,0,'Données projet'!$E$13+1,1))-AVERAGE(OFFSET($H$3,0,0,'Données projet'!$E$13+1,1))</f>
        <v>240.40157928925146</v>
      </c>
      <c r="CZ113" s="62">
        <f t="shared" si="96"/>
        <v>160.5013084380258</v>
      </c>
      <c r="DA113" s="16">
        <f>IF(ISNA(VLOOKUP(A113,'Données projet'!$A$139:$I$159,3,0)),0,VLOOKUP(A113,'Données projet'!$A$139:$I$159,3,0))</f>
        <v>9</v>
      </c>
      <c r="DB113" s="16">
        <f>IF(ISNA(VLOOKUP(A113,'Données projet'!$A$139:$I$159,4,0)),0,VLOOKUP(A113,'Données projet'!$A$139:$I$159,4,0))</f>
        <v>218.58974358974359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>
        <f>VLOOKUP(A113,'Données projet'!$A$165:$I$185,2,0)</f>
        <v>233</v>
      </c>
      <c r="DM113" s="13">
        <f>VLOOKUP(A113,'Données projet'!$A$165:$I$185,9,0)</f>
        <v>3.1</v>
      </c>
      <c r="DN113" s="13">
        <f t="array" ref="DN113">INDEX(DM:DM,MIN(IF(ISNUMBER(DM113:DM309),ROW(DM113:DM309),"")))</f>
        <v>3.1</v>
      </c>
      <c r="DO113" s="13">
        <f>IF('Données projet'!$A$166&gt;35,DO112+DN113-DW112,IF(A113&lt;'Données projet'!$A$166,$DL$205^A113,IF(A113='Données projet'!$A$166,'Données projet'!$B$166,DO112+DN113-DW112)))</f>
        <v>232.99999999999977</v>
      </c>
      <c r="DP113" s="18">
        <f>DO113*VLOOKUP('Données projet'!$B$14,Paramètres!$A$1:$I$89,3,0)*VLOOKUP('Données projet'!$B$14,Paramètres!$A$1:$I$89,5,0)</f>
        <v>225.35759999999979</v>
      </c>
      <c r="DQ113" s="14">
        <f t="shared" si="97"/>
        <v>55.277697971185106</v>
      </c>
      <c r="DR113" s="22">
        <f t="shared" si="70"/>
        <v>488.7731439664804</v>
      </c>
      <c r="DS113" s="62">
        <f t="shared" si="71"/>
        <v>768.73453292132626</v>
      </c>
      <c r="DT113" s="62">
        <f ca="1">AVERAGE(OFFSET($DS$3,0,0,'Données projet'!$E$14+1,1))-AVERAGE(OFFSET($H$3,0,0,'Données projet'!$E$14+1,1))</f>
        <v>398.93296311353788</v>
      </c>
      <c r="DU113" s="62">
        <f t="shared" si="98"/>
        <v>173.19148969173838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-5.6843418860808015E-14</v>
      </c>
      <c r="EK113" s="18">
        <f>EJ113*VLOOKUP('Données projet'!$B$15,Paramètres!$A$1:$I$89,3,0)*VLOOKUP('Données projet'!$B$15,Paramètres!$A$1:$I$89,5,0)</f>
        <v>-4.9658410716801891E-14</v>
      </c>
      <c r="EL113" s="14" t="e">
        <f t="shared" si="99"/>
        <v>#NUM!</v>
      </c>
      <c r="EM113" s="22" t="e">
        <f t="shared" si="73"/>
        <v>#NUM!</v>
      </c>
      <c r="EN113" s="62" t="e">
        <f t="shared" si="74"/>
        <v>#NUM!</v>
      </c>
      <c r="EO113" s="62">
        <f ca="1">AVERAGE(OFFSET($EN$3,0,0,'Données projet'!$E$15+1,1))-AVERAGE(OFFSET($H$3,0,0,'Données projet'!$E$15+1,1))</f>
        <v>226.37420733783091</v>
      </c>
      <c r="EP113" s="62">
        <f t="shared" si="100"/>
        <v>204.10961748628714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6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9">
        <f t="shared" si="56"/>
        <v>183.33333333333334</v>
      </c>
      <c r="I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2.8421709430404007E-13</v>
      </c>
      <c r="O114" s="14">
        <f>N114*VLOOKUP('Données projet'!$B$9,Paramètres!$A$1:$I$89,3,0)*VLOOKUP('Données projet'!$B$9,Paramètres!$A$1:$I$89,5,0)</f>
        <v>1.6626700016786346E-13</v>
      </c>
      <c r="P114" s="14">
        <f t="shared" si="87"/>
        <v>2.3542701735863119E-12</v>
      </c>
      <c r="Q114" s="22">
        <f t="shared" si="107"/>
        <v>4.3899355776218544E-12</v>
      </c>
      <c r="R114" s="62">
        <f t="shared" si="55"/>
        <v>280.19336229462795</v>
      </c>
      <c r="S114" s="62">
        <f ca="1">AVERAGE(OFFSET($R$3,0,0,'Données projet'!$E$9+1,1))-AVERAGE(OFFSET($H$3,0,0,'Données projet'!$E$9+1,1))</f>
        <v>196.48726929442091</v>
      </c>
      <c r="T114" s="62">
        <f t="shared" si="88"/>
        <v>193.28400454669347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1.0223222727154178E-11</v>
      </c>
      <c r="AC114" s="24">
        <f t="shared" si="57"/>
        <v>1.0223222727154178E-11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2.8</v>
      </c>
      <c r="AI114" s="14">
        <f>IF('Données projet'!$A$62&gt;35,AI113+AH114-AQ113,IF(A114&lt;'Données projet'!$A$62,$AF$205^A114,IF(A114='Données projet'!$A$62,'Données projet'!$B$62,AI113+AH114-AQ113)))</f>
        <v>235.79999999999978</v>
      </c>
      <c r="AJ114" s="14">
        <f>AI114*VLOOKUP('Données projet'!$B$10,Paramètres!$A$1:$I$89,3,0)*VLOOKUP('Données projet'!$B$10,Paramètres!$A$1:$I$89,5,0)</f>
        <v>239.10119999999981</v>
      </c>
      <c r="AK114" s="14">
        <f t="shared" si="89"/>
        <v>58.246107075777275</v>
      </c>
      <c r="AL114" s="22">
        <f t="shared" si="58"/>
        <v>517.87989315697837</v>
      </c>
      <c r="AM114" s="62">
        <f t="shared" si="59"/>
        <v>798.07325545160188</v>
      </c>
      <c r="AN114" s="62">
        <f ca="1">AVERAGE(OFFSET($AM$3,0,0,'Données projet'!$E$10+1,1))-AVERAGE(OFFSET($H$3,0,0,'Données projet'!$E$10+1,1))</f>
        <v>414.29294334114661</v>
      </c>
      <c r="AO114" s="62">
        <f t="shared" si="90"/>
        <v>178.72086185623849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2.8</v>
      </c>
      <c r="BD114" s="13">
        <f>IF('Données projet'!$A$88&gt;35,BD113+BC114-BL113,IF(A114&lt;'Données projet'!$A$88,$BA$205^A114,IF(A114='Données projet'!$A$88,'Données projet'!$B$88,BD113+BC114-BL113)))</f>
        <v>235.79999999999978</v>
      </c>
      <c r="BE114" s="14">
        <f>BD114*VLOOKUP('Données projet'!$B$11,Paramètres!$A$1:$I$89,3,0)*VLOOKUP('Données projet'!$B$11,Paramètres!$A$1:$I$89,5,0)</f>
        <v>253.81511999999975</v>
      </c>
      <c r="BF114" s="14">
        <f t="shared" si="91"/>
        <v>61.402169885153178</v>
      </c>
      <c r="BG114" s="22">
        <f t="shared" si="61"/>
        <v>549.00344654997468</v>
      </c>
      <c r="BH114" s="62">
        <f t="shared" si="62"/>
        <v>829.19680884459831</v>
      </c>
      <c r="BI114" s="62">
        <f ca="1">AVERAGE(OFFSET($BH$3,0,0,'Données projet'!$E$11+1,1))-AVERAGE(OFFSET($H$3,0,0,'Données projet'!$E$11+1,1))</f>
        <v>434.74983403680108</v>
      </c>
      <c r="BJ114" s="62">
        <f t="shared" si="92"/>
        <v>186.0840067781198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1.1368683772161603E-13</v>
      </c>
      <c r="BZ114" s="14">
        <f>BY114*VLOOKUP('Données projet'!$B$12,Paramètres!$A$1:$I$89,3,0)*VLOOKUP('Données projet'!$B$12,Paramètres!$A$1:$I$89,5,0)</f>
        <v>9.7543306765146564E-14</v>
      </c>
      <c r="CA114" s="14">
        <f t="shared" si="93"/>
        <v>1.4696264278629426E-12</v>
      </c>
      <c r="CB114" s="22">
        <f t="shared" si="64"/>
        <v>2.7294872878105889E-12</v>
      </c>
      <c r="CC114" s="62">
        <f t="shared" si="65"/>
        <v>280.1933622946263</v>
      </c>
      <c r="CD114" s="62">
        <f ca="1">AVERAGE(OFFSET($CC$3,0,0,'Données projet'!$E$12+1,1))-AVERAGE(OFFSET($H$3,0,0,'Données projet'!$E$12+1,1))</f>
        <v>288.24759203983547</v>
      </c>
      <c r="CE114" s="62">
        <f t="shared" si="94"/>
        <v>188.86613033148794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1.1368683772161603E-13</v>
      </c>
      <c r="CU114" s="18">
        <f>CT114*VLOOKUP('Données projet'!$B$13,Paramètres!$A$1:$I$89,3,0)*VLOOKUP('Données projet'!$B$13,Paramètres!$A$1:$I$89,5,0)</f>
        <v>7.626113074366004E-14</v>
      </c>
      <c r="CV114" s="14">
        <f t="shared" si="95"/>
        <v>1.1823749172251317E-12</v>
      </c>
      <c r="CW114" s="22">
        <f t="shared" si="67"/>
        <v>2.1921244502123119E-12</v>
      </c>
      <c r="CX114" s="62">
        <f t="shared" si="68"/>
        <v>280.19336229462579</v>
      </c>
      <c r="CY114" s="62">
        <f ca="1">AVERAGE(OFFSET($CX$3,0,0,'Données projet'!$E$13+1,1))-AVERAGE(OFFSET($H$3,0,0,'Données projet'!$E$13+1,1))</f>
        <v>240.40157928925146</v>
      </c>
      <c r="CZ114" s="62">
        <f t="shared" si="96"/>
        <v>160.5013084380258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2.8</v>
      </c>
      <c r="DO114" s="13">
        <f>IF('Données projet'!$A$166&gt;35,DO113+DN114-DW113,IF(A114&lt;'Données projet'!$A$166,$DL$205^A114,IF(A114='Données projet'!$A$166,'Données projet'!$B$166,DO113+DN114-DW113)))</f>
        <v>235.79999999999978</v>
      </c>
      <c r="DP114" s="18">
        <f>DO114*VLOOKUP('Données projet'!$B$14,Paramètres!$A$1:$I$89,3,0)*VLOOKUP('Données projet'!$B$14,Paramètres!$A$1:$I$89,5,0)</f>
        <v>228.06575999999978</v>
      </c>
      <c r="DQ114" s="14">
        <f t="shared" si="97"/>
        <v>55.864248276798108</v>
      </c>
      <c r="DR114" s="22">
        <f t="shared" si="70"/>
        <v>494.5114310820897</v>
      </c>
      <c r="DS114" s="62">
        <f t="shared" si="71"/>
        <v>774.70479337671327</v>
      </c>
      <c r="DT114" s="62">
        <f ca="1">AVERAGE(OFFSET($DS$3,0,0,'Données projet'!$E$14+1,1))-AVERAGE(OFFSET($H$3,0,0,'Données projet'!$E$14+1,1))</f>
        <v>398.93296311353788</v>
      </c>
      <c r="DU114" s="62">
        <f t="shared" si="98"/>
        <v>173.19148969173838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-5.6843418860808015E-14</v>
      </c>
      <c r="EK114" s="18">
        <f>EJ114*VLOOKUP('Données projet'!$B$15,Paramètres!$A$1:$I$89,3,0)*VLOOKUP('Données projet'!$B$15,Paramètres!$A$1:$I$89,5,0)</f>
        <v>-4.9658410716801891E-14</v>
      </c>
      <c r="EL114" s="14" t="e">
        <f t="shared" si="99"/>
        <v>#NUM!</v>
      </c>
      <c r="EM114" s="22" t="e">
        <f t="shared" si="73"/>
        <v>#NUM!</v>
      </c>
      <c r="EN114" s="62" t="e">
        <f t="shared" si="74"/>
        <v>#NUM!</v>
      </c>
      <c r="EO114" s="62">
        <f ca="1">AVERAGE(OFFSET($EN$3,0,0,'Données projet'!$E$15+1,1))-AVERAGE(OFFSET($H$3,0,0,'Données projet'!$E$15+1,1))</f>
        <v>226.37420733783091</v>
      </c>
      <c r="EP114" s="62">
        <f t="shared" si="100"/>
        <v>204.10961748628714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6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9">
        <f t="shared" si="56"/>
        <v>183.33333333333334</v>
      </c>
      <c r="I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2.8421709430404007E-13</v>
      </c>
      <c r="O115" s="14">
        <f>N115*VLOOKUP('Données projet'!$B$9,Paramètres!$A$1:$I$89,3,0)*VLOOKUP('Données projet'!$B$9,Paramètres!$A$1:$I$89,5,0)</f>
        <v>1.6626700016786346E-13</v>
      </c>
      <c r="P115" s="14">
        <f t="shared" si="87"/>
        <v>2.3542701735863119E-12</v>
      </c>
      <c r="Q115" s="22">
        <f t="shared" si="107"/>
        <v>4.3899355776218544E-12</v>
      </c>
      <c r="R115" s="62">
        <f t="shared" si="55"/>
        <v>280.42131141557525</v>
      </c>
      <c r="S115" s="62">
        <f ca="1">AVERAGE(OFFSET($R$3,0,0,'Données projet'!$E$9+1,1))-AVERAGE(OFFSET($H$3,0,0,'Données projet'!$E$9+1,1))</f>
        <v>196.48726929442091</v>
      </c>
      <c r="T115" s="62">
        <f t="shared" si="88"/>
        <v>193.28400454669347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7.2289101159511496E-12</v>
      </c>
      <c r="AC115" s="24">
        <f t="shared" si="57"/>
        <v>7.2289101159511496E-12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2.8</v>
      </c>
      <c r="AI115" s="14">
        <f>IF('Données projet'!$A$62&gt;35,AI114+AH115-AQ114,IF(A115&lt;'Données projet'!$A$62,$AF$205^A115,IF(A115='Données projet'!$A$62,'Données projet'!$B$62,AI114+AH115-AQ114)))</f>
        <v>238.5999999999998</v>
      </c>
      <c r="AJ115" s="14">
        <f>AI115*VLOOKUP('Données projet'!$B$10,Paramètres!$A$1:$I$89,3,0)*VLOOKUP('Données projet'!$B$10,Paramètres!$A$1:$I$89,5,0)</f>
        <v>241.94039999999978</v>
      </c>
      <c r="AK115" s="14">
        <f t="shared" si="89"/>
        <v>58.856821136171675</v>
      </c>
      <c r="AL115" s="22">
        <f t="shared" si="58"/>
        <v>523.88849347883195</v>
      </c>
      <c r="AM115" s="62">
        <f t="shared" si="59"/>
        <v>804.30980489440276</v>
      </c>
      <c r="AN115" s="62">
        <f ca="1">AVERAGE(OFFSET($AM$3,0,0,'Données projet'!$E$10+1,1))-AVERAGE(OFFSET($H$3,0,0,'Données projet'!$E$10+1,1))</f>
        <v>414.29294334114661</v>
      </c>
      <c r="AO115" s="62">
        <f t="shared" si="90"/>
        <v>178.72086185623849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2.8</v>
      </c>
      <c r="BD115" s="13">
        <f>IF('Données projet'!$A$88&gt;35,BD114+BC115-BL114,IF(A115&lt;'Données projet'!$A$88,$BA$205^A115,IF(A115='Données projet'!$A$88,'Données projet'!$B$88,BD114+BC115-BL114)))</f>
        <v>238.5999999999998</v>
      </c>
      <c r="BE115" s="14">
        <f>BD115*VLOOKUP('Données projet'!$B$11,Paramètres!$A$1:$I$89,3,0)*VLOOKUP('Données projet'!$B$11,Paramètres!$A$1:$I$89,5,0)</f>
        <v>256.82903999999979</v>
      </c>
      <c r="BF115" s="14">
        <f t="shared" si="91"/>
        <v>62.045975460670917</v>
      </c>
      <c r="BG115" s="22">
        <f t="shared" si="61"/>
        <v>555.37398526066818</v>
      </c>
      <c r="BH115" s="62">
        <f t="shared" si="62"/>
        <v>835.7952966762391</v>
      </c>
      <c r="BI115" s="62">
        <f ca="1">AVERAGE(OFFSET($BH$3,0,0,'Données projet'!$E$11+1,1))-AVERAGE(OFFSET($H$3,0,0,'Données projet'!$E$11+1,1))</f>
        <v>434.74983403680108</v>
      </c>
      <c r="BJ115" s="62">
        <f t="shared" si="92"/>
        <v>186.0840067781198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1.1368683772161603E-13</v>
      </c>
      <c r="BZ115" s="14">
        <f>BY115*VLOOKUP('Données projet'!$B$12,Paramètres!$A$1:$I$89,3,0)*VLOOKUP('Données projet'!$B$12,Paramètres!$A$1:$I$89,5,0)</f>
        <v>9.7543306765146564E-14</v>
      </c>
      <c r="CA115" s="14">
        <f t="shared" si="93"/>
        <v>1.4696264278629426E-12</v>
      </c>
      <c r="CB115" s="22">
        <f t="shared" si="64"/>
        <v>2.7294872878105889E-12</v>
      </c>
      <c r="CC115" s="62">
        <f t="shared" si="65"/>
        <v>280.4213114155736</v>
      </c>
      <c r="CD115" s="62">
        <f ca="1">AVERAGE(OFFSET($CC$3,0,0,'Données projet'!$E$12+1,1))-AVERAGE(OFFSET($H$3,0,0,'Données projet'!$E$12+1,1))</f>
        <v>288.24759203983547</v>
      </c>
      <c r="CE115" s="62">
        <f t="shared" si="94"/>
        <v>188.86613033148794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1.1368683772161603E-13</v>
      </c>
      <c r="CU115" s="18">
        <f>CT115*VLOOKUP('Données projet'!$B$13,Paramètres!$A$1:$I$89,3,0)*VLOOKUP('Données projet'!$B$13,Paramètres!$A$1:$I$89,5,0)</f>
        <v>7.626113074366004E-14</v>
      </c>
      <c r="CV115" s="14">
        <f t="shared" si="95"/>
        <v>1.1823749172251317E-12</v>
      </c>
      <c r="CW115" s="22">
        <f t="shared" si="67"/>
        <v>2.1921244502123119E-12</v>
      </c>
      <c r="CX115" s="62">
        <f t="shared" si="68"/>
        <v>280.42131141557309</v>
      </c>
      <c r="CY115" s="62">
        <f ca="1">AVERAGE(OFFSET($CX$3,0,0,'Données projet'!$E$13+1,1))-AVERAGE(OFFSET($H$3,0,0,'Données projet'!$E$13+1,1))</f>
        <v>240.40157928925146</v>
      </c>
      <c r="CZ115" s="62">
        <f t="shared" si="96"/>
        <v>160.5013084380258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2.8</v>
      </c>
      <c r="DO115" s="13">
        <f>IF('Données projet'!$A$166&gt;35,DO114+DN115-DW114,IF(A115&lt;'Données projet'!$A$166,$DL$205^A115,IF(A115='Données projet'!$A$166,'Données projet'!$B$166,DO114+DN115-DW114)))</f>
        <v>238.5999999999998</v>
      </c>
      <c r="DP115" s="18">
        <f>DO115*VLOOKUP('Données projet'!$B$14,Paramètres!$A$1:$I$89,3,0)*VLOOKUP('Données projet'!$B$14,Paramètres!$A$1:$I$89,5,0)</f>
        <v>230.7739199999998</v>
      </c>
      <c r="DQ115" s="14">
        <f t="shared" si="97"/>
        <v>56.449988399337336</v>
      </c>
      <c r="DR115" s="22">
        <f t="shared" si="70"/>
        <v>500.24830712884545</v>
      </c>
      <c r="DS115" s="62">
        <f t="shared" si="71"/>
        <v>780.66961854441638</v>
      </c>
      <c r="DT115" s="62">
        <f ca="1">AVERAGE(OFFSET($DS$3,0,0,'Données projet'!$E$14+1,1))-AVERAGE(OFFSET($H$3,0,0,'Données projet'!$E$14+1,1))</f>
        <v>398.93296311353788</v>
      </c>
      <c r="DU115" s="62">
        <f t="shared" si="98"/>
        <v>173.19148969173838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-5.6843418860808015E-14</v>
      </c>
      <c r="EK115" s="18">
        <f>EJ115*VLOOKUP('Données projet'!$B$15,Paramètres!$A$1:$I$89,3,0)*VLOOKUP('Données projet'!$B$15,Paramètres!$A$1:$I$89,5,0)</f>
        <v>-4.9658410716801891E-14</v>
      </c>
      <c r="EL115" s="14" t="e">
        <f t="shared" si="99"/>
        <v>#NUM!</v>
      </c>
      <c r="EM115" s="22" t="e">
        <f t="shared" si="73"/>
        <v>#NUM!</v>
      </c>
      <c r="EN115" s="62" t="e">
        <f t="shared" si="74"/>
        <v>#NUM!</v>
      </c>
      <c r="EO115" s="62">
        <f ca="1">AVERAGE(OFFSET($EN$3,0,0,'Données projet'!$E$15+1,1))-AVERAGE(OFFSET($H$3,0,0,'Données projet'!$E$15+1,1))</f>
        <v>226.37420733783091</v>
      </c>
      <c r="EP115" s="62">
        <f t="shared" si="100"/>
        <v>204.10961748628714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6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9">
        <f t="shared" si="56"/>
        <v>183.33333333333334</v>
      </c>
      <c r="I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2.8421709430404007E-13</v>
      </c>
      <c r="O116" s="14">
        <f>N116*VLOOKUP('Données projet'!$B$9,Paramètres!$A$1:$I$89,3,0)*VLOOKUP('Données projet'!$B$9,Paramètres!$A$1:$I$89,5,0)</f>
        <v>1.6626700016786346E-13</v>
      </c>
      <c r="P116" s="14">
        <f t="shared" si="87"/>
        <v>2.3542701735863119E-12</v>
      </c>
      <c r="Q116" s="22">
        <f t="shared" si="107"/>
        <v>4.3899355776218544E-12</v>
      </c>
      <c r="R116" s="62">
        <f t="shared" si="55"/>
        <v>280.645306128892</v>
      </c>
      <c r="S116" s="62">
        <f ca="1">AVERAGE(OFFSET($R$3,0,0,'Données projet'!$E$9+1,1))-AVERAGE(OFFSET($H$3,0,0,'Données projet'!$E$9+1,1))</f>
        <v>196.48726929442091</v>
      </c>
      <c r="T116" s="62">
        <f t="shared" si="88"/>
        <v>193.28400454669347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5.11161136357709E-12</v>
      </c>
      <c r="AC116" s="24">
        <f t="shared" si="57"/>
        <v>5.11161136357709E-12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2.8</v>
      </c>
      <c r="AI116" s="14">
        <f>IF('Données projet'!$A$62&gt;35,AI115+AH116-AQ115,IF(A116&lt;'Données projet'!$A$62,$AF$205^A116,IF(A116='Données projet'!$A$62,'Données projet'!$B$62,AI115+AH116-AQ115)))</f>
        <v>241.39999999999981</v>
      </c>
      <c r="AJ116" s="14">
        <f>AI116*VLOOKUP('Données projet'!$B$10,Paramètres!$A$1:$I$89,3,0)*VLOOKUP('Données projet'!$B$10,Paramètres!$A$1:$I$89,5,0)</f>
        <v>244.77959999999982</v>
      </c>
      <c r="AK116" s="14">
        <f t="shared" si="89"/>
        <v>59.466701529874172</v>
      </c>
      <c r="AL116" s="22">
        <f t="shared" si="58"/>
        <v>529.89564183119717</v>
      </c>
      <c r="AM116" s="62">
        <f t="shared" si="59"/>
        <v>810.54094796008485</v>
      </c>
      <c r="AN116" s="62">
        <f ca="1">AVERAGE(OFFSET($AM$3,0,0,'Données projet'!$E$10+1,1))-AVERAGE(OFFSET($H$3,0,0,'Données projet'!$E$10+1,1))</f>
        <v>414.29294334114661</v>
      </c>
      <c r="AO116" s="62">
        <f t="shared" si="90"/>
        <v>178.72086185623849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2.8</v>
      </c>
      <c r="BD116" s="13">
        <f>IF('Données projet'!$A$88&gt;35,BD115+BC116-BL115,IF(A116&lt;'Données projet'!$A$88,$BA$205^A116,IF(A116='Données projet'!$A$88,'Données projet'!$B$88,BD115+BC116-BL115)))</f>
        <v>241.39999999999981</v>
      </c>
      <c r="BE116" s="14">
        <f>BD116*VLOOKUP('Données projet'!$B$11,Paramètres!$A$1:$I$89,3,0)*VLOOKUP('Données projet'!$B$11,Paramètres!$A$1:$I$89,5,0)</f>
        <v>259.84295999999978</v>
      </c>
      <c r="BF116" s="14">
        <f t="shared" si="91"/>
        <v>62.688902197302923</v>
      </c>
      <c r="BG116" s="22">
        <f t="shared" si="61"/>
        <v>561.74299332696876</v>
      </c>
      <c r="BH116" s="62">
        <f t="shared" si="62"/>
        <v>842.38829945585644</v>
      </c>
      <c r="BI116" s="62">
        <f ca="1">AVERAGE(OFFSET($BH$3,0,0,'Données projet'!$E$11+1,1))-AVERAGE(OFFSET($H$3,0,0,'Données projet'!$E$11+1,1))</f>
        <v>434.74983403680108</v>
      </c>
      <c r="BJ116" s="62">
        <f t="shared" si="92"/>
        <v>186.0840067781198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1.1368683772161603E-13</v>
      </c>
      <c r="BZ116" s="14">
        <f>BY116*VLOOKUP('Données projet'!$B$12,Paramètres!$A$1:$I$89,3,0)*VLOOKUP('Données projet'!$B$12,Paramètres!$A$1:$I$89,5,0)</f>
        <v>9.7543306765146564E-14</v>
      </c>
      <c r="CA116" s="14">
        <f t="shared" si="93"/>
        <v>1.4696264278629426E-12</v>
      </c>
      <c r="CB116" s="22">
        <f t="shared" si="64"/>
        <v>2.7294872878105889E-12</v>
      </c>
      <c r="CC116" s="62">
        <f t="shared" si="65"/>
        <v>280.64530612889035</v>
      </c>
      <c r="CD116" s="62">
        <f ca="1">AVERAGE(OFFSET($CC$3,0,0,'Données projet'!$E$12+1,1))-AVERAGE(OFFSET($H$3,0,0,'Données projet'!$E$12+1,1))</f>
        <v>288.24759203983547</v>
      </c>
      <c r="CE116" s="62">
        <f t="shared" si="94"/>
        <v>188.86613033148794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1.1368683772161603E-13</v>
      </c>
      <c r="CU116" s="18">
        <f>CT116*VLOOKUP('Données projet'!$B$13,Paramètres!$A$1:$I$89,3,0)*VLOOKUP('Données projet'!$B$13,Paramètres!$A$1:$I$89,5,0)</f>
        <v>7.626113074366004E-14</v>
      </c>
      <c r="CV116" s="14">
        <f t="shared" si="95"/>
        <v>1.1823749172251317E-12</v>
      </c>
      <c r="CW116" s="22">
        <f t="shared" si="67"/>
        <v>2.1921244502123119E-12</v>
      </c>
      <c r="CX116" s="62">
        <f t="shared" si="68"/>
        <v>280.64530612888984</v>
      </c>
      <c r="CY116" s="62">
        <f ca="1">AVERAGE(OFFSET($CX$3,0,0,'Données projet'!$E$13+1,1))-AVERAGE(OFFSET($H$3,0,0,'Données projet'!$E$13+1,1))</f>
        <v>240.40157928925146</v>
      </c>
      <c r="CZ116" s="62">
        <f t="shared" si="96"/>
        <v>160.5013084380258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2.8</v>
      </c>
      <c r="DO116" s="13">
        <f>IF('Données projet'!$A$166&gt;35,DO115+DN116-DW115,IF(A116&lt;'Données projet'!$A$166,$DL$205^A116,IF(A116='Données projet'!$A$166,'Données projet'!$B$166,DO115+DN116-DW115)))</f>
        <v>241.39999999999981</v>
      </c>
      <c r="DP116" s="18">
        <f>DO116*VLOOKUP('Données projet'!$B$14,Paramètres!$A$1:$I$89,3,0)*VLOOKUP('Données projet'!$B$14,Paramètres!$A$1:$I$89,5,0)</f>
        <v>233.48207999999985</v>
      </c>
      <c r="DQ116" s="14">
        <f t="shared" si="97"/>
        <v>57.034928946327454</v>
      </c>
      <c r="DR116" s="22">
        <f t="shared" si="70"/>
        <v>505.98379058152005</v>
      </c>
      <c r="DS116" s="62">
        <f t="shared" si="71"/>
        <v>786.62909671040768</v>
      </c>
      <c r="DT116" s="62">
        <f ca="1">AVERAGE(OFFSET($DS$3,0,0,'Données projet'!$E$14+1,1))-AVERAGE(OFFSET($H$3,0,0,'Données projet'!$E$14+1,1))</f>
        <v>398.93296311353788</v>
      </c>
      <c r="DU116" s="62">
        <f t="shared" si="98"/>
        <v>173.19148969173838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-5.6843418860808015E-14</v>
      </c>
      <c r="EK116" s="18">
        <f>EJ116*VLOOKUP('Données projet'!$B$15,Paramètres!$A$1:$I$89,3,0)*VLOOKUP('Données projet'!$B$15,Paramètres!$A$1:$I$89,5,0)</f>
        <v>-4.9658410716801891E-14</v>
      </c>
      <c r="EL116" s="14" t="e">
        <f t="shared" si="99"/>
        <v>#NUM!</v>
      </c>
      <c r="EM116" s="22" t="e">
        <f t="shared" si="73"/>
        <v>#NUM!</v>
      </c>
      <c r="EN116" s="62" t="e">
        <f t="shared" si="74"/>
        <v>#NUM!</v>
      </c>
      <c r="EO116" s="62">
        <f ca="1">AVERAGE(OFFSET($EN$3,0,0,'Données projet'!$E$15+1,1))-AVERAGE(OFFSET($H$3,0,0,'Données projet'!$E$15+1,1))</f>
        <v>226.37420733783091</v>
      </c>
      <c r="EP116" s="62">
        <f t="shared" si="100"/>
        <v>204.10961748628714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6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9">
        <f t="shared" si="56"/>
        <v>183.33333333333334</v>
      </c>
      <c r="I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2.8421709430404007E-13</v>
      </c>
      <c r="O117" s="14">
        <f>N117*VLOOKUP('Données projet'!$B$9,Paramètres!$A$1:$I$89,3,0)*VLOOKUP('Données projet'!$B$9,Paramètres!$A$1:$I$89,5,0)</f>
        <v>1.6626700016786346E-13</v>
      </c>
      <c r="P117" s="14">
        <f t="shared" si="87"/>
        <v>2.3542701735863119E-12</v>
      </c>
      <c r="Q117" s="22">
        <f t="shared" si="107"/>
        <v>4.3899355776218544E-12</v>
      </c>
      <c r="R117" s="62">
        <f t="shared" si="55"/>
        <v>280.86541503470983</v>
      </c>
      <c r="S117" s="62">
        <f ca="1">AVERAGE(OFFSET($R$3,0,0,'Données projet'!$E$9+1,1))-AVERAGE(OFFSET($H$3,0,0,'Données projet'!$E$9+1,1))</f>
        <v>196.48726929442091</v>
      </c>
      <c r="T117" s="62">
        <f t="shared" si="88"/>
        <v>193.28400454669347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3.6144550579755756E-12</v>
      </c>
      <c r="AC117" s="24">
        <f t="shared" si="57"/>
        <v>3.6144550579755756E-12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2.8</v>
      </c>
      <c r="AI117" s="14">
        <f>IF('Données projet'!$A$62&gt;35,AI116+AH117-AQ116,IF(A117&lt;'Données projet'!$A$62,$AF$205^A117,IF(A117='Données projet'!$A$62,'Données projet'!$B$62,AI116+AH117-AQ116)))</f>
        <v>244.19999999999982</v>
      </c>
      <c r="AJ117" s="14">
        <f>AI117*VLOOKUP('Données projet'!$B$10,Paramètres!$A$1:$I$89,3,0)*VLOOKUP('Données projet'!$B$10,Paramètres!$A$1:$I$89,5,0)</f>
        <v>247.61879999999982</v>
      </c>
      <c r="AK117" s="14">
        <f t="shared" si="89"/>
        <v>60.075759045345485</v>
      </c>
      <c r="AL117" s="22">
        <f t="shared" si="58"/>
        <v>535.90135700397639</v>
      </c>
      <c r="AM117" s="62">
        <f t="shared" si="59"/>
        <v>816.76677203868189</v>
      </c>
      <c r="AN117" s="62">
        <f ca="1">AVERAGE(OFFSET($AM$3,0,0,'Données projet'!$E$10+1,1))-AVERAGE(OFFSET($H$3,0,0,'Données projet'!$E$10+1,1))</f>
        <v>414.29294334114661</v>
      </c>
      <c r="AO117" s="62">
        <f t="shared" si="90"/>
        <v>178.72086185623849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2.8</v>
      </c>
      <c r="BD117" s="13">
        <f>IF('Données projet'!$A$88&gt;35,BD116+BC117-BL116,IF(A117&lt;'Données projet'!$A$88,$BA$205^A117,IF(A117='Données projet'!$A$88,'Données projet'!$B$88,BD116+BC117-BL116)))</f>
        <v>244.19999999999982</v>
      </c>
      <c r="BE117" s="14">
        <f>BD117*VLOOKUP('Données projet'!$B$11,Paramètres!$A$1:$I$89,3,0)*VLOOKUP('Données projet'!$B$11,Paramètres!$A$1:$I$89,5,0)</f>
        <v>262.85687999999976</v>
      </c>
      <c r="BF117" s="14">
        <f t="shared" si="91"/>
        <v>63.330961468082037</v>
      </c>
      <c r="BG117" s="22">
        <f t="shared" si="61"/>
        <v>568.11049055690899</v>
      </c>
      <c r="BH117" s="62">
        <f t="shared" si="62"/>
        <v>848.97590559161449</v>
      </c>
      <c r="BI117" s="62">
        <f ca="1">AVERAGE(OFFSET($BH$3,0,0,'Données projet'!$E$11+1,1))-AVERAGE(OFFSET($H$3,0,0,'Données projet'!$E$11+1,1))</f>
        <v>434.74983403680108</v>
      </c>
      <c r="BJ117" s="62">
        <f t="shared" si="92"/>
        <v>186.0840067781198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1.1368683772161603E-13</v>
      </c>
      <c r="BZ117" s="14">
        <f>BY117*VLOOKUP('Données projet'!$B$12,Paramètres!$A$1:$I$89,3,0)*VLOOKUP('Données projet'!$B$12,Paramètres!$A$1:$I$89,5,0)</f>
        <v>9.7543306765146564E-14</v>
      </c>
      <c r="CA117" s="14">
        <f t="shared" si="93"/>
        <v>1.4696264278629426E-12</v>
      </c>
      <c r="CB117" s="22">
        <f t="shared" si="64"/>
        <v>2.7294872878105889E-12</v>
      </c>
      <c r="CC117" s="62">
        <f t="shared" si="65"/>
        <v>280.86541503470818</v>
      </c>
      <c r="CD117" s="62">
        <f ca="1">AVERAGE(OFFSET($CC$3,0,0,'Données projet'!$E$12+1,1))-AVERAGE(OFFSET($H$3,0,0,'Données projet'!$E$12+1,1))</f>
        <v>288.24759203983547</v>
      </c>
      <c r="CE117" s="62">
        <f t="shared" si="94"/>
        <v>188.86613033148794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1.1368683772161603E-13</v>
      </c>
      <c r="CU117" s="18">
        <f>CT117*VLOOKUP('Données projet'!$B$13,Paramètres!$A$1:$I$89,3,0)*VLOOKUP('Données projet'!$B$13,Paramètres!$A$1:$I$89,5,0)</f>
        <v>7.626113074366004E-14</v>
      </c>
      <c r="CV117" s="14">
        <f t="shared" si="95"/>
        <v>1.1823749172251317E-12</v>
      </c>
      <c r="CW117" s="22">
        <f t="shared" si="67"/>
        <v>2.1921244502123119E-12</v>
      </c>
      <c r="CX117" s="62">
        <f t="shared" si="68"/>
        <v>280.86541503470767</v>
      </c>
      <c r="CY117" s="62">
        <f ca="1">AVERAGE(OFFSET($CX$3,0,0,'Données projet'!$E$13+1,1))-AVERAGE(OFFSET($H$3,0,0,'Données projet'!$E$13+1,1))</f>
        <v>240.40157928925146</v>
      </c>
      <c r="CZ117" s="62">
        <f t="shared" si="96"/>
        <v>160.5013084380258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2.8</v>
      </c>
      <c r="DO117" s="13">
        <f>IF('Données projet'!$A$166&gt;35,DO116+DN117-DW116,IF(A117&lt;'Données projet'!$A$166,$DL$205^A117,IF(A117='Données projet'!$A$166,'Données projet'!$B$166,DO116+DN117-DW116)))</f>
        <v>244.19999999999982</v>
      </c>
      <c r="DP117" s="18">
        <f>DO117*VLOOKUP('Données projet'!$B$14,Paramètres!$A$1:$I$89,3,0)*VLOOKUP('Données projet'!$B$14,Paramètres!$A$1:$I$89,5,0)</f>
        <v>236.19023999999982</v>
      </c>
      <c r="DQ117" s="14">
        <f t="shared" si="97"/>
        <v>57.61908026505634</v>
      </c>
      <c r="DR117" s="22">
        <f t="shared" si="70"/>
        <v>511.71789946163943</v>
      </c>
      <c r="DS117" s="62">
        <f t="shared" si="71"/>
        <v>792.58331449634488</v>
      </c>
      <c r="DT117" s="62">
        <f ca="1">AVERAGE(OFFSET($DS$3,0,0,'Données projet'!$E$14+1,1))-AVERAGE(OFFSET($H$3,0,0,'Données projet'!$E$14+1,1))</f>
        <v>398.93296311353788</v>
      </c>
      <c r="DU117" s="62">
        <f t="shared" si="98"/>
        <v>173.19148969173838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-5.6843418860808015E-14</v>
      </c>
      <c r="EK117" s="18">
        <f>EJ117*VLOOKUP('Données projet'!$B$15,Paramètres!$A$1:$I$89,3,0)*VLOOKUP('Données projet'!$B$15,Paramètres!$A$1:$I$89,5,0)</f>
        <v>-4.9658410716801891E-14</v>
      </c>
      <c r="EL117" s="14" t="e">
        <f t="shared" si="99"/>
        <v>#NUM!</v>
      </c>
      <c r="EM117" s="22" t="e">
        <f t="shared" si="73"/>
        <v>#NUM!</v>
      </c>
      <c r="EN117" s="62" t="e">
        <f t="shared" si="74"/>
        <v>#NUM!</v>
      </c>
      <c r="EO117" s="62">
        <f ca="1">AVERAGE(OFFSET($EN$3,0,0,'Données projet'!$E$15+1,1))-AVERAGE(OFFSET($H$3,0,0,'Données projet'!$E$15+1,1))</f>
        <v>226.37420733783091</v>
      </c>
      <c r="EP117" s="62">
        <f t="shared" si="100"/>
        <v>204.10961748628714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6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9">
        <f t="shared" si="56"/>
        <v>183.33333333333334</v>
      </c>
      <c r="I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2.8421709430404007E-13</v>
      </c>
      <c r="O118" s="14">
        <f>N118*VLOOKUP('Données projet'!$B$9,Paramètres!$A$1:$I$89,3,0)*VLOOKUP('Données projet'!$B$9,Paramètres!$A$1:$I$89,5,0)</f>
        <v>1.6626700016786346E-13</v>
      </c>
      <c r="P118" s="14">
        <f t="shared" si="87"/>
        <v>2.3542701735863119E-12</v>
      </c>
      <c r="Q118" s="22">
        <f t="shared" si="107"/>
        <v>4.3899355776218544E-12</v>
      </c>
      <c r="R118" s="62">
        <f t="shared" si="55"/>
        <v>281.08170554310163</v>
      </c>
      <c r="S118" s="62">
        <f ca="1">AVERAGE(OFFSET($R$3,0,0,'Données projet'!$E$9+1,1))-AVERAGE(OFFSET($H$3,0,0,'Données projet'!$E$9+1,1))</f>
        <v>196.48726929442091</v>
      </c>
      <c r="T118" s="62">
        <f t="shared" si="88"/>
        <v>193.28400454669347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2.5558056817885454E-12</v>
      </c>
      <c r="AC118" s="24">
        <f t="shared" si="57"/>
        <v>2.5558056817885454E-12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2.8</v>
      </c>
      <c r="AI118" s="14">
        <f>IF('Données projet'!$A$62&gt;35,AI117+AH118-AQ117,IF(A118&lt;'Données projet'!$A$62,$AF$205^A118,IF(A118='Données projet'!$A$62,'Données projet'!$B$62,AI117+AH118-AQ117)))</f>
        <v>246.99999999999983</v>
      </c>
      <c r="AJ118" s="14">
        <f>AI118*VLOOKUP('Données projet'!$B$10,Paramètres!$A$1:$I$89,3,0)*VLOOKUP('Données projet'!$B$10,Paramètres!$A$1:$I$89,5,0)</f>
        <v>250.45799999999986</v>
      </c>
      <c r="AK118" s="14">
        <f t="shared" si="89"/>
        <v>60.684004209403739</v>
      </c>
      <c r="AL118" s="22">
        <f t="shared" si="58"/>
        <v>541.90565733137794</v>
      </c>
      <c r="AM118" s="62">
        <f t="shared" si="59"/>
        <v>822.98736287447514</v>
      </c>
      <c r="AN118" s="62">
        <f ca="1">AVERAGE(OFFSET($AM$3,0,0,'Données projet'!$E$10+1,1))-AVERAGE(OFFSET($H$3,0,0,'Données projet'!$E$10+1,1))</f>
        <v>414.29294334114661</v>
      </c>
      <c r="AO118" s="62">
        <f t="shared" si="90"/>
        <v>178.72086185623849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2.8</v>
      </c>
      <c r="BD118" s="13">
        <f>IF('Données projet'!$A$88&gt;35,BD117+BC118-BL117,IF(A118&lt;'Données projet'!$A$88,$BA$205^A118,IF(A118='Données projet'!$A$88,'Données projet'!$B$88,BD117+BC118-BL117)))</f>
        <v>246.99999999999983</v>
      </c>
      <c r="BE118" s="14">
        <f>BD118*VLOOKUP('Données projet'!$B$11,Paramètres!$A$1:$I$89,3,0)*VLOOKUP('Données projet'!$B$11,Paramètres!$A$1:$I$89,5,0)</f>
        <v>265.8707999999998</v>
      </c>
      <c r="BF118" s="14">
        <f t="shared" si="91"/>
        <v>63.972164370221726</v>
      </c>
      <c r="BG118" s="22">
        <f t="shared" si="61"/>
        <v>574.47649627813587</v>
      </c>
      <c r="BH118" s="62">
        <f t="shared" si="62"/>
        <v>855.55820182123307</v>
      </c>
      <c r="BI118" s="62">
        <f ca="1">AVERAGE(OFFSET($BH$3,0,0,'Données projet'!$E$11+1,1))-AVERAGE(OFFSET($H$3,0,0,'Données projet'!$E$11+1,1))</f>
        <v>434.74983403680108</v>
      </c>
      <c r="BJ118" s="62">
        <f t="shared" si="92"/>
        <v>186.0840067781198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1.1368683772161603E-13</v>
      </c>
      <c r="BZ118" s="14">
        <f>BY118*VLOOKUP('Données projet'!$B$12,Paramètres!$A$1:$I$89,3,0)*VLOOKUP('Données projet'!$B$12,Paramètres!$A$1:$I$89,5,0)</f>
        <v>9.7543306765146564E-14</v>
      </c>
      <c r="CA118" s="14">
        <f t="shared" si="93"/>
        <v>1.4696264278629426E-12</v>
      </c>
      <c r="CB118" s="22">
        <f t="shared" si="64"/>
        <v>2.7294872878105889E-12</v>
      </c>
      <c r="CC118" s="62">
        <f t="shared" si="65"/>
        <v>281.08170554309999</v>
      </c>
      <c r="CD118" s="62">
        <f ca="1">AVERAGE(OFFSET($CC$3,0,0,'Données projet'!$E$12+1,1))-AVERAGE(OFFSET($H$3,0,0,'Données projet'!$E$12+1,1))</f>
        <v>288.24759203983547</v>
      </c>
      <c r="CE118" s="62">
        <f t="shared" si="94"/>
        <v>188.86613033148794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1.1368683772161603E-13</v>
      </c>
      <c r="CU118" s="18">
        <f>CT118*VLOOKUP('Données projet'!$B$13,Paramètres!$A$1:$I$89,3,0)*VLOOKUP('Données projet'!$B$13,Paramètres!$A$1:$I$89,5,0)</f>
        <v>7.626113074366004E-14</v>
      </c>
      <c r="CV118" s="14">
        <f t="shared" si="95"/>
        <v>1.1823749172251317E-12</v>
      </c>
      <c r="CW118" s="22">
        <f t="shared" si="67"/>
        <v>2.1921244502123119E-12</v>
      </c>
      <c r="CX118" s="62">
        <f t="shared" si="68"/>
        <v>281.08170554309947</v>
      </c>
      <c r="CY118" s="62">
        <f ca="1">AVERAGE(OFFSET($CX$3,0,0,'Données projet'!$E$13+1,1))-AVERAGE(OFFSET($H$3,0,0,'Données projet'!$E$13+1,1))</f>
        <v>240.40157928925146</v>
      </c>
      <c r="CZ118" s="62">
        <f t="shared" si="96"/>
        <v>160.5013084380258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2.8</v>
      </c>
      <c r="DO118" s="13">
        <f>IF('Données projet'!$A$166&gt;35,DO117+DN118-DW117,IF(A118&lt;'Données projet'!$A$166,$DL$205^A118,IF(A118='Données projet'!$A$166,'Données projet'!$B$166,DO117+DN118-DW117)))</f>
        <v>246.99999999999983</v>
      </c>
      <c r="DP118" s="18">
        <f>DO118*VLOOKUP('Données projet'!$B$14,Paramètres!$A$1:$I$89,3,0)*VLOOKUP('Données projet'!$B$14,Paramètres!$A$1:$I$89,5,0)</f>
        <v>238.89839999999987</v>
      </c>
      <c r="DQ118" s="14">
        <f t="shared" si="97"/>
        <v>58.202452451868851</v>
      </c>
      <c r="DR118" s="22">
        <f t="shared" si="70"/>
        <v>517.45065135367133</v>
      </c>
      <c r="DS118" s="62">
        <f t="shared" si="71"/>
        <v>798.53235689676853</v>
      </c>
      <c r="DT118" s="62">
        <f ca="1">AVERAGE(OFFSET($DS$3,0,0,'Données projet'!$E$14+1,1))-AVERAGE(OFFSET($H$3,0,0,'Données projet'!$E$14+1,1))</f>
        <v>398.93296311353788</v>
      </c>
      <c r="DU118" s="62">
        <f t="shared" si="98"/>
        <v>173.19148969173838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-5.6843418860808015E-14</v>
      </c>
      <c r="EK118" s="18">
        <f>EJ118*VLOOKUP('Données projet'!$B$15,Paramètres!$A$1:$I$89,3,0)*VLOOKUP('Données projet'!$B$15,Paramètres!$A$1:$I$89,5,0)</f>
        <v>-4.9658410716801891E-14</v>
      </c>
      <c r="EL118" s="14" t="e">
        <f t="shared" si="99"/>
        <v>#NUM!</v>
      </c>
      <c r="EM118" s="22" t="e">
        <f t="shared" si="73"/>
        <v>#NUM!</v>
      </c>
      <c r="EN118" s="62" t="e">
        <f t="shared" si="74"/>
        <v>#NUM!</v>
      </c>
      <c r="EO118" s="62">
        <f ca="1">AVERAGE(OFFSET($EN$3,0,0,'Données projet'!$E$15+1,1))-AVERAGE(OFFSET($H$3,0,0,'Données projet'!$E$15+1,1))</f>
        <v>226.37420733783091</v>
      </c>
      <c r="EP118" s="62">
        <f t="shared" si="100"/>
        <v>204.10961748628714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6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9">
        <f t="shared" si="56"/>
        <v>183.33333333333334</v>
      </c>
      <c r="I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2.8421709430404007E-13</v>
      </c>
      <c r="O119" s="14">
        <f>N119*VLOOKUP('Données projet'!$B$9,Paramètres!$A$1:$I$89,3,0)*VLOOKUP('Données projet'!$B$9,Paramètres!$A$1:$I$89,5,0)</f>
        <v>1.6626700016786346E-13</v>
      </c>
      <c r="P119" s="14">
        <f t="shared" si="87"/>
        <v>2.3542701735863119E-12</v>
      </c>
      <c r="Q119" s="22">
        <f t="shared" si="107"/>
        <v>4.3899355776218544E-12</v>
      </c>
      <c r="R119" s="62">
        <f t="shared" si="55"/>
        <v>281.29424389472587</v>
      </c>
      <c r="S119" s="62">
        <f ca="1">AVERAGE(OFFSET($R$3,0,0,'Données projet'!$E$9+1,1))-AVERAGE(OFFSET($H$3,0,0,'Données projet'!$E$9+1,1))</f>
        <v>196.48726929442091</v>
      </c>
      <c r="T119" s="62">
        <f t="shared" si="88"/>
        <v>193.28400454669347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1.807227528987788E-12</v>
      </c>
      <c r="AC119" s="24">
        <f t="shared" si="57"/>
        <v>1.807227528987788E-12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2.8</v>
      </c>
      <c r="AI119" s="14">
        <f>IF('Données projet'!$A$62&gt;35,AI118+AH119-AQ118,IF(A119&lt;'Données projet'!$A$62,$AF$205^A119,IF(A119='Données projet'!$A$62,'Données projet'!$B$62,AI118+AH119-AQ118)))</f>
        <v>249.79999999999984</v>
      </c>
      <c r="AJ119" s="14">
        <f>AI119*VLOOKUP('Données projet'!$B$10,Paramètres!$A$1:$I$89,3,0)*VLOOKUP('Données projet'!$B$10,Paramètres!$A$1:$I$89,5,0)</f>
        <v>253.29719999999983</v>
      </c>
      <c r="AK119" s="14">
        <f t="shared" si="89"/>
        <v>61.291447296462572</v>
      </c>
      <c r="AL119" s="22">
        <f t="shared" si="58"/>
        <v>547.90856070800533</v>
      </c>
      <c r="AM119" s="62">
        <f t="shared" si="59"/>
        <v>829.20280460272681</v>
      </c>
      <c r="AN119" s="62">
        <f ca="1">AVERAGE(OFFSET($AM$3,0,0,'Données projet'!$E$10+1,1))-AVERAGE(OFFSET($H$3,0,0,'Données projet'!$E$10+1,1))</f>
        <v>414.29294334114661</v>
      </c>
      <c r="AO119" s="62">
        <f t="shared" si="90"/>
        <v>178.72086185623849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2.8</v>
      </c>
      <c r="BD119" s="13">
        <f>IF('Données projet'!$A$88&gt;35,BD118+BC119-BL118,IF(A119&lt;'Données projet'!$A$88,$BA$205^A119,IF(A119='Données projet'!$A$88,'Données projet'!$B$88,BD118+BC119-BL118)))</f>
        <v>249.79999999999984</v>
      </c>
      <c r="BE119" s="14">
        <f>BD119*VLOOKUP('Données projet'!$B$11,Paramètres!$A$1:$I$89,3,0)*VLOOKUP('Données projet'!$B$11,Paramètres!$A$1:$I$89,5,0)</f>
        <v>268.88471999999985</v>
      </c>
      <c r="BF119" s="14">
        <f t="shared" si="91"/>
        <v>64.612521734854255</v>
      </c>
      <c r="BG119" s="22">
        <f t="shared" si="61"/>
        <v>580.8410293548709</v>
      </c>
      <c r="BH119" s="62">
        <f t="shared" si="62"/>
        <v>862.13527324959239</v>
      </c>
      <c r="BI119" s="62">
        <f ca="1">AVERAGE(OFFSET($BH$3,0,0,'Données projet'!$E$11+1,1))-AVERAGE(OFFSET($H$3,0,0,'Données projet'!$E$11+1,1))</f>
        <v>434.74983403680108</v>
      </c>
      <c r="BJ119" s="62">
        <f t="shared" si="92"/>
        <v>186.0840067781198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1.1368683772161603E-13</v>
      </c>
      <c r="BZ119" s="14">
        <f>BY119*VLOOKUP('Données projet'!$B$12,Paramètres!$A$1:$I$89,3,0)*VLOOKUP('Données projet'!$B$12,Paramètres!$A$1:$I$89,5,0)</f>
        <v>9.7543306765146564E-14</v>
      </c>
      <c r="CA119" s="14">
        <f t="shared" si="93"/>
        <v>1.4696264278629426E-12</v>
      </c>
      <c r="CB119" s="22">
        <f t="shared" si="64"/>
        <v>2.7294872878105889E-12</v>
      </c>
      <c r="CC119" s="62">
        <f t="shared" si="65"/>
        <v>281.29424389472422</v>
      </c>
      <c r="CD119" s="62">
        <f ca="1">AVERAGE(OFFSET($CC$3,0,0,'Données projet'!$E$12+1,1))-AVERAGE(OFFSET($H$3,0,0,'Données projet'!$E$12+1,1))</f>
        <v>288.24759203983547</v>
      </c>
      <c r="CE119" s="62">
        <f t="shared" si="94"/>
        <v>188.86613033148794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1.1368683772161603E-13</v>
      </c>
      <c r="CU119" s="18">
        <f>CT119*VLOOKUP('Données projet'!$B$13,Paramètres!$A$1:$I$89,3,0)*VLOOKUP('Données projet'!$B$13,Paramètres!$A$1:$I$89,5,0)</f>
        <v>7.626113074366004E-14</v>
      </c>
      <c r="CV119" s="14">
        <f t="shared" si="95"/>
        <v>1.1823749172251317E-12</v>
      </c>
      <c r="CW119" s="22">
        <f t="shared" si="67"/>
        <v>2.1921244502123119E-12</v>
      </c>
      <c r="CX119" s="62">
        <f t="shared" si="68"/>
        <v>281.29424389472371</v>
      </c>
      <c r="CY119" s="62">
        <f ca="1">AVERAGE(OFFSET($CX$3,0,0,'Données projet'!$E$13+1,1))-AVERAGE(OFFSET($H$3,0,0,'Données projet'!$E$13+1,1))</f>
        <v>240.40157928925146</v>
      </c>
      <c r="CZ119" s="62">
        <f t="shared" si="96"/>
        <v>160.5013084380258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2.8</v>
      </c>
      <c r="DO119" s="13">
        <f>IF('Données projet'!$A$166&gt;35,DO118+DN119-DW118,IF(A119&lt;'Données projet'!$A$166,$DL$205^A119,IF(A119='Données projet'!$A$166,'Données projet'!$B$166,DO118+DN119-DW118)))</f>
        <v>249.79999999999984</v>
      </c>
      <c r="DP119" s="18">
        <f>DO119*VLOOKUP('Données projet'!$B$14,Paramètres!$A$1:$I$89,3,0)*VLOOKUP('Données projet'!$B$14,Paramètres!$A$1:$I$89,5,0)</f>
        <v>241.60655999999983</v>
      </c>
      <c r="DQ119" s="14">
        <f t="shared" si="97"/>
        <v>58.785055361026913</v>
      </c>
      <c r="DR119" s="22">
        <f t="shared" si="70"/>
        <v>523.18206342045494</v>
      </c>
      <c r="DS119" s="62">
        <f t="shared" si="71"/>
        <v>804.47630731517643</v>
      </c>
      <c r="DT119" s="62">
        <f ca="1">AVERAGE(OFFSET($DS$3,0,0,'Données projet'!$E$14+1,1))-AVERAGE(OFFSET($H$3,0,0,'Données projet'!$E$14+1,1))</f>
        <v>398.93296311353788</v>
      </c>
      <c r="DU119" s="62">
        <f t="shared" si="98"/>
        <v>173.19148969173838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-5.6843418860808015E-14</v>
      </c>
      <c r="EK119" s="18">
        <f>EJ119*VLOOKUP('Données projet'!$B$15,Paramètres!$A$1:$I$89,3,0)*VLOOKUP('Données projet'!$B$15,Paramètres!$A$1:$I$89,5,0)</f>
        <v>-4.9658410716801891E-14</v>
      </c>
      <c r="EL119" s="14" t="e">
        <f t="shared" si="99"/>
        <v>#NUM!</v>
      </c>
      <c r="EM119" s="22" t="e">
        <f t="shared" si="73"/>
        <v>#NUM!</v>
      </c>
      <c r="EN119" s="62" t="e">
        <f t="shared" si="74"/>
        <v>#NUM!</v>
      </c>
      <c r="EO119" s="62">
        <f ca="1">AVERAGE(OFFSET($EN$3,0,0,'Données projet'!$E$15+1,1))-AVERAGE(OFFSET($H$3,0,0,'Données projet'!$E$15+1,1))</f>
        <v>226.37420733783091</v>
      </c>
      <c r="EP119" s="62">
        <f t="shared" si="100"/>
        <v>204.10961748628714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6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9">
        <f t="shared" si="56"/>
        <v>183.33333333333334</v>
      </c>
      <c r="I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2.8421709430404007E-13</v>
      </c>
      <c r="O120" s="14">
        <f>N120*VLOOKUP('Données projet'!$B$9,Paramètres!$A$1:$I$89,3,0)*VLOOKUP('Données projet'!$B$9,Paramètres!$A$1:$I$89,5,0)</f>
        <v>1.6626700016786346E-13</v>
      </c>
      <c r="P120" s="14">
        <f t="shared" si="87"/>
        <v>2.3542701735863119E-12</v>
      </c>
      <c r="Q120" s="22">
        <f t="shared" si="107"/>
        <v>4.3899355776218544E-12</v>
      </c>
      <c r="R120" s="62">
        <f t="shared" si="55"/>
        <v>281.50309518111402</v>
      </c>
      <c r="S120" s="62">
        <f ca="1">AVERAGE(OFFSET($R$3,0,0,'Données projet'!$E$9+1,1))-AVERAGE(OFFSET($H$3,0,0,'Données projet'!$E$9+1,1))</f>
        <v>196.48726929442091</v>
      </c>
      <c r="T120" s="62">
        <f t="shared" si="88"/>
        <v>193.28400454669347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1.2779028408942729E-12</v>
      </c>
      <c r="AC120" s="24">
        <f t="shared" si="57"/>
        <v>1.2779028408942729E-12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2.8</v>
      </c>
      <c r="AI120" s="14">
        <f>IF('Données projet'!$A$62&gt;35,AI119+AH120-AQ119,IF(A120&lt;'Données projet'!$A$62,$AF$205^A120,IF(A120='Données projet'!$A$62,'Données projet'!$B$62,AI119+AH120-AQ119)))</f>
        <v>252.59999999999985</v>
      </c>
      <c r="AJ120" s="14">
        <f>AI120*VLOOKUP('Données projet'!$B$10,Paramètres!$A$1:$I$89,3,0)*VLOOKUP('Données projet'!$B$10,Paramètres!$A$1:$I$89,5,0)</f>
        <v>256.13639999999987</v>
      </c>
      <c r="AK120" s="14">
        <f t="shared" si="89"/>
        <v>61.898098337343079</v>
      </c>
      <c r="AL120" s="22">
        <f t="shared" si="58"/>
        <v>553.91008460420551</v>
      </c>
      <c r="AM120" s="62">
        <f t="shared" si="59"/>
        <v>835.41317978531515</v>
      </c>
      <c r="AN120" s="62">
        <f ca="1">AVERAGE(OFFSET($AM$3,0,0,'Données projet'!$E$10+1,1))-AVERAGE(OFFSET($H$3,0,0,'Données projet'!$E$10+1,1))</f>
        <v>414.29294334114661</v>
      </c>
      <c r="AO120" s="62">
        <f t="shared" si="90"/>
        <v>178.72086185623849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2.8</v>
      </c>
      <c r="BD120" s="13">
        <f>IF('Données projet'!$A$88&gt;35,BD119+BC120-BL119,IF(A120&lt;'Données projet'!$A$88,$BA$205^A120,IF(A120='Données projet'!$A$88,'Données projet'!$B$88,BD119+BC120-BL119)))</f>
        <v>252.59999999999985</v>
      </c>
      <c r="BE120" s="14">
        <f>BD120*VLOOKUP('Données projet'!$B$11,Paramètres!$A$1:$I$89,3,0)*VLOOKUP('Données projet'!$B$11,Paramètres!$A$1:$I$89,5,0)</f>
        <v>271.89863999999983</v>
      </c>
      <c r="BF120" s="14">
        <f t="shared" si="91"/>
        <v>65.252044136320308</v>
      </c>
      <c r="BG120" s="22">
        <f t="shared" si="61"/>
        <v>587.20410820409086</v>
      </c>
      <c r="BH120" s="62">
        <f t="shared" si="62"/>
        <v>868.7072033852005</v>
      </c>
      <c r="BI120" s="62">
        <f ca="1">AVERAGE(OFFSET($BH$3,0,0,'Données projet'!$E$11+1,1))-AVERAGE(OFFSET($H$3,0,0,'Données projet'!$E$11+1,1))</f>
        <v>434.74983403680108</v>
      </c>
      <c r="BJ120" s="62">
        <f t="shared" si="92"/>
        <v>186.0840067781198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1.1368683772161603E-13</v>
      </c>
      <c r="BZ120" s="14">
        <f>BY120*VLOOKUP('Données projet'!$B$12,Paramètres!$A$1:$I$89,3,0)*VLOOKUP('Données projet'!$B$12,Paramètres!$A$1:$I$89,5,0)</f>
        <v>9.7543306765146564E-14</v>
      </c>
      <c r="CA120" s="14">
        <f t="shared" si="93"/>
        <v>1.4696264278629426E-12</v>
      </c>
      <c r="CB120" s="22">
        <f t="shared" si="64"/>
        <v>2.7294872878105889E-12</v>
      </c>
      <c r="CC120" s="62">
        <f t="shared" si="65"/>
        <v>281.50309518111237</v>
      </c>
      <c r="CD120" s="62">
        <f ca="1">AVERAGE(OFFSET($CC$3,0,0,'Données projet'!$E$12+1,1))-AVERAGE(OFFSET($H$3,0,0,'Données projet'!$E$12+1,1))</f>
        <v>288.24759203983547</v>
      </c>
      <c r="CE120" s="62">
        <f t="shared" si="94"/>
        <v>188.86613033148794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1.1368683772161603E-13</v>
      </c>
      <c r="CU120" s="18">
        <f>CT120*VLOOKUP('Données projet'!$B$13,Paramètres!$A$1:$I$89,3,0)*VLOOKUP('Données projet'!$B$13,Paramètres!$A$1:$I$89,5,0)</f>
        <v>7.626113074366004E-14</v>
      </c>
      <c r="CV120" s="14">
        <f t="shared" si="95"/>
        <v>1.1823749172251317E-12</v>
      </c>
      <c r="CW120" s="22">
        <f t="shared" si="67"/>
        <v>2.1921244502123119E-12</v>
      </c>
      <c r="CX120" s="62">
        <f t="shared" si="68"/>
        <v>281.50309518111186</v>
      </c>
      <c r="CY120" s="62">
        <f ca="1">AVERAGE(OFFSET($CX$3,0,0,'Données projet'!$E$13+1,1))-AVERAGE(OFFSET($H$3,0,0,'Données projet'!$E$13+1,1))</f>
        <v>240.40157928925146</v>
      </c>
      <c r="CZ120" s="62">
        <f t="shared" si="96"/>
        <v>160.5013084380258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2.8</v>
      </c>
      <c r="DO120" s="13">
        <f>IF('Données projet'!$A$166&gt;35,DO119+DN120-DW119,IF(A120&lt;'Données projet'!$A$166,$DL$205^A120,IF(A120='Données projet'!$A$166,'Données projet'!$B$166,DO119+DN120-DW119)))</f>
        <v>252.59999999999985</v>
      </c>
      <c r="DP120" s="18">
        <f>DO120*VLOOKUP('Données projet'!$B$14,Paramètres!$A$1:$I$89,3,0)*VLOOKUP('Données projet'!$B$14,Paramètres!$A$1:$I$89,5,0)</f>
        <v>244.31471999999988</v>
      </c>
      <c r="DQ120" s="14">
        <f t="shared" si="97"/>
        <v>59.366898613161048</v>
      </c>
      <c r="DR120" s="22">
        <f t="shared" si="70"/>
        <v>528.9121524179219</v>
      </c>
      <c r="DS120" s="62">
        <f t="shared" si="71"/>
        <v>810.41524759903155</v>
      </c>
      <c r="DT120" s="62">
        <f ca="1">AVERAGE(OFFSET($DS$3,0,0,'Données projet'!$E$14+1,1))-AVERAGE(OFFSET($H$3,0,0,'Données projet'!$E$14+1,1))</f>
        <v>398.93296311353788</v>
      </c>
      <c r="DU120" s="62">
        <f t="shared" si="98"/>
        <v>173.19148969173838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-5.6843418860808015E-14</v>
      </c>
      <c r="EK120" s="18">
        <f>EJ120*VLOOKUP('Données projet'!$B$15,Paramètres!$A$1:$I$89,3,0)*VLOOKUP('Données projet'!$B$15,Paramètres!$A$1:$I$89,5,0)</f>
        <v>-4.9658410716801891E-14</v>
      </c>
      <c r="EL120" s="14" t="e">
        <f t="shared" si="99"/>
        <v>#NUM!</v>
      </c>
      <c r="EM120" s="22" t="e">
        <f t="shared" si="73"/>
        <v>#NUM!</v>
      </c>
      <c r="EN120" s="62" t="e">
        <f t="shared" si="74"/>
        <v>#NUM!</v>
      </c>
      <c r="EO120" s="62">
        <f ca="1">AVERAGE(OFFSET($EN$3,0,0,'Données projet'!$E$15+1,1))-AVERAGE(OFFSET($H$3,0,0,'Données projet'!$E$15+1,1))</f>
        <v>226.37420733783091</v>
      </c>
      <c r="EP120" s="62">
        <f t="shared" si="100"/>
        <v>204.10961748628714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6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9">
        <f t="shared" si="56"/>
        <v>183.33333333333334</v>
      </c>
      <c r="I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2.8421709430404007E-13</v>
      </c>
      <c r="O121" s="14">
        <f>N121*VLOOKUP('Données projet'!$B$9,Paramètres!$A$1:$I$89,3,0)*VLOOKUP('Données projet'!$B$9,Paramètres!$A$1:$I$89,5,0)</f>
        <v>1.6626700016786346E-13</v>
      </c>
      <c r="P121" s="14">
        <f t="shared" si="87"/>
        <v>2.3542701735863119E-12</v>
      </c>
      <c r="Q121" s="22">
        <f t="shared" si="107"/>
        <v>4.3899355776218544E-12</v>
      </c>
      <c r="R121" s="62">
        <f t="shared" si="55"/>
        <v>281.70832336460478</v>
      </c>
      <c r="S121" s="62">
        <f ca="1">AVERAGE(OFFSET($R$3,0,0,'Données projet'!$E$9+1,1))-AVERAGE(OFFSET($H$3,0,0,'Données projet'!$E$9+1,1))</f>
        <v>196.48726929442091</v>
      </c>
      <c r="T121" s="62">
        <f t="shared" si="88"/>
        <v>193.28400454669347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9.036137644938941E-13</v>
      </c>
      <c r="AC121" s="24">
        <f t="shared" si="57"/>
        <v>9.036137644938941E-13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2.8</v>
      </c>
      <c r="AI121" s="14">
        <f>IF('Données projet'!$A$62&gt;35,AI120+AH121-AQ120,IF(A121&lt;'Données projet'!$A$62,$AF$205^A121,IF(A121='Données projet'!$A$62,'Données projet'!$B$62,AI120+AH121-AQ120)))</f>
        <v>255.39999999999986</v>
      </c>
      <c r="AJ121" s="14">
        <f>AI121*VLOOKUP('Données projet'!$B$10,Paramètres!$A$1:$I$89,3,0)*VLOOKUP('Données projet'!$B$10,Paramètres!$A$1:$I$89,5,0)</f>
        <v>258.97559999999987</v>
      </c>
      <c r="AK121" s="14">
        <f t="shared" si="89"/>
        <v>62.503967127683573</v>
      </c>
      <c r="AL121" s="22">
        <f t="shared" si="58"/>
        <v>559.91024608071518</v>
      </c>
      <c r="AM121" s="62">
        <f t="shared" si="59"/>
        <v>841.61856944531564</v>
      </c>
      <c r="AN121" s="62">
        <f ca="1">AVERAGE(OFFSET($AM$3,0,0,'Données projet'!$E$10+1,1))-AVERAGE(OFFSET($H$3,0,0,'Données projet'!$E$10+1,1))</f>
        <v>414.29294334114661</v>
      </c>
      <c r="AO121" s="62">
        <f t="shared" si="90"/>
        <v>178.72086185623849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2.8</v>
      </c>
      <c r="BD121" s="13">
        <f>IF('Données projet'!$A$88&gt;35,BD120+BC121-BL120,IF(A121&lt;'Données projet'!$A$88,$BA$205^A121,IF(A121='Données projet'!$A$88,'Données projet'!$B$88,BD120+BC121-BL120)))</f>
        <v>255.39999999999986</v>
      </c>
      <c r="BE121" s="14">
        <f>BD121*VLOOKUP('Données projet'!$B$11,Paramètres!$A$1:$I$89,3,0)*VLOOKUP('Données projet'!$B$11,Paramètres!$A$1:$I$89,5,0)</f>
        <v>274.91255999999981</v>
      </c>
      <c r="BF121" s="14">
        <f t="shared" si="91"/>
        <v>65.890741901034446</v>
      </c>
      <c r="BG121" s="22">
        <f t="shared" si="61"/>
        <v>593.56575081096798</v>
      </c>
      <c r="BH121" s="62">
        <f t="shared" si="62"/>
        <v>875.27407417556833</v>
      </c>
      <c r="BI121" s="62">
        <f ca="1">AVERAGE(OFFSET($BH$3,0,0,'Données projet'!$E$11+1,1))-AVERAGE(OFFSET($H$3,0,0,'Données projet'!$E$11+1,1))</f>
        <v>434.74983403680108</v>
      </c>
      <c r="BJ121" s="62">
        <f t="shared" si="92"/>
        <v>186.0840067781198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1.1368683772161603E-13</v>
      </c>
      <c r="BZ121" s="14">
        <f>BY121*VLOOKUP('Données projet'!$B$12,Paramètres!$A$1:$I$89,3,0)*VLOOKUP('Données projet'!$B$12,Paramètres!$A$1:$I$89,5,0)</f>
        <v>9.7543306765146564E-14</v>
      </c>
      <c r="CA121" s="14">
        <f t="shared" si="93"/>
        <v>1.4696264278629426E-12</v>
      </c>
      <c r="CB121" s="22">
        <f t="shared" si="64"/>
        <v>2.7294872878105889E-12</v>
      </c>
      <c r="CC121" s="62">
        <f t="shared" si="65"/>
        <v>281.70832336460313</v>
      </c>
      <c r="CD121" s="62">
        <f ca="1">AVERAGE(OFFSET($CC$3,0,0,'Données projet'!$E$12+1,1))-AVERAGE(OFFSET($H$3,0,0,'Données projet'!$E$12+1,1))</f>
        <v>288.24759203983547</v>
      </c>
      <c r="CE121" s="62">
        <f t="shared" si="94"/>
        <v>188.86613033148794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1.1368683772161603E-13</v>
      </c>
      <c r="CU121" s="18">
        <f>CT121*VLOOKUP('Données projet'!$B$13,Paramètres!$A$1:$I$89,3,0)*VLOOKUP('Données projet'!$B$13,Paramètres!$A$1:$I$89,5,0)</f>
        <v>7.626113074366004E-14</v>
      </c>
      <c r="CV121" s="14">
        <f t="shared" si="95"/>
        <v>1.1823749172251317E-12</v>
      </c>
      <c r="CW121" s="22">
        <f t="shared" si="67"/>
        <v>2.1921244502123119E-12</v>
      </c>
      <c r="CX121" s="62">
        <f t="shared" si="68"/>
        <v>281.70832336460262</v>
      </c>
      <c r="CY121" s="62">
        <f ca="1">AVERAGE(OFFSET($CX$3,0,0,'Données projet'!$E$13+1,1))-AVERAGE(OFFSET($H$3,0,0,'Données projet'!$E$13+1,1))</f>
        <v>240.40157928925146</v>
      </c>
      <c r="CZ121" s="62">
        <f t="shared" si="96"/>
        <v>160.5013084380258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2.8</v>
      </c>
      <c r="DO121" s="13">
        <f>IF('Données projet'!$A$166&gt;35,DO120+DN121-DW120,IF(A121&lt;'Données projet'!$A$166,$DL$205^A121,IF(A121='Données projet'!$A$166,'Données projet'!$B$166,DO120+DN121-DW120)))</f>
        <v>255.39999999999986</v>
      </c>
      <c r="DP121" s="18">
        <f>DO121*VLOOKUP('Données projet'!$B$14,Paramètres!$A$1:$I$89,3,0)*VLOOKUP('Données projet'!$B$14,Paramètres!$A$1:$I$89,5,0)</f>
        <v>247.0228799999999</v>
      </c>
      <c r="DQ121" s="14">
        <f t="shared" si="97"/>
        <v>59.947991603336583</v>
      </c>
      <c r="DR121" s="22">
        <f t="shared" si="70"/>
        <v>534.64093470914429</v>
      </c>
      <c r="DS121" s="62">
        <f t="shared" si="71"/>
        <v>816.34925807374475</v>
      </c>
      <c r="DT121" s="62">
        <f ca="1">AVERAGE(OFFSET($DS$3,0,0,'Données projet'!$E$14+1,1))-AVERAGE(OFFSET($H$3,0,0,'Données projet'!$E$14+1,1))</f>
        <v>398.93296311353788</v>
      </c>
      <c r="DU121" s="62">
        <f t="shared" si="98"/>
        <v>173.19148969173838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-5.6843418860808015E-14</v>
      </c>
      <c r="EK121" s="18">
        <f>EJ121*VLOOKUP('Données projet'!$B$15,Paramètres!$A$1:$I$89,3,0)*VLOOKUP('Données projet'!$B$15,Paramètres!$A$1:$I$89,5,0)</f>
        <v>-4.9658410716801891E-14</v>
      </c>
      <c r="EL121" s="14" t="e">
        <f t="shared" si="99"/>
        <v>#NUM!</v>
      </c>
      <c r="EM121" s="22" t="e">
        <f t="shared" si="73"/>
        <v>#NUM!</v>
      </c>
      <c r="EN121" s="62" t="e">
        <f t="shared" si="74"/>
        <v>#NUM!</v>
      </c>
      <c r="EO121" s="62">
        <f ca="1">AVERAGE(OFFSET($EN$3,0,0,'Données projet'!$E$15+1,1))-AVERAGE(OFFSET($H$3,0,0,'Données projet'!$E$15+1,1))</f>
        <v>226.37420733783091</v>
      </c>
      <c r="EP121" s="62">
        <f t="shared" si="100"/>
        <v>204.10961748628714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6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9">
        <f t="shared" si="56"/>
        <v>183.33333333333334</v>
      </c>
      <c r="I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2.8421709430404007E-13</v>
      </c>
      <c r="O122" s="14">
        <f>N122*VLOOKUP('Données projet'!$B$9,Paramètres!$A$1:$I$89,3,0)*VLOOKUP('Données projet'!$B$9,Paramètres!$A$1:$I$89,5,0)</f>
        <v>1.6626700016786346E-13</v>
      </c>
      <c r="P122" s="14">
        <f t="shared" si="87"/>
        <v>2.3542701735863119E-12</v>
      </c>
      <c r="Q122" s="22">
        <f t="shared" si="107"/>
        <v>4.3899355776218544E-12</v>
      </c>
      <c r="R122" s="62">
        <f t="shared" si="55"/>
        <v>281.90999129793352</v>
      </c>
      <c r="S122" s="62">
        <f ca="1">AVERAGE(OFFSET($R$3,0,0,'Données projet'!$E$9+1,1))-AVERAGE(OFFSET($H$3,0,0,'Données projet'!$E$9+1,1))</f>
        <v>196.48726929442091</v>
      </c>
      <c r="T122" s="62">
        <f t="shared" si="88"/>
        <v>193.28400454669347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6.3895142044713655E-13</v>
      </c>
      <c r="AC122" s="24">
        <f t="shared" si="57"/>
        <v>6.3895142044713655E-13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2.8</v>
      </c>
      <c r="AI122" s="14">
        <f>IF('Données projet'!$A$62&gt;35,AI121+AH122-AQ121,IF(A122&lt;'Données projet'!$A$62,$AF$205^A122,IF(A122='Données projet'!$A$62,'Données projet'!$B$62,AI121+AH122-AQ121)))</f>
        <v>258.19999999999987</v>
      </c>
      <c r="AJ122" s="14">
        <f>AI122*VLOOKUP('Données projet'!$B$10,Paramètres!$A$1:$I$89,3,0)*VLOOKUP('Données projet'!$B$10,Paramètres!$A$1:$I$89,5,0)</f>
        <v>261.81479999999988</v>
      </c>
      <c r="AK122" s="14">
        <f t="shared" si="89"/>
        <v>63.109063235970609</v>
      </c>
      <c r="AL122" s="22">
        <f t="shared" si="58"/>
        <v>565.90906180264858</v>
      </c>
      <c r="AM122" s="62">
        <f t="shared" si="59"/>
        <v>847.81905310057778</v>
      </c>
      <c r="AN122" s="62">
        <f ca="1">AVERAGE(OFFSET($AM$3,0,0,'Données projet'!$E$10+1,1))-AVERAGE(OFFSET($H$3,0,0,'Données projet'!$E$10+1,1))</f>
        <v>414.29294334114661</v>
      </c>
      <c r="AO122" s="62">
        <f t="shared" si="90"/>
        <v>178.72086185623849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2.8</v>
      </c>
      <c r="BD122" s="13">
        <f>IF('Données projet'!$A$88&gt;35,BD121+BC122-BL121,IF(A122&lt;'Données projet'!$A$88,$BA$205^A122,IF(A122='Données projet'!$A$88,'Données projet'!$B$88,BD121+BC122-BL121)))</f>
        <v>258.19999999999987</v>
      </c>
      <c r="BE122" s="14">
        <f>BD122*VLOOKUP('Données projet'!$B$11,Paramètres!$A$1:$I$89,3,0)*VLOOKUP('Données projet'!$B$11,Paramètres!$A$1:$I$89,5,0)</f>
        <v>277.92647999999986</v>
      </c>
      <c r="BF122" s="14">
        <f t="shared" si="91"/>
        <v>66.528625115951257</v>
      </c>
      <c r="BG122" s="22">
        <f t="shared" si="61"/>
        <v>599.92597474361492</v>
      </c>
      <c r="BH122" s="62">
        <f t="shared" si="62"/>
        <v>881.835966041544</v>
      </c>
      <c r="BI122" s="62">
        <f ca="1">AVERAGE(OFFSET($BH$3,0,0,'Données projet'!$E$11+1,1))-AVERAGE(OFFSET($H$3,0,0,'Données projet'!$E$11+1,1))</f>
        <v>434.74983403680108</v>
      </c>
      <c r="BJ122" s="62">
        <f t="shared" si="92"/>
        <v>186.0840067781198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1.1368683772161603E-13</v>
      </c>
      <c r="BZ122" s="14">
        <f>BY122*VLOOKUP('Données projet'!$B$12,Paramètres!$A$1:$I$89,3,0)*VLOOKUP('Données projet'!$B$12,Paramètres!$A$1:$I$89,5,0)</f>
        <v>9.7543306765146564E-14</v>
      </c>
      <c r="CA122" s="14">
        <f t="shared" si="93"/>
        <v>1.4696264278629426E-12</v>
      </c>
      <c r="CB122" s="22">
        <f t="shared" si="64"/>
        <v>2.7294872878105889E-12</v>
      </c>
      <c r="CC122" s="62">
        <f t="shared" si="65"/>
        <v>281.90999129793187</v>
      </c>
      <c r="CD122" s="62">
        <f ca="1">AVERAGE(OFFSET($CC$3,0,0,'Données projet'!$E$12+1,1))-AVERAGE(OFFSET($H$3,0,0,'Données projet'!$E$12+1,1))</f>
        <v>288.24759203983547</v>
      </c>
      <c r="CE122" s="62">
        <f t="shared" si="94"/>
        <v>188.86613033148794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1.1368683772161603E-13</v>
      </c>
      <c r="CU122" s="18">
        <f>CT122*VLOOKUP('Données projet'!$B$13,Paramètres!$A$1:$I$89,3,0)*VLOOKUP('Données projet'!$B$13,Paramètres!$A$1:$I$89,5,0)</f>
        <v>7.626113074366004E-14</v>
      </c>
      <c r="CV122" s="14">
        <f t="shared" si="95"/>
        <v>1.1823749172251317E-12</v>
      </c>
      <c r="CW122" s="22">
        <f t="shared" si="67"/>
        <v>2.1921244502123119E-12</v>
      </c>
      <c r="CX122" s="62">
        <f t="shared" si="68"/>
        <v>281.90999129793136</v>
      </c>
      <c r="CY122" s="62">
        <f ca="1">AVERAGE(OFFSET($CX$3,0,0,'Données projet'!$E$13+1,1))-AVERAGE(OFFSET($H$3,0,0,'Données projet'!$E$13+1,1))</f>
        <v>240.40157928925146</v>
      </c>
      <c r="CZ122" s="62">
        <f t="shared" si="96"/>
        <v>160.5013084380258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2.8</v>
      </c>
      <c r="DO122" s="13">
        <f>IF('Données projet'!$A$166&gt;35,DO121+DN122-DW121,IF(A122&lt;'Données projet'!$A$166,$DL$205^A122,IF(A122='Données projet'!$A$166,'Données projet'!$B$166,DO121+DN122-DW121)))</f>
        <v>258.19999999999987</v>
      </c>
      <c r="DP122" s="18">
        <f>DO122*VLOOKUP('Données projet'!$B$14,Paramètres!$A$1:$I$89,3,0)*VLOOKUP('Données projet'!$B$14,Paramètres!$A$1:$I$89,5,0)</f>
        <v>249.73103999999989</v>
      </c>
      <c r="DQ122" s="14">
        <f t="shared" si="97"/>
        <v>60.528343508755611</v>
      </c>
      <c r="DR122" s="22">
        <f t="shared" si="70"/>
        <v>540.36842627774911</v>
      </c>
      <c r="DS122" s="62">
        <f t="shared" si="71"/>
        <v>822.2784175756783</v>
      </c>
      <c r="DT122" s="62">
        <f ca="1">AVERAGE(OFFSET($DS$3,0,0,'Données projet'!$E$14+1,1))-AVERAGE(OFFSET($H$3,0,0,'Données projet'!$E$14+1,1))</f>
        <v>398.93296311353788</v>
      </c>
      <c r="DU122" s="62">
        <f t="shared" si="98"/>
        <v>173.19148969173838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-5.6843418860808015E-14</v>
      </c>
      <c r="EK122" s="18">
        <f>EJ122*VLOOKUP('Données projet'!$B$15,Paramètres!$A$1:$I$89,3,0)*VLOOKUP('Données projet'!$B$15,Paramètres!$A$1:$I$89,5,0)</f>
        <v>-4.9658410716801891E-14</v>
      </c>
      <c r="EL122" s="14" t="e">
        <f t="shared" si="99"/>
        <v>#NUM!</v>
      </c>
      <c r="EM122" s="22" t="e">
        <f t="shared" si="73"/>
        <v>#NUM!</v>
      </c>
      <c r="EN122" s="62" t="e">
        <f t="shared" si="74"/>
        <v>#NUM!</v>
      </c>
      <c r="EO122" s="62">
        <f ca="1">AVERAGE(OFFSET($EN$3,0,0,'Données projet'!$E$15+1,1))-AVERAGE(OFFSET($H$3,0,0,'Données projet'!$E$15+1,1))</f>
        <v>226.37420733783091</v>
      </c>
      <c r="EP122" s="62">
        <f t="shared" si="100"/>
        <v>204.10961748628714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6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9">
        <f t="shared" si="56"/>
        <v>183.33333333333334</v>
      </c>
      <c r="I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2.8421709430404007E-13</v>
      </c>
      <c r="O123" s="14">
        <f>N123*VLOOKUP('Données projet'!$B$9,Paramètres!$A$1:$I$89,3,0)*VLOOKUP('Données projet'!$B$9,Paramètres!$A$1:$I$89,5,0)</f>
        <v>1.6626700016786346E-13</v>
      </c>
      <c r="P123" s="14">
        <f t="shared" si="87"/>
        <v>2.3542701735863119E-12</v>
      </c>
      <c r="Q123" s="22">
        <f t="shared" si="107"/>
        <v>4.3899355776218544E-12</v>
      </c>
      <c r="R123" s="62">
        <f t="shared" si="55"/>
        <v>282.10816074348099</v>
      </c>
      <c r="S123" s="62">
        <f ca="1">AVERAGE(OFFSET($R$3,0,0,'Données projet'!$E$9+1,1))-AVERAGE(OFFSET($H$3,0,0,'Données projet'!$E$9+1,1))</f>
        <v>196.48726929442091</v>
      </c>
      <c r="T123" s="62">
        <f t="shared" si="88"/>
        <v>193.28400454669347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4.5180688224694715E-13</v>
      </c>
      <c r="AC123" s="24">
        <f t="shared" si="57"/>
        <v>4.5180688224694715E-13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261</v>
      </c>
      <c r="AG123" s="13">
        <f>VLOOKUP(A123,'Données projet'!$A$61:$I$81,9,0)</f>
        <v>2.8</v>
      </c>
      <c r="AH123" s="13">
        <f t="array" ref="AH123">INDEX(AG:AG,MIN(IF(ISNUMBER(AG123:AG319),ROW(AG123:AG319),"")))</f>
        <v>2.8</v>
      </c>
      <c r="AI123" s="14">
        <f>IF('Données projet'!$A$62&gt;35,AI122+AH123-AQ122,IF(A123&lt;'Données projet'!$A$62,$AF$205^A123,IF(A123='Données projet'!$A$62,'Données projet'!$B$62,AI122+AH123-AQ122)))</f>
        <v>260.99999999999989</v>
      </c>
      <c r="AJ123" s="14">
        <f>AI123*VLOOKUP('Données projet'!$B$10,Paramètres!$A$1:$I$89,3,0)*VLOOKUP('Données projet'!$B$10,Paramètres!$A$1:$I$89,5,0)</f>
        <v>264.65399999999988</v>
      </c>
      <c r="AK123" s="14">
        <f t="shared" si="89"/>
        <v>63.71339601121106</v>
      </c>
      <c r="AL123" s="22">
        <f t="shared" si="58"/>
        <v>571.90654805285897</v>
      </c>
      <c r="AM123" s="62">
        <f t="shared" si="59"/>
        <v>854.01470879633553</v>
      </c>
      <c r="AN123" s="62">
        <f ca="1">AVERAGE(OFFSET($AM$3,0,0,'Données projet'!$E$10+1,1))-AVERAGE(OFFSET($H$3,0,0,'Données projet'!$E$10+1,1))</f>
        <v>414.29294334114661</v>
      </c>
      <c r="AO123" s="62">
        <f t="shared" si="90"/>
        <v>178.72086185623849</v>
      </c>
      <c r="AP123" s="16">
        <f>IF(ISNA(VLOOKUP(A123,'Données projet'!$A$61:$I$81,3,0)),0,VLOOKUP(A123,'Données projet'!$A$61:$I$81,3,0))</f>
        <v>8</v>
      </c>
      <c r="AQ123" s="16">
        <f>IF(ISNA(VLOOKUP(A123,'Données projet'!$A$61:$I$81,4,0)),0,VLOOKUP(A123,'Données projet'!$A$61:$I$81,4,0))</f>
        <v>52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261</v>
      </c>
      <c r="BB123" s="13">
        <f>VLOOKUP(A123,'Données projet'!$A$87:$I$107,9,0)</f>
        <v>2.8</v>
      </c>
      <c r="BC123" s="13">
        <f t="array" ref="BC123">INDEX(BB:BB,MIN(IF(ISNUMBER(BB123:BB319),ROW(BB123:BB319),"")))</f>
        <v>2.8</v>
      </c>
      <c r="BD123" s="13">
        <f>IF('Données projet'!$A$88&gt;35,BD122+BC123-BL122,IF(A123&lt;'Données projet'!$A$88,$BA$205^A123,IF(A123='Données projet'!$A$88,'Données projet'!$B$88,BD122+BC123-BL122)))</f>
        <v>260.99999999999989</v>
      </c>
      <c r="BE123" s="14">
        <f>BD123*VLOOKUP('Données projet'!$B$11,Paramètres!$A$1:$I$89,3,0)*VLOOKUP('Données projet'!$B$11,Paramètres!$A$1:$I$89,5,0)</f>
        <v>280.9403999999999</v>
      </c>
      <c r="BF123" s="14">
        <f t="shared" si="91"/>
        <v>67.165703636653205</v>
      </c>
      <c r="BG123" s="22">
        <f t="shared" si="61"/>
        <v>606.28479716717072</v>
      </c>
      <c r="BH123" s="62">
        <f t="shared" si="62"/>
        <v>888.39295791064728</v>
      </c>
      <c r="BI123" s="62">
        <f ca="1">AVERAGE(OFFSET($BH$3,0,0,'Données projet'!$E$11+1,1))-AVERAGE(OFFSET($H$3,0,0,'Données projet'!$E$11+1,1))</f>
        <v>434.74983403680108</v>
      </c>
      <c r="BJ123" s="62">
        <f t="shared" si="92"/>
        <v>186.0840067781198</v>
      </c>
      <c r="BK123" s="16">
        <f>IF(ISNA(VLOOKUP(A123,'Données projet'!$A$87:$I$107,3,0)),0,VLOOKUP(A123,'Données projet'!$A$87:$I$107,3,0))</f>
        <v>8</v>
      </c>
      <c r="BL123" s="16">
        <f>IF(ISNA(VLOOKUP(A123,'Données projet'!$A$87:$I$107,4,0)),0,VLOOKUP(A123,'Données projet'!$A$87:$I$107,4,0))</f>
        <v>52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1.1368683772161603E-13</v>
      </c>
      <c r="BZ123" s="14">
        <f>BY123*VLOOKUP('Données projet'!$B$12,Paramètres!$A$1:$I$89,3,0)*VLOOKUP('Données projet'!$B$12,Paramètres!$A$1:$I$89,5,0)</f>
        <v>9.7543306765146564E-14</v>
      </c>
      <c r="CA123" s="14">
        <f t="shared" si="93"/>
        <v>1.4696264278629426E-12</v>
      </c>
      <c r="CB123" s="22">
        <f t="shared" si="64"/>
        <v>2.7294872878105889E-12</v>
      </c>
      <c r="CC123" s="62">
        <f t="shared" si="65"/>
        <v>282.10816074347935</v>
      </c>
      <c r="CD123" s="62">
        <f ca="1">AVERAGE(OFFSET($CC$3,0,0,'Données projet'!$E$12+1,1))-AVERAGE(OFFSET($H$3,0,0,'Données projet'!$E$12+1,1))</f>
        <v>288.24759203983547</v>
      </c>
      <c r="CE123" s="62">
        <f t="shared" si="94"/>
        <v>188.86613033148794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1.1368683772161603E-13</v>
      </c>
      <c r="CU123" s="18">
        <f>CT123*VLOOKUP('Données projet'!$B$13,Paramètres!$A$1:$I$89,3,0)*VLOOKUP('Données projet'!$B$13,Paramètres!$A$1:$I$89,5,0)</f>
        <v>7.626113074366004E-14</v>
      </c>
      <c r="CV123" s="14">
        <f t="shared" si="95"/>
        <v>1.1823749172251317E-12</v>
      </c>
      <c r="CW123" s="22">
        <f t="shared" si="67"/>
        <v>2.1921244502123119E-12</v>
      </c>
      <c r="CX123" s="62">
        <f t="shared" si="68"/>
        <v>282.10816074347883</v>
      </c>
      <c r="CY123" s="62">
        <f ca="1">AVERAGE(OFFSET($CX$3,0,0,'Données projet'!$E$13+1,1))-AVERAGE(OFFSET($H$3,0,0,'Données projet'!$E$13+1,1))</f>
        <v>240.40157928925146</v>
      </c>
      <c r="CZ123" s="62">
        <f t="shared" si="96"/>
        <v>160.5013084380258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>
        <f>VLOOKUP(A123,'Données projet'!$A$165:$I$185,2,0)</f>
        <v>261</v>
      </c>
      <c r="DM123" s="13">
        <f>VLOOKUP(A123,'Données projet'!$A$165:$I$185,9,0)</f>
        <v>2.8</v>
      </c>
      <c r="DN123" s="13">
        <f t="array" ref="DN123">INDEX(DM:DM,MIN(IF(ISNUMBER(DM123:DM319),ROW(DM123:DM319),"")))</f>
        <v>2.8</v>
      </c>
      <c r="DO123" s="13">
        <f>IF('Données projet'!$A$166&gt;35,DO122+DN123-DW122,IF(A123&lt;'Données projet'!$A$166,$DL$205^A123,IF(A123='Données projet'!$A$166,'Données projet'!$B$166,DO122+DN123-DW122)))</f>
        <v>260.99999999999989</v>
      </c>
      <c r="DP123" s="18">
        <f>DO123*VLOOKUP('Données projet'!$B$14,Paramètres!$A$1:$I$89,3,0)*VLOOKUP('Données projet'!$B$14,Paramètres!$A$1:$I$89,5,0)</f>
        <v>252.43919999999991</v>
      </c>
      <c r="DQ123" s="14">
        <f t="shared" si="97"/>
        <v>61.107963296116218</v>
      </c>
      <c r="DR123" s="22">
        <f t="shared" si="70"/>
        <v>546.09464274073559</v>
      </c>
      <c r="DS123" s="62">
        <f t="shared" si="71"/>
        <v>828.20280348421215</v>
      </c>
      <c r="DT123" s="62">
        <f ca="1">AVERAGE(OFFSET($DS$3,0,0,'Données projet'!$E$14+1,1))-AVERAGE(OFFSET($H$3,0,0,'Données projet'!$E$14+1,1))</f>
        <v>398.93296311353788</v>
      </c>
      <c r="DU123" s="62">
        <f t="shared" si="98"/>
        <v>173.19148969173838</v>
      </c>
      <c r="DV123" s="16">
        <f>IF(ISNA(VLOOKUP(A123,'Données projet'!$A$165:$I$185,3,0)),0,VLOOKUP(A123,'Données projet'!$A$165:$I$185,3,0))</f>
        <v>8</v>
      </c>
      <c r="DW123" s="16">
        <f>IF(ISNA(VLOOKUP(A123,'Données projet'!$A$165:$I$185,4,0)),0,VLOOKUP(A123,'Données projet'!$A$165:$I$185,4,0))</f>
        <v>52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-5.6843418860808015E-14</v>
      </c>
      <c r="EK123" s="18">
        <f>EJ123*VLOOKUP('Données projet'!$B$15,Paramètres!$A$1:$I$89,3,0)*VLOOKUP('Données projet'!$B$15,Paramètres!$A$1:$I$89,5,0)</f>
        <v>-4.9658410716801891E-14</v>
      </c>
      <c r="EL123" s="14" t="e">
        <f t="shared" si="99"/>
        <v>#NUM!</v>
      </c>
      <c r="EM123" s="22" t="e">
        <f t="shared" si="73"/>
        <v>#NUM!</v>
      </c>
      <c r="EN123" s="62" t="e">
        <f t="shared" si="74"/>
        <v>#NUM!</v>
      </c>
      <c r="EO123" s="62">
        <f ca="1">AVERAGE(OFFSET($EN$3,0,0,'Données projet'!$E$15+1,1))-AVERAGE(OFFSET($H$3,0,0,'Données projet'!$E$15+1,1))</f>
        <v>226.37420733783091</v>
      </c>
      <c r="EP123" s="62">
        <f t="shared" si="100"/>
        <v>204.10961748628714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6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9">
        <f t="shared" si="56"/>
        <v>183.33333333333334</v>
      </c>
      <c r="I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2.8421709430404007E-13</v>
      </c>
      <c r="O124" s="14">
        <f>N124*VLOOKUP('Données projet'!$B$9,Paramètres!$A$1:$I$89,3,0)*VLOOKUP('Données projet'!$B$9,Paramètres!$A$1:$I$89,5,0)</f>
        <v>1.6626700016786346E-13</v>
      </c>
      <c r="P124" s="14">
        <f t="shared" si="87"/>
        <v>2.3542701735863119E-12</v>
      </c>
      <c r="Q124" s="22">
        <f t="shared" si="107"/>
        <v>4.3899355776218544E-12</v>
      </c>
      <c r="R124" s="62">
        <f t="shared" si="55"/>
        <v>282.30289239218877</v>
      </c>
      <c r="S124" s="62">
        <f ca="1">AVERAGE(OFFSET($R$3,0,0,'Données projet'!$E$9+1,1))-AVERAGE(OFFSET($H$3,0,0,'Données projet'!$E$9+1,1))</f>
        <v>196.48726929442091</v>
      </c>
      <c r="T124" s="62">
        <f t="shared" si="88"/>
        <v>193.28400454669347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3.1947571022356833E-13</v>
      </c>
      <c r="AC124" s="24">
        <f t="shared" si="57"/>
        <v>3.1947571022356833E-13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2.2000000000000002</v>
      </c>
      <c r="AI124" s="14">
        <f>IF('Données projet'!$A$62&gt;35,AI123+AH124-AQ123,IF(A124&lt;'Données projet'!$A$62,$AF$205^A124,IF(A124='Données projet'!$A$62,'Données projet'!$B$62,AI123+AH124-AQ123)))</f>
        <v>211.19999999999987</v>
      </c>
      <c r="AJ124" s="14">
        <f>AI124*VLOOKUP('Données projet'!$B$10,Paramètres!$A$1:$I$89,3,0)*VLOOKUP('Données projet'!$B$10,Paramètres!$A$1:$I$89,5,0)</f>
        <v>214.15679999999986</v>
      </c>
      <c r="AK124" s="14">
        <f t="shared" si="89"/>
        <v>52.842912248636644</v>
      </c>
      <c r="AL124" s="22">
        <f t="shared" si="58"/>
        <v>465.02449883304189</v>
      </c>
      <c r="AM124" s="62">
        <f t="shared" si="59"/>
        <v>747.32739122522628</v>
      </c>
      <c r="AN124" s="62">
        <f ca="1">AVERAGE(OFFSET($AM$3,0,0,'Données projet'!$E$10+1,1))-AVERAGE(OFFSET($H$3,0,0,'Données projet'!$E$10+1,1))</f>
        <v>414.29294334114661</v>
      </c>
      <c r="AO124" s="62">
        <f t="shared" si="90"/>
        <v>178.72086185623849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2.2000000000000002</v>
      </c>
      <c r="BD124" s="13">
        <f>IF('Données projet'!$A$88&gt;35,BD123+BC124-BL123,IF(A124&lt;'Données projet'!$A$88,$BA$205^A124,IF(A124='Données projet'!$A$88,'Données projet'!$B$88,BD123+BC124-BL123)))</f>
        <v>211.19999999999987</v>
      </c>
      <c r="BE124" s="14">
        <f>BD124*VLOOKUP('Données projet'!$B$11,Paramètres!$A$1:$I$89,3,0)*VLOOKUP('Données projet'!$B$11,Paramètres!$A$1:$I$89,5,0)</f>
        <v>227.33567999999985</v>
      </c>
      <c r="BF124" s="14">
        <f t="shared" si="91"/>
        <v>55.706203178450444</v>
      </c>
      <c r="BG124" s="22">
        <f t="shared" si="61"/>
        <v>492.96461320246755</v>
      </c>
      <c r="BH124" s="62">
        <f t="shared" si="62"/>
        <v>775.26750559465199</v>
      </c>
      <c r="BI124" s="62">
        <f ca="1">AVERAGE(OFFSET($BH$3,0,0,'Données projet'!$E$11+1,1))-AVERAGE(OFFSET($H$3,0,0,'Données projet'!$E$11+1,1))</f>
        <v>434.74983403680108</v>
      </c>
      <c r="BJ124" s="62">
        <f t="shared" si="92"/>
        <v>186.0840067781198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1.1368683772161603E-13</v>
      </c>
      <c r="BZ124" s="14">
        <f>BY124*VLOOKUP('Données projet'!$B$12,Paramètres!$A$1:$I$89,3,0)*VLOOKUP('Données projet'!$B$12,Paramètres!$A$1:$I$89,5,0)</f>
        <v>9.7543306765146564E-14</v>
      </c>
      <c r="CA124" s="14">
        <f t="shared" si="93"/>
        <v>1.4696264278629426E-12</v>
      </c>
      <c r="CB124" s="22">
        <f t="shared" si="64"/>
        <v>2.7294872878105889E-12</v>
      </c>
      <c r="CC124" s="62">
        <f t="shared" si="65"/>
        <v>282.30289239218712</v>
      </c>
      <c r="CD124" s="62">
        <f ca="1">AVERAGE(OFFSET($CC$3,0,0,'Données projet'!$E$12+1,1))-AVERAGE(OFFSET($H$3,0,0,'Données projet'!$E$12+1,1))</f>
        <v>288.24759203983547</v>
      </c>
      <c r="CE124" s="62">
        <f t="shared" si="94"/>
        <v>188.86613033148794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1.1368683772161603E-13</v>
      </c>
      <c r="CU124" s="18">
        <f>CT124*VLOOKUP('Données projet'!$B$13,Paramètres!$A$1:$I$89,3,0)*VLOOKUP('Données projet'!$B$13,Paramètres!$A$1:$I$89,5,0)</f>
        <v>7.626113074366004E-14</v>
      </c>
      <c r="CV124" s="14">
        <f t="shared" si="95"/>
        <v>1.1823749172251317E-12</v>
      </c>
      <c r="CW124" s="22">
        <f t="shared" si="67"/>
        <v>2.1921244502123119E-12</v>
      </c>
      <c r="CX124" s="62">
        <f t="shared" si="68"/>
        <v>282.30289239218661</v>
      </c>
      <c r="CY124" s="62">
        <f ca="1">AVERAGE(OFFSET($CX$3,0,0,'Données projet'!$E$13+1,1))-AVERAGE(OFFSET($H$3,0,0,'Données projet'!$E$13+1,1))</f>
        <v>240.40157928925146</v>
      </c>
      <c r="CZ124" s="62">
        <f t="shared" si="96"/>
        <v>160.5013084380258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2.2000000000000002</v>
      </c>
      <c r="DO124" s="13">
        <f>IF('Données projet'!$A$166&gt;35,DO123+DN124-DW123,IF(A124&lt;'Données projet'!$A$166,$DL$205^A124,IF(A124='Données projet'!$A$166,'Données projet'!$B$166,DO123+DN124-DW123)))</f>
        <v>211.19999999999987</v>
      </c>
      <c r="DP124" s="18">
        <f>DO124*VLOOKUP('Données projet'!$B$14,Paramètres!$A$1:$I$89,3,0)*VLOOKUP('Données projet'!$B$14,Paramètres!$A$1:$I$89,5,0)</f>
        <v>204.27263999999991</v>
      </c>
      <c r="DQ124" s="14">
        <f t="shared" si="97"/>
        <v>50.682006364585767</v>
      </c>
      <c r="DR124" s="22">
        <f t="shared" si="70"/>
        <v>444.04600908498674</v>
      </c>
      <c r="DS124" s="62">
        <f t="shared" si="71"/>
        <v>726.34890147717113</v>
      </c>
      <c r="DT124" s="62">
        <f ca="1">AVERAGE(OFFSET($DS$3,0,0,'Données projet'!$E$14+1,1))-AVERAGE(OFFSET($H$3,0,0,'Données projet'!$E$14+1,1))</f>
        <v>398.93296311353788</v>
      </c>
      <c r="DU124" s="62">
        <f t="shared" si="98"/>
        <v>173.19148969173838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-5.6843418860808015E-14</v>
      </c>
      <c r="EK124" s="18">
        <f>EJ124*VLOOKUP('Données projet'!$B$15,Paramètres!$A$1:$I$89,3,0)*VLOOKUP('Données projet'!$B$15,Paramètres!$A$1:$I$89,5,0)</f>
        <v>-4.9658410716801891E-14</v>
      </c>
      <c r="EL124" s="14" t="e">
        <f t="shared" si="99"/>
        <v>#NUM!</v>
      </c>
      <c r="EM124" s="22" t="e">
        <f t="shared" si="73"/>
        <v>#NUM!</v>
      </c>
      <c r="EN124" s="62" t="e">
        <f t="shared" si="74"/>
        <v>#NUM!</v>
      </c>
      <c r="EO124" s="62">
        <f ca="1">AVERAGE(OFFSET($EN$3,0,0,'Données projet'!$E$15+1,1))-AVERAGE(OFFSET($H$3,0,0,'Données projet'!$E$15+1,1))</f>
        <v>226.37420733783091</v>
      </c>
      <c r="EP124" s="62">
        <f t="shared" si="100"/>
        <v>204.10961748628714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6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9">
        <f t="shared" si="56"/>
        <v>183.33333333333334</v>
      </c>
      <c r="I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2.8421709430404007E-13</v>
      </c>
      <c r="O125" s="14">
        <f>N125*VLOOKUP('Données projet'!$B$9,Paramètres!$A$1:$I$89,3,0)*VLOOKUP('Données projet'!$B$9,Paramètres!$A$1:$I$89,5,0)</f>
        <v>1.6626700016786346E-13</v>
      </c>
      <c r="P125" s="14">
        <f t="shared" si="87"/>
        <v>2.3542701735863119E-12</v>
      </c>
      <c r="Q125" s="22">
        <f t="shared" si="107"/>
        <v>4.3899355776218544E-12</v>
      </c>
      <c r="R125" s="62">
        <f t="shared" si="55"/>
        <v>282.49424588214617</v>
      </c>
      <c r="S125" s="62">
        <f ca="1">AVERAGE(OFFSET($R$3,0,0,'Données projet'!$E$9+1,1))-AVERAGE(OFFSET($H$3,0,0,'Données projet'!$E$9+1,1))</f>
        <v>196.48726929442091</v>
      </c>
      <c r="T125" s="62">
        <f t="shared" si="88"/>
        <v>193.28400454669347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2.259034411234736E-13</v>
      </c>
      <c r="AC125" s="24">
        <f t="shared" si="57"/>
        <v>2.259034411234736E-13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2.2000000000000002</v>
      </c>
      <c r="AI125" s="14">
        <f>IF('Données projet'!$A$62&gt;35,AI124+AH125-AQ124,IF(A125&lt;'Données projet'!$A$62,$AF$205^A125,IF(A125='Données projet'!$A$62,'Données projet'!$B$62,AI124+AH125-AQ124)))</f>
        <v>213.39999999999986</v>
      </c>
      <c r="AJ125" s="14">
        <f>AI125*VLOOKUP('Données projet'!$B$10,Paramètres!$A$1:$I$89,3,0)*VLOOKUP('Données projet'!$B$10,Paramètres!$A$1:$I$89,5,0)</f>
        <v>216.38759999999988</v>
      </c>
      <c r="AK125" s="14">
        <f t="shared" si="89"/>
        <v>53.328993492050351</v>
      </c>
      <c r="AL125" s="22">
        <f t="shared" si="58"/>
        <v>469.75640033198738</v>
      </c>
      <c r="AM125" s="62">
        <f t="shared" si="59"/>
        <v>752.25064621412912</v>
      </c>
      <c r="AN125" s="62">
        <f ca="1">AVERAGE(OFFSET($AM$3,0,0,'Données projet'!$E$10+1,1))-AVERAGE(OFFSET($H$3,0,0,'Données projet'!$E$10+1,1))</f>
        <v>414.29294334114661</v>
      </c>
      <c r="AO125" s="62">
        <f t="shared" si="90"/>
        <v>178.72086185623849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2.2000000000000002</v>
      </c>
      <c r="BD125" s="13">
        <f>IF('Données projet'!$A$88&gt;35,BD124+BC125-BL124,IF(A125&lt;'Données projet'!$A$88,$BA$205^A125,IF(A125='Données projet'!$A$88,'Données projet'!$B$88,BD124+BC125-BL124)))</f>
        <v>213.39999999999986</v>
      </c>
      <c r="BE125" s="14">
        <f>BD125*VLOOKUP('Données projet'!$B$11,Paramètres!$A$1:$I$89,3,0)*VLOOKUP('Données projet'!$B$11,Paramètres!$A$1:$I$89,5,0)</f>
        <v>229.70375999999985</v>
      </c>
      <c r="BF125" s="14">
        <f t="shared" si="91"/>
        <v>56.218622713154197</v>
      </c>
      <c r="BG125" s="22">
        <f t="shared" si="61"/>
        <v>497.98148322540993</v>
      </c>
      <c r="BH125" s="62">
        <f t="shared" si="62"/>
        <v>780.47572910755173</v>
      </c>
      <c r="BI125" s="62">
        <f ca="1">AVERAGE(OFFSET($BH$3,0,0,'Données projet'!$E$11+1,1))-AVERAGE(OFFSET($H$3,0,0,'Données projet'!$E$11+1,1))</f>
        <v>434.74983403680108</v>
      </c>
      <c r="BJ125" s="62">
        <f t="shared" si="92"/>
        <v>186.0840067781198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1.1368683772161603E-13</v>
      </c>
      <c r="BZ125" s="14">
        <f>BY125*VLOOKUP('Données projet'!$B$12,Paramètres!$A$1:$I$89,3,0)*VLOOKUP('Données projet'!$B$12,Paramètres!$A$1:$I$89,5,0)</f>
        <v>9.7543306765146564E-14</v>
      </c>
      <c r="CA125" s="14">
        <f t="shared" si="93"/>
        <v>1.4696264278629426E-12</v>
      </c>
      <c r="CB125" s="22">
        <f t="shared" si="64"/>
        <v>2.7294872878105889E-12</v>
      </c>
      <c r="CC125" s="62">
        <f t="shared" si="65"/>
        <v>282.49424588214453</v>
      </c>
      <c r="CD125" s="62">
        <f ca="1">AVERAGE(OFFSET($CC$3,0,0,'Données projet'!$E$12+1,1))-AVERAGE(OFFSET($H$3,0,0,'Données projet'!$E$12+1,1))</f>
        <v>288.24759203983547</v>
      </c>
      <c r="CE125" s="62">
        <f t="shared" si="94"/>
        <v>188.86613033148794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1.1368683772161603E-13</v>
      </c>
      <c r="CU125" s="18">
        <f>CT125*VLOOKUP('Données projet'!$B$13,Paramètres!$A$1:$I$89,3,0)*VLOOKUP('Données projet'!$B$13,Paramètres!$A$1:$I$89,5,0)</f>
        <v>7.626113074366004E-14</v>
      </c>
      <c r="CV125" s="14">
        <f t="shared" si="95"/>
        <v>1.1823749172251317E-12</v>
      </c>
      <c r="CW125" s="22">
        <f t="shared" si="67"/>
        <v>2.1921244502123119E-12</v>
      </c>
      <c r="CX125" s="62">
        <f t="shared" si="68"/>
        <v>282.49424588214401</v>
      </c>
      <c r="CY125" s="62">
        <f ca="1">AVERAGE(OFFSET($CX$3,0,0,'Données projet'!$E$13+1,1))-AVERAGE(OFFSET($H$3,0,0,'Données projet'!$E$13+1,1))</f>
        <v>240.40157928925146</v>
      </c>
      <c r="CZ125" s="62">
        <f t="shared" si="96"/>
        <v>160.5013084380258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2.2000000000000002</v>
      </c>
      <c r="DO125" s="13">
        <f>IF('Données projet'!$A$166&gt;35,DO124+DN125-DW124,IF(A125&lt;'Données projet'!$A$166,$DL$205^A125,IF(A125='Données projet'!$A$166,'Données projet'!$B$166,DO124+DN125-DW124)))</f>
        <v>213.39999999999986</v>
      </c>
      <c r="DP125" s="18">
        <f>DO125*VLOOKUP('Données projet'!$B$14,Paramètres!$A$1:$I$89,3,0)*VLOOKUP('Données projet'!$B$14,Paramètres!$A$1:$I$89,5,0)</f>
        <v>206.40047999999987</v>
      </c>
      <c r="DQ125" s="14">
        <f t="shared" si="97"/>
        <v>51.148210281517642</v>
      </c>
      <c r="DR125" s="22">
        <f t="shared" si="70"/>
        <v>448.56396890697624</v>
      </c>
      <c r="DS125" s="62">
        <f t="shared" si="71"/>
        <v>731.05821478911798</v>
      </c>
      <c r="DT125" s="62">
        <f ca="1">AVERAGE(OFFSET($DS$3,0,0,'Données projet'!$E$14+1,1))-AVERAGE(OFFSET($H$3,0,0,'Données projet'!$E$14+1,1))</f>
        <v>398.93296311353788</v>
      </c>
      <c r="DU125" s="62">
        <f t="shared" si="98"/>
        <v>173.19148969173838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-5.6843418860808015E-14</v>
      </c>
      <c r="EK125" s="18">
        <f>EJ125*VLOOKUP('Données projet'!$B$15,Paramètres!$A$1:$I$89,3,0)*VLOOKUP('Données projet'!$B$15,Paramètres!$A$1:$I$89,5,0)</f>
        <v>-4.9658410716801891E-14</v>
      </c>
      <c r="EL125" s="14" t="e">
        <f t="shared" si="99"/>
        <v>#NUM!</v>
      </c>
      <c r="EM125" s="22" t="e">
        <f t="shared" si="73"/>
        <v>#NUM!</v>
      </c>
      <c r="EN125" s="62" t="e">
        <f t="shared" si="74"/>
        <v>#NUM!</v>
      </c>
      <c r="EO125" s="62">
        <f ca="1">AVERAGE(OFFSET($EN$3,0,0,'Données projet'!$E$15+1,1))-AVERAGE(OFFSET($H$3,0,0,'Données projet'!$E$15+1,1))</f>
        <v>226.37420733783091</v>
      </c>
      <c r="EP125" s="62">
        <f t="shared" si="100"/>
        <v>204.10961748628714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6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9">
        <f t="shared" si="56"/>
        <v>183.33333333333334</v>
      </c>
      <c r="I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2.8421709430404007E-13</v>
      </c>
      <c r="O126" s="14">
        <f>N126*VLOOKUP('Données projet'!$B$9,Paramètres!$A$1:$I$89,3,0)*VLOOKUP('Données projet'!$B$9,Paramètres!$A$1:$I$89,5,0)</f>
        <v>1.6626700016786346E-13</v>
      </c>
      <c r="P126" s="14">
        <f t="shared" si="87"/>
        <v>2.3542701735863119E-12</v>
      </c>
      <c r="Q126" s="22">
        <f t="shared" si="107"/>
        <v>4.3899355776218544E-12</v>
      </c>
      <c r="R126" s="62">
        <f t="shared" si="55"/>
        <v>282.68227981685504</v>
      </c>
      <c r="S126" s="62">
        <f ca="1">AVERAGE(OFFSET($R$3,0,0,'Données projet'!$E$9+1,1))-AVERAGE(OFFSET($H$3,0,0,'Données projet'!$E$9+1,1))</f>
        <v>196.48726929442091</v>
      </c>
      <c r="T126" s="62">
        <f t="shared" si="88"/>
        <v>193.28400454669347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1.5973785511178419E-13</v>
      </c>
      <c r="AC126" s="24">
        <f t="shared" si="57"/>
        <v>1.5973785511178419E-13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2.2000000000000002</v>
      </c>
      <c r="AI126" s="14">
        <f>IF('Données projet'!$A$62&gt;35,AI125+AH126-AQ125,IF(A126&lt;'Données projet'!$A$62,$AF$205^A126,IF(A126='Données projet'!$A$62,'Données projet'!$B$62,AI125+AH126-AQ125)))</f>
        <v>215.59999999999985</v>
      </c>
      <c r="AJ126" s="14">
        <f>AI126*VLOOKUP('Données projet'!$B$10,Paramètres!$A$1:$I$89,3,0)*VLOOKUP('Données projet'!$B$10,Paramètres!$A$1:$I$89,5,0)</f>
        <v>218.61839999999987</v>
      </c>
      <c r="AK126" s="14">
        <f t="shared" si="89"/>
        <v>53.81449177688954</v>
      </c>
      <c r="AL126" s="22">
        <f t="shared" si="58"/>
        <v>474.48728651141568</v>
      </c>
      <c r="AM126" s="62">
        <f t="shared" si="59"/>
        <v>757.16956632826634</v>
      </c>
      <c r="AN126" s="62">
        <f ca="1">AVERAGE(OFFSET($AM$3,0,0,'Données projet'!$E$10+1,1))-AVERAGE(OFFSET($H$3,0,0,'Données projet'!$E$10+1,1))</f>
        <v>414.29294334114661</v>
      </c>
      <c r="AO126" s="62">
        <f t="shared" si="90"/>
        <v>178.72086185623849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2.2000000000000002</v>
      </c>
      <c r="BD126" s="13">
        <f>IF('Données projet'!$A$88&gt;35,BD125+BC126-BL125,IF(A126&lt;'Données projet'!$A$88,$BA$205^A126,IF(A126='Données projet'!$A$88,'Données projet'!$B$88,BD125+BC126-BL125)))</f>
        <v>215.59999999999985</v>
      </c>
      <c r="BE126" s="14">
        <f>BD126*VLOOKUP('Données projet'!$B$11,Paramètres!$A$1:$I$89,3,0)*VLOOKUP('Données projet'!$B$11,Paramètres!$A$1:$I$89,5,0)</f>
        <v>232.07183999999984</v>
      </c>
      <c r="BF126" s="14">
        <f t="shared" si="91"/>
        <v>56.730427701698119</v>
      </c>
      <c r="BG126" s="22">
        <f t="shared" si="61"/>
        <v>502.99728291379057</v>
      </c>
      <c r="BH126" s="62">
        <f t="shared" si="62"/>
        <v>785.67956273064124</v>
      </c>
      <c r="BI126" s="62">
        <f ca="1">AVERAGE(OFFSET($BH$3,0,0,'Données projet'!$E$11+1,1))-AVERAGE(OFFSET($H$3,0,0,'Données projet'!$E$11+1,1))</f>
        <v>434.74983403680108</v>
      </c>
      <c r="BJ126" s="62">
        <f t="shared" si="92"/>
        <v>186.0840067781198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1.1368683772161603E-13</v>
      </c>
      <c r="BZ126" s="14">
        <f>BY126*VLOOKUP('Données projet'!$B$12,Paramètres!$A$1:$I$89,3,0)*VLOOKUP('Données projet'!$B$12,Paramètres!$A$1:$I$89,5,0)</f>
        <v>9.7543306765146564E-14</v>
      </c>
      <c r="CA126" s="14">
        <f t="shared" si="93"/>
        <v>1.4696264278629426E-12</v>
      </c>
      <c r="CB126" s="22">
        <f t="shared" si="64"/>
        <v>2.7294872878105889E-12</v>
      </c>
      <c r="CC126" s="62">
        <f t="shared" si="65"/>
        <v>282.6822798168534</v>
      </c>
      <c r="CD126" s="62">
        <f ca="1">AVERAGE(OFFSET($CC$3,0,0,'Données projet'!$E$12+1,1))-AVERAGE(OFFSET($H$3,0,0,'Données projet'!$E$12+1,1))</f>
        <v>288.24759203983547</v>
      </c>
      <c r="CE126" s="62">
        <f t="shared" si="94"/>
        <v>188.86613033148794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1.1368683772161603E-13</v>
      </c>
      <c r="CU126" s="18">
        <f>CT126*VLOOKUP('Données projet'!$B$13,Paramètres!$A$1:$I$89,3,0)*VLOOKUP('Données projet'!$B$13,Paramètres!$A$1:$I$89,5,0)</f>
        <v>7.626113074366004E-14</v>
      </c>
      <c r="CV126" s="14">
        <f t="shared" si="95"/>
        <v>1.1823749172251317E-12</v>
      </c>
      <c r="CW126" s="22">
        <f t="shared" si="67"/>
        <v>2.1921244502123119E-12</v>
      </c>
      <c r="CX126" s="62">
        <f t="shared" si="68"/>
        <v>282.68227981685288</v>
      </c>
      <c r="CY126" s="62">
        <f ca="1">AVERAGE(OFFSET($CX$3,0,0,'Données projet'!$E$13+1,1))-AVERAGE(OFFSET($H$3,0,0,'Données projet'!$E$13+1,1))</f>
        <v>240.40157928925146</v>
      </c>
      <c r="CZ126" s="62">
        <f t="shared" si="96"/>
        <v>160.5013084380258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2.2000000000000002</v>
      </c>
      <c r="DO126" s="13">
        <f>IF('Données projet'!$A$166&gt;35,DO125+DN126-DW125,IF(A126&lt;'Données projet'!$A$166,$DL$205^A126,IF(A126='Données projet'!$A$166,'Données projet'!$B$166,DO125+DN126-DW125)))</f>
        <v>215.59999999999985</v>
      </c>
      <c r="DP126" s="18">
        <f>DO126*VLOOKUP('Données projet'!$B$14,Paramètres!$A$1:$I$89,3,0)*VLOOKUP('Données projet'!$B$14,Paramètres!$A$1:$I$89,5,0)</f>
        <v>208.52831999999987</v>
      </c>
      <c r="DQ126" s="14">
        <f t="shared" si="97"/>
        <v>51.613855078807369</v>
      </c>
      <c r="DR126" s="22">
        <f t="shared" si="70"/>
        <v>453.08095492892249</v>
      </c>
      <c r="DS126" s="62">
        <f t="shared" si="71"/>
        <v>735.76323474577316</v>
      </c>
      <c r="DT126" s="62">
        <f ca="1">AVERAGE(OFFSET($DS$3,0,0,'Données projet'!$E$14+1,1))-AVERAGE(OFFSET($H$3,0,0,'Données projet'!$E$14+1,1))</f>
        <v>398.93296311353788</v>
      </c>
      <c r="DU126" s="62">
        <f t="shared" si="98"/>
        <v>173.19148969173838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-5.6843418860808015E-14</v>
      </c>
      <c r="EK126" s="18">
        <f>EJ126*VLOOKUP('Données projet'!$B$15,Paramètres!$A$1:$I$89,3,0)*VLOOKUP('Données projet'!$B$15,Paramètres!$A$1:$I$89,5,0)</f>
        <v>-4.9658410716801891E-14</v>
      </c>
      <c r="EL126" s="14" t="e">
        <f t="shared" si="99"/>
        <v>#NUM!</v>
      </c>
      <c r="EM126" s="22" t="e">
        <f t="shared" si="73"/>
        <v>#NUM!</v>
      </c>
      <c r="EN126" s="62" t="e">
        <f t="shared" si="74"/>
        <v>#NUM!</v>
      </c>
      <c r="EO126" s="62">
        <f ca="1">AVERAGE(OFFSET($EN$3,0,0,'Données projet'!$E$15+1,1))-AVERAGE(OFFSET($H$3,0,0,'Données projet'!$E$15+1,1))</f>
        <v>226.37420733783091</v>
      </c>
      <c r="EP126" s="62">
        <f t="shared" si="100"/>
        <v>204.10961748628714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6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9">
        <f t="shared" si="56"/>
        <v>183.33333333333334</v>
      </c>
      <c r="I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2.8421709430404007E-13</v>
      </c>
      <c r="O127" s="14">
        <f>N127*VLOOKUP('Données projet'!$B$9,Paramètres!$A$1:$I$89,3,0)*VLOOKUP('Données projet'!$B$9,Paramètres!$A$1:$I$89,5,0)</f>
        <v>1.6626700016786346E-13</v>
      </c>
      <c r="P127" s="14">
        <f t="shared" si="87"/>
        <v>2.3542701735863119E-12</v>
      </c>
      <c r="Q127" s="22">
        <f t="shared" si="107"/>
        <v>4.3899355776218544E-12</v>
      </c>
      <c r="R127" s="62">
        <f t="shared" si="55"/>
        <v>282.86705178317771</v>
      </c>
      <c r="S127" s="62">
        <f ca="1">AVERAGE(OFFSET($R$3,0,0,'Données projet'!$E$9+1,1))-AVERAGE(OFFSET($H$3,0,0,'Données projet'!$E$9+1,1))</f>
        <v>196.48726929442091</v>
      </c>
      <c r="T127" s="62">
        <f t="shared" si="88"/>
        <v>193.28400454669347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1.1295172056173683E-13</v>
      </c>
      <c r="AC127" s="24">
        <f t="shared" si="57"/>
        <v>1.1295172056173683E-13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2.2000000000000002</v>
      </c>
      <c r="AI127" s="14">
        <f>IF('Données projet'!$A$62&gt;35,AI126+AH127-AQ126,IF(A127&lt;'Données projet'!$A$62,$AF$205^A127,IF(A127='Données projet'!$A$62,'Données projet'!$B$62,AI126+AH127-AQ126)))</f>
        <v>217.79999999999984</v>
      </c>
      <c r="AJ127" s="14">
        <f>AI127*VLOOKUP('Données projet'!$B$10,Paramètres!$A$1:$I$89,3,0)*VLOOKUP('Données projet'!$B$10,Paramètres!$A$1:$I$89,5,0)</f>
        <v>220.84919999999985</v>
      </c>
      <c r="AK127" s="14">
        <f t="shared" si="89"/>
        <v>54.299413740412206</v>
      </c>
      <c r="AL127" s="22">
        <f t="shared" si="58"/>
        <v>479.21716893121766</v>
      </c>
      <c r="AM127" s="62">
        <f t="shared" si="59"/>
        <v>762.08422071439099</v>
      </c>
      <c r="AN127" s="62">
        <f ca="1">AVERAGE(OFFSET($AM$3,0,0,'Données projet'!$E$10+1,1))-AVERAGE(OFFSET($H$3,0,0,'Données projet'!$E$10+1,1))</f>
        <v>414.29294334114661</v>
      </c>
      <c r="AO127" s="62">
        <f t="shared" si="90"/>
        <v>178.72086185623849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2.2000000000000002</v>
      </c>
      <c r="BD127" s="13">
        <f>IF('Données projet'!$A$88&gt;35,BD126+BC127-BL126,IF(A127&lt;'Données projet'!$A$88,$BA$205^A127,IF(A127='Données projet'!$A$88,'Données projet'!$B$88,BD126+BC127-BL126)))</f>
        <v>217.79999999999984</v>
      </c>
      <c r="BE127" s="14">
        <f>BD127*VLOOKUP('Données projet'!$B$11,Paramètres!$A$1:$I$89,3,0)*VLOOKUP('Données projet'!$B$11,Paramètres!$A$1:$I$89,5,0)</f>
        <v>234.4399199999998</v>
      </c>
      <c r="BF127" s="14">
        <f t="shared" si="91"/>
        <v>57.24162514097975</v>
      </c>
      <c r="BG127" s="22">
        <f t="shared" si="61"/>
        <v>508.0120244538727</v>
      </c>
      <c r="BH127" s="62">
        <f t="shared" si="62"/>
        <v>790.87907623704609</v>
      </c>
      <c r="BI127" s="62">
        <f ca="1">AVERAGE(OFFSET($BH$3,0,0,'Données projet'!$E$11+1,1))-AVERAGE(OFFSET($H$3,0,0,'Données projet'!$E$11+1,1))</f>
        <v>434.74983403680108</v>
      </c>
      <c r="BJ127" s="62">
        <f t="shared" si="92"/>
        <v>186.0840067781198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1.1368683772161603E-13</v>
      </c>
      <c r="BZ127" s="14">
        <f>BY127*VLOOKUP('Données projet'!$B$12,Paramètres!$A$1:$I$89,3,0)*VLOOKUP('Données projet'!$B$12,Paramètres!$A$1:$I$89,5,0)</f>
        <v>9.7543306765146564E-14</v>
      </c>
      <c r="CA127" s="14">
        <f t="shared" si="93"/>
        <v>1.4696264278629426E-12</v>
      </c>
      <c r="CB127" s="22">
        <f t="shared" si="64"/>
        <v>2.7294872878105889E-12</v>
      </c>
      <c r="CC127" s="62">
        <f t="shared" si="65"/>
        <v>282.86705178317607</v>
      </c>
      <c r="CD127" s="62">
        <f ca="1">AVERAGE(OFFSET($CC$3,0,0,'Données projet'!$E$12+1,1))-AVERAGE(OFFSET($H$3,0,0,'Données projet'!$E$12+1,1))</f>
        <v>288.24759203983547</v>
      </c>
      <c r="CE127" s="62">
        <f t="shared" si="94"/>
        <v>188.86613033148794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1.1368683772161603E-13</v>
      </c>
      <c r="CU127" s="18">
        <f>CT127*VLOOKUP('Données projet'!$B$13,Paramètres!$A$1:$I$89,3,0)*VLOOKUP('Données projet'!$B$13,Paramètres!$A$1:$I$89,5,0)</f>
        <v>7.626113074366004E-14</v>
      </c>
      <c r="CV127" s="14">
        <f t="shared" si="95"/>
        <v>1.1823749172251317E-12</v>
      </c>
      <c r="CW127" s="22">
        <f t="shared" si="67"/>
        <v>2.1921244502123119E-12</v>
      </c>
      <c r="CX127" s="62">
        <f t="shared" si="68"/>
        <v>282.86705178317555</v>
      </c>
      <c r="CY127" s="62">
        <f ca="1">AVERAGE(OFFSET($CX$3,0,0,'Données projet'!$E$13+1,1))-AVERAGE(OFFSET($H$3,0,0,'Données projet'!$E$13+1,1))</f>
        <v>240.40157928925146</v>
      </c>
      <c r="CZ127" s="62">
        <f t="shared" si="96"/>
        <v>160.5013084380258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2.2000000000000002</v>
      </c>
      <c r="DO127" s="13">
        <f>IF('Données projet'!$A$166&gt;35,DO126+DN127-DW126,IF(A127&lt;'Données projet'!$A$166,$DL$205^A127,IF(A127='Données projet'!$A$166,'Données projet'!$B$166,DO126+DN127-DW126)))</f>
        <v>217.79999999999984</v>
      </c>
      <c r="DP127" s="18">
        <f>DO127*VLOOKUP('Données projet'!$B$14,Paramètres!$A$1:$I$89,3,0)*VLOOKUP('Données projet'!$B$14,Paramètres!$A$1:$I$89,5,0)</f>
        <v>210.65615999999983</v>
      </c>
      <c r="DQ127" s="14">
        <f t="shared" si="97"/>
        <v>52.078947122295475</v>
      </c>
      <c r="DR127" s="22">
        <f t="shared" si="70"/>
        <v>457.59697823799758</v>
      </c>
      <c r="DS127" s="62">
        <f t="shared" si="71"/>
        <v>740.46403002117086</v>
      </c>
      <c r="DT127" s="62">
        <f ca="1">AVERAGE(OFFSET($DS$3,0,0,'Données projet'!$E$14+1,1))-AVERAGE(OFFSET($H$3,0,0,'Données projet'!$E$14+1,1))</f>
        <v>398.93296311353788</v>
      </c>
      <c r="DU127" s="62">
        <f t="shared" si="98"/>
        <v>173.19148969173838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-5.6843418860808015E-14</v>
      </c>
      <c r="EK127" s="18">
        <f>EJ127*VLOOKUP('Données projet'!$B$15,Paramètres!$A$1:$I$89,3,0)*VLOOKUP('Données projet'!$B$15,Paramètres!$A$1:$I$89,5,0)</f>
        <v>-4.9658410716801891E-14</v>
      </c>
      <c r="EL127" s="14" t="e">
        <f t="shared" si="99"/>
        <v>#NUM!</v>
      </c>
      <c r="EM127" s="22" t="e">
        <f t="shared" si="73"/>
        <v>#NUM!</v>
      </c>
      <c r="EN127" s="62" t="e">
        <f t="shared" si="74"/>
        <v>#NUM!</v>
      </c>
      <c r="EO127" s="62">
        <f ca="1">AVERAGE(OFFSET($EN$3,0,0,'Données projet'!$E$15+1,1))-AVERAGE(OFFSET($H$3,0,0,'Données projet'!$E$15+1,1))</f>
        <v>226.37420733783091</v>
      </c>
      <c r="EP127" s="62">
        <f t="shared" si="100"/>
        <v>204.10961748628714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6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9">
        <f t="shared" si="56"/>
        <v>183.33333333333334</v>
      </c>
      <c r="I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2.8421709430404007E-13</v>
      </c>
      <c r="O128" s="14">
        <f>N128*VLOOKUP('Données projet'!$B$9,Paramètres!$A$1:$I$89,3,0)*VLOOKUP('Données projet'!$B$9,Paramètres!$A$1:$I$89,5,0)</f>
        <v>1.6626700016786346E-13</v>
      </c>
      <c r="P128" s="14">
        <f t="shared" si="87"/>
        <v>2.3542701735863119E-12</v>
      </c>
      <c r="Q128" s="22">
        <f t="shared" si="107"/>
        <v>4.3899355776218544E-12</v>
      </c>
      <c r="R128" s="62">
        <f t="shared" si="55"/>
        <v>283.04861836897288</v>
      </c>
      <c r="S128" s="62">
        <f ca="1">AVERAGE(OFFSET($R$3,0,0,'Données projet'!$E$9+1,1))-AVERAGE(OFFSET($H$3,0,0,'Données projet'!$E$9+1,1))</f>
        <v>196.48726929442091</v>
      </c>
      <c r="T128" s="62">
        <f t="shared" si="88"/>
        <v>193.28400454669347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7.9868927555892107E-14</v>
      </c>
      <c r="AC128" s="24">
        <f t="shared" si="57"/>
        <v>7.9868927555892107E-14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2.2000000000000002</v>
      </c>
      <c r="AI128" s="14">
        <f>IF('Données projet'!$A$62&gt;35,AI127+AH128-AQ127,IF(A128&lt;'Données projet'!$A$62,$AF$205^A128,IF(A128='Données projet'!$A$62,'Données projet'!$B$62,AI127+AH128-AQ127)))</f>
        <v>219.99999999999983</v>
      </c>
      <c r="AJ128" s="14">
        <f>AI128*VLOOKUP('Données projet'!$B$10,Paramètres!$A$1:$I$89,3,0)*VLOOKUP('Données projet'!$B$10,Paramètres!$A$1:$I$89,5,0)</f>
        <v>223.07999999999984</v>
      </c>
      <c r="AK128" s="14">
        <f t="shared" si="89"/>
        <v>54.783765878062617</v>
      </c>
      <c r="AL128" s="22">
        <f t="shared" si="58"/>
        <v>483.94605890429216</v>
      </c>
      <c r="AM128" s="62">
        <f t="shared" si="59"/>
        <v>766.99467727326066</v>
      </c>
      <c r="AN128" s="62">
        <f ca="1">AVERAGE(OFFSET($AM$3,0,0,'Données projet'!$E$10+1,1))-AVERAGE(OFFSET($H$3,0,0,'Données projet'!$E$10+1,1))</f>
        <v>414.29294334114661</v>
      </c>
      <c r="AO128" s="62">
        <f t="shared" si="90"/>
        <v>178.72086185623849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2.2000000000000002</v>
      </c>
      <c r="BD128" s="13">
        <f>IF('Données projet'!$A$88&gt;35,BD127+BC128-BL127,IF(A128&lt;'Données projet'!$A$88,$BA$205^A128,IF(A128='Données projet'!$A$88,'Données projet'!$B$88,BD127+BC128-BL127)))</f>
        <v>219.99999999999983</v>
      </c>
      <c r="BE128" s="14">
        <f>BD128*VLOOKUP('Données projet'!$B$11,Paramètres!$A$1:$I$89,3,0)*VLOOKUP('Données projet'!$B$11,Paramètres!$A$1:$I$89,5,0)</f>
        <v>236.80799999999979</v>
      </c>
      <c r="BF128" s="14">
        <f t="shared" si="91"/>
        <v>57.752221878398714</v>
      </c>
      <c r="BG128" s="22">
        <f t="shared" si="61"/>
        <v>513.02571977154412</v>
      </c>
      <c r="BH128" s="62">
        <f t="shared" si="62"/>
        <v>796.07433814051262</v>
      </c>
      <c r="BI128" s="62">
        <f ca="1">AVERAGE(OFFSET($BH$3,0,0,'Données projet'!$E$11+1,1))-AVERAGE(OFFSET($H$3,0,0,'Données projet'!$E$11+1,1))</f>
        <v>434.74983403680108</v>
      </c>
      <c r="BJ128" s="62">
        <f t="shared" si="92"/>
        <v>186.0840067781198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1.1368683772161603E-13</v>
      </c>
      <c r="BZ128" s="14">
        <f>BY128*VLOOKUP('Données projet'!$B$12,Paramètres!$A$1:$I$89,3,0)*VLOOKUP('Données projet'!$B$12,Paramètres!$A$1:$I$89,5,0)</f>
        <v>9.7543306765146564E-14</v>
      </c>
      <c r="CA128" s="14">
        <f t="shared" si="93"/>
        <v>1.4696264278629426E-12</v>
      </c>
      <c r="CB128" s="22">
        <f t="shared" si="64"/>
        <v>2.7294872878105889E-12</v>
      </c>
      <c r="CC128" s="62">
        <f t="shared" si="65"/>
        <v>283.04861836897123</v>
      </c>
      <c r="CD128" s="62">
        <f ca="1">AVERAGE(OFFSET($CC$3,0,0,'Données projet'!$E$12+1,1))-AVERAGE(OFFSET($H$3,0,0,'Données projet'!$E$12+1,1))</f>
        <v>288.24759203983547</v>
      </c>
      <c r="CE128" s="62">
        <f t="shared" si="94"/>
        <v>188.86613033148794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1.1368683772161603E-13</v>
      </c>
      <c r="CU128" s="18">
        <f>CT128*VLOOKUP('Données projet'!$B$13,Paramètres!$A$1:$I$89,3,0)*VLOOKUP('Données projet'!$B$13,Paramètres!$A$1:$I$89,5,0)</f>
        <v>7.626113074366004E-14</v>
      </c>
      <c r="CV128" s="14">
        <f t="shared" si="95"/>
        <v>1.1823749172251317E-12</v>
      </c>
      <c r="CW128" s="22">
        <f t="shared" si="67"/>
        <v>2.1921244502123119E-12</v>
      </c>
      <c r="CX128" s="62">
        <f t="shared" si="68"/>
        <v>283.04861836897072</v>
      </c>
      <c r="CY128" s="62">
        <f ca="1">AVERAGE(OFFSET($CX$3,0,0,'Données projet'!$E$13+1,1))-AVERAGE(OFFSET($H$3,0,0,'Données projet'!$E$13+1,1))</f>
        <v>240.40157928925146</v>
      </c>
      <c r="CZ128" s="62">
        <f t="shared" si="96"/>
        <v>160.5013084380258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2.2000000000000002</v>
      </c>
      <c r="DO128" s="13">
        <f>IF('Données projet'!$A$166&gt;35,DO127+DN128-DW127,IF(A128&lt;'Données projet'!$A$166,$DL$205^A128,IF(A128='Données projet'!$A$166,'Données projet'!$B$166,DO127+DN128-DW127)))</f>
        <v>219.99999999999983</v>
      </c>
      <c r="DP128" s="18">
        <f>DO128*VLOOKUP('Données projet'!$B$14,Paramètres!$A$1:$I$89,3,0)*VLOOKUP('Données projet'!$B$14,Paramètres!$A$1:$I$89,5,0)</f>
        <v>212.78399999999985</v>
      </c>
      <c r="DQ128" s="14">
        <f t="shared" si="97"/>
        <v>52.543492641808065</v>
      </c>
      <c r="DR128" s="22">
        <f t="shared" si="70"/>
        <v>462.11204968448209</v>
      </c>
      <c r="DS128" s="62">
        <f t="shared" si="71"/>
        <v>745.16066805345054</v>
      </c>
      <c r="DT128" s="62">
        <f ca="1">AVERAGE(OFFSET($DS$3,0,0,'Données projet'!$E$14+1,1))-AVERAGE(OFFSET($H$3,0,0,'Données projet'!$E$14+1,1))</f>
        <v>398.93296311353788</v>
      </c>
      <c r="DU128" s="62">
        <f t="shared" si="98"/>
        <v>173.19148969173838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-5.6843418860808015E-14</v>
      </c>
      <c r="EK128" s="18">
        <f>EJ128*VLOOKUP('Données projet'!$B$15,Paramètres!$A$1:$I$89,3,0)*VLOOKUP('Données projet'!$B$15,Paramètres!$A$1:$I$89,5,0)</f>
        <v>-4.9658410716801891E-14</v>
      </c>
      <c r="EL128" s="14" t="e">
        <f t="shared" si="99"/>
        <v>#NUM!</v>
      </c>
      <c r="EM128" s="22" t="e">
        <f t="shared" si="73"/>
        <v>#NUM!</v>
      </c>
      <c r="EN128" s="62" t="e">
        <f t="shared" si="74"/>
        <v>#NUM!</v>
      </c>
      <c r="EO128" s="62">
        <f ca="1">AVERAGE(OFFSET($EN$3,0,0,'Données projet'!$E$15+1,1))-AVERAGE(OFFSET($H$3,0,0,'Données projet'!$E$15+1,1))</f>
        <v>226.37420733783091</v>
      </c>
      <c r="EP128" s="62">
        <f t="shared" si="100"/>
        <v>204.10961748628714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6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9">
        <f t="shared" si="56"/>
        <v>183.33333333333334</v>
      </c>
      <c r="I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2.8421709430404007E-13</v>
      </c>
      <c r="O129" s="14">
        <f>N129*VLOOKUP('Données projet'!$B$9,Paramètres!$A$1:$I$89,3,0)*VLOOKUP('Données projet'!$B$9,Paramètres!$A$1:$I$89,5,0)</f>
        <v>1.6626700016786346E-13</v>
      </c>
      <c r="P129" s="14">
        <f t="shared" si="87"/>
        <v>2.3542701735863119E-12</v>
      </c>
      <c r="Q129" s="22">
        <f t="shared" si="107"/>
        <v>4.3899355776218544E-12</v>
      </c>
      <c r="R129" s="62">
        <f t="shared" si="55"/>
        <v>283.22703518042658</v>
      </c>
      <c r="S129" s="62">
        <f ca="1">AVERAGE(OFFSET($R$3,0,0,'Données projet'!$E$9+1,1))-AVERAGE(OFFSET($H$3,0,0,'Données projet'!$E$9+1,1))</f>
        <v>196.48726929442091</v>
      </c>
      <c r="T129" s="62">
        <f t="shared" si="88"/>
        <v>193.28400454669347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5.6475860280868419E-14</v>
      </c>
      <c r="AC129" s="24">
        <f t="shared" si="57"/>
        <v>5.6475860280868419E-14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2.2000000000000002</v>
      </c>
      <c r="AI129" s="14">
        <f>IF('Données projet'!$A$62&gt;35,AI128+AH129-AQ128,IF(A129&lt;'Données projet'!$A$62,$AF$205^A129,IF(A129='Données projet'!$A$62,'Données projet'!$B$62,AI128+AH129-AQ128)))</f>
        <v>222.19999999999982</v>
      </c>
      <c r="AJ129" s="14">
        <f>AI129*VLOOKUP('Données projet'!$B$10,Paramètres!$A$1:$I$89,3,0)*VLOOKUP('Données projet'!$B$10,Paramètres!$A$1:$I$89,5,0)</f>
        <v>225.31079999999983</v>
      </c>
      <c r="AK129" s="14">
        <f t="shared" si="89"/>
        <v>55.267554547888764</v>
      </c>
      <c r="AL129" s="22">
        <f t="shared" si="58"/>
        <v>488.67396750423922</v>
      </c>
      <c r="AM129" s="62">
        <f t="shared" si="59"/>
        <v>771.90100268466142</v>
      </c>
      <c r="AN129" s="62">
        <f ca="1">AVERAGE(OFFSET($AM$3,0,0,'Données projet'!$E$10+1,1))-AVERAGE(OFFSET($H$3,0,0,'Données projet'!$E$10+1,1))</f>
        <v>414.29294334114661</v>
      </c>
      <c r="AO129" s="62">
        <f t="shared" si="90"/>
        <v>178.72086185623849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2.2000000000000002</v>
      </c>
      <c r="BD129" s="13">
        <f>IF('Données projet'!$A$88&gt;35,BD128+BC129-BL128,IF(A129&lt;'Données projet'!$A$88,$BA$205^A129,IF(A129='Données projet'!$A$88,'Données projet'!$B$88,BD128+BC129-BL128)))</f>
        <v>222.19999999999982</v>
      </c>
      <c r="BE129" s="14">
        <f>BD129*VLOOKUP('Données projet'!$B$11,Paramètres!$A$1:$I$89,3,0)*VLOOKUP('Données projet'!$B$11,Paramètres!$A$1:$I$89,5,0)</f>
        <v>239.17607999999981</v>
      </c>
      <c r="BF129" s="14">
        <f t="shared" si="91"/>
        <v>58.262224616513564</v>
      </c>
      <c r="BG129" s="22">
        <f t="shared" si="61"/>
        <v>518.03838054042751</v>
      </c>
      <c r="BH129" s="62">
        <f t="shared" si="62"/>
        <v>801.26541572084966</v>
      </c>
      <c r="BI129" s="62">
        <f ca="1">AVERAGE(OFFSET($BH$3,0,0,'Données projet'!$E$11+1,1))-AVERAGE(OFFSET($H$3,0,0,'Données projet'!$E$11+1,1))</f>
        <v>434.74983403680108</v>
      </c>
      <c r="BJ129" s="62">
        <f t="shared" si="92"/>
        <v>186.0840067781198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1.1368683772161603E-13</v>
      </c>
      <c r="BZ129" s="14">
        <f>BY129*VLOOKUP('Données projet'!$B$12,Paramètres!$A$1:$I$89,3,0)*VLOOKUP('Données projet'!$B$12,Paramètres!$A$1:$I$89,5,0)</f>
        <v>9.7543306765146564E-14</v>
      </c>
      <c r="CA129" s="14">
        <f t="shared" si="93"/>
        <v>1.4696264278629426E-12</v>
      </c>
      <c r="CB129" s="22">
        <f t="shared" si="64"/>
        <v>2.7294872878105889E-12</v>
      </c>
      <c r="CC129" s="62">
        <f t="shared" si="65"/>
        <v>283.22703518042493</v>
      </c>
      <c r="CD129" s="62">
        <f ca="1">AVERAGE(OFFSET($CC$3,0,0,'Données projet'!$E$12+1,1))-AVERAGE(OFFSET($H$3,0,0,'Données projet'!$E$12+1,1))</f>
        <v>288.24759203983547</v>
      </c>
      <c r="CE129" s="62">
        <f t="shared" si="94"/>
        <v>188.86613033148794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1.1368683772161603E-13</v>
      </c>
      <c r="CU129" s="18">
        <f>CT129*VLOOKUP('Données projet'!$B$13,Paramètres!$A$1:$I$89,3,0)*VLOOKUP('Données projet'!$B$13,Paramètres!$A$1:$I$89,5,0)</f>
        <v>7.626113074366004E-14</v>
      </c>
      <c r="CV129" s="14">
        <f t="shared" si="95"/>
        <v>1.1823749172251317E-12</v>
      </c>
      <c r="CW129" s="22">
        <f t="shared" si="67"/>
        <v>2.1921244502123119E-12</v>
      </c>
      <c r="CX129" s="62">
        <f t="shared" si="68"/>
        <v>283.22703518042442</v>
      </c>
      <c r="CY129" s="62">
        <f ca="1">AVERAGE(OFFSET($CX$3,0,0,'Données projet'!$E$13+1,1))-AVERAGE(OFFSET($H$3,0,0,'Données projet'!$E$13+1,1))</f>
        <v>240.40157928925146</v>
      </c>
      <c r="CZ129" s="62">
        <f t="shared" si="96"/>
        <v>160.5013084380258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2.2000000000000002</v>
      </c>
      <c r="DO129" s="13">
        <f>IF('Données projet'!$A$166&gt;35,DO128+DN129-DW128,IF(A129&lt;'Données projet'!$A$166,$DL$205^A129,IF(A129='Données projet'!$A$166,'Données projet'!$B$166,DO128+DN129-DW128)))</f>
        <v>222.19999999999982</v>
      </c>
      <c r="DP129" s="18">
        <f>DO129*VLOOKUP('Données projet'!$B$14,Paramètres!$A$1:$I$89,3,0)*VLOOKUP('Données projet'!$B$14,Paramètres!$A$1:$I$89,5,0)</f>
        <v>214.91183999999984</v>
      </c>
      <c r="DQ129" s="14">
        <f t="shared" si="97"/>
        <v>53.007497735393265</v>
      </c>
      <c r="DR129" s="22">
        <f t="shared" si="70"/>
        <v>466.62617988914303</v>
      </c>
      <c r="DS129" s="62">
        <f t="shared" si="71"/>
        <v>749.85321506956529</v>
      </c>
      <c r="DT129" s="62">
        <f ca="1">AVERAGE(OFFSET($DS$3,0,0,'Données projet'!$E$14+1,1))-AVERAGE(OFFSET($H$3,0,0,'Données projet'!$E$14+1,1))</f>
        <v>398.93296311353788</v>
      </c>
      <c r="DU129" s="62">
        <f t="shared" si="98"/>
        <v>173.19148969173838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-5.6843418860808015E-14</v>
      </c>
      <c r="EK129" s="18">
        <f>EJ129*VLOOKUP('Données projet'!$B$15,Paramètres!$A$1:$I$89,3,0)*VLOOKUP('Données projet'!$B$15,Paramètres!$A$1:$I$89,5,0)</f>
        <v>-4.9658410716801891E-14</v>
      </c>
      <c r="EL129" s="14" t="e">
        <f t="shared" si="99"/>
        <v>#NUM!</v>
      </c>
      <c r="EM129" s="22" t="e">
        <f t="shared" si="73"/>
        <v>#NUM!</v>
      </c>
      <c r="EN129" s="62" t="e">
        <f t="shared" si="74"/>
        <v>#NUM!</v>
      </c>
      <c r="EO129" s="62">
        <f ca="1">AVERAGE(OFFSET($EN$3,0,0,'Données projet'!$E$15+1,1))-AVERAGE(OFFSET($H$3,0,0,'Données projet'!$E$15+1,1))</f>
        <v>226.37420733783091</v>
      </c>
      <c r="EP129" s="62">
        <f t="shared" si="100"/>
        <v>204.10961748628714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6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9">
        <f t="shared" si="56"/>
        <v>183.33333333333334</v>
      </c>
      <c r="I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2.8421709430404007E-13</v>
      </c>
      <c r="O130" s="14">
        <f>N130*VLOOKUP('Données projet'!$B$9,Paramètres!$A$1:$I$89,3,0)*VLOOKUP('Données projet'!$B$9,Paramètres!$A$1:$I$89,5,0)</f>
        <v>1.6626700016786346E-13</v>
      </c>
      <c r="P130" s="14">
        <f t="shared" si="87"/>
        <v>2.3542701735863119E-12</v>
      </c>
      <c r="Q130" s="22">
        <f t="shared" si="107"/>
        <v>4.3899355776218544E-12</v>
      </c>
      <c r="R130" s="62">
        <f t="shared" si="55"/>
        <v>283.40235685908181</v>
      </c>
      <c r="S130" s="62">
        <f ca="1">AVERAGE(OFFSET($R$3,0,0,'Données projet'!$E$9+1,1))-AVERAGE(OFFSET($H$3,0,0,'Données projet'!$E$9+1,1))</f>
        <v>196.48726929442091</v>
      </c>
      <c r="T130" s="62">
        <f t="shared" si="88"/>
        <v>193.28400454669347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3.993446377794606E-14</v>
      </c>
      <c r="AC130" s="24">
        <f t="shared" si="57"/>
        <v>3.993446377794606E-14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2.2000000000000002</v>
      </c>
      <c r="AI130" s="14">
        <f>IF('Données projet'!$A$62&gt;35,AI129+AH130-AQ129,IF(A130&lt;'Données projet'!$A$62,$AF$205^A130,IF(A130='Données projet'!$A$62,'Données projet'!$B$62,AI129+AH130-AQ129)))</f>
        <v>224.39999999999981</v>
      </c>
      <c r="AJ130" s="14">
        <f>AI130*VLOOKUP('Données projet'!$B$10,Paramètres!$A$1:$I$89,3,0)*VLOOKUP('Données projet'!$B$10,Paramètres!$A$1:$I$89,5,0)</f>
        <v>227.54159999999982</v>
      </c>
      <c r="AK130" s="14">
        <f t="shared" si="89"/>
        <v>55.750785974779468</v>
      </c>
      <c r="AL130" s="22">
        <f t="shared" si="58"/>
        <v>493.40090557274061</v>
      </c>
      <c r="AM130" s="62">
        <f t="shared" si="59"/>
        <v>776.80326243181798</v>
      </c>
      <c r="AN130" s="62">
        <f ca="1">AVERAGE(OFFSET($AM$3,0,0,'Données projet'!$E$10+1,1))-AVERAGE(OFFSET($H$3,0,0,'Données projet'!$E$10+1,1))</f>
        <v>414.29294334114661</v>
      </c>
      <c r="AO130" s="62">
        <f t="shared" si="90"/>
        <v>178.72086185623849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2.2000000000000002</v>
      </c>
      <c r="BD130" s="13">
        <f>IF('Données projet'!$A$88&gt;35,BD129+BC130-BL129,IF(A130&lt;'Données projet'!$A$88,$BA$205^A130,IF(A130='Données projet'!$A$88,'Données projet'!$B$88,BD129+BC130-BL129)))</f>
        <v>224.39999999999981</v>
      </c>
      <c r="BE130" s="14">
        <f>BD130*VLOOKUP('Données projet'!$B$11,Paramètres!$A$1:$I$89,3,0)*VLOOKUP('Données projet'!$B$11,Paramètres!$A$1:$I$89,5,0)</f>
        <v>241.54415999999975</v>
      </c>
      <c r="BF130" s="14">
        <f t="shared" si="91"/>
        <v>58.771639917508416</v>
      </c>
      <c r="BG130" s="22">
        <f t="shared" si="61"/>
        <v>523.05001818966002</v>
      </c>
      <c r="BH130" s="62">
        <f t="shared" si="62"/>
        <v>806.45237504873739</v>
      </c>
      <c r="BI130" s="62">
        <f ca="1">AVERAGE(OFFSET($BH$3,0,0,'Données projet'!$E$11+1,1))-AVERAGE(OFFSET($H$3,0,0,'Données projet'!$E$11+1,1))</f>
        <v>434.74983403680108</v>
      </c>
      <c r="BJ130" s="62">
        <f t="shared" si="92"/>
        <v>186.0840067781198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1.1368683772161603E-13</v>
      </c>
      <c r="BZ130" s="14">
        <f>BY130*VLOOKUP('Données projet'!$B$12,Paramètres!$A$1:$I$89,3,0)*VLOOKUP('Données projet'!$B$12,Paramètres!$A$1:$I$89,5,0)</f>
        <v>9.7543306765146564E-14</v>
      </c>
      <c r="CA130" s="14">
        <f t="shared" si="93"/>
        <v>1.4696264278629426E-12</v>
      </c>
      <c r="CB130" s="22">
        <f t="shared" si="64"/>
        <v>2.7294872878105889E-12</v>
      </c>
      <c r="CC130" s="62">
        <f t="shared" si="65"/>
        <v>283.40235685908016</v>
      </c>
      <c r="CD130" s="62">
        <f ca="1">AVERAGE(OFFSET($CC$3,0,0,'Données projet'!$E$12+1,1))-AVERAGE(OFFSET($H$3,0,0,'Données projet'!$E$12+1,1))</f>
        <v>288.24759203983547</v>
      </c>
      <c r="CE130" s="62">
        <f t="shared" si="94"/>
        <v>188.86613033148794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1.1368683772161603E-13</v>
      </c>
      <c r="CU130" s="18">
        <f>CT130*VLOOKUP('Données projet'!$B$13,Paramètres!$A$1:$I$89,3,0)*VLOOKUP('Données projet'!$B$13,Paramètres!$A$1:$I$89,5,0)</f>
        <v>7.626113074366004E-14</v>
      </c>
      <c r="CV130" s="14">
        <f t="shared" si="95"/>
        <v>1.1823749172251317E-12</v>
      </c>
      <c r="CW130" s="22">
        <f t="shared" si="67"/>
        <v>2.1921244502123119E-12</v>
      </c>
      <c r="CX130" s="62">
        <f t="shared" si="68"/>
        <v>283.40235685907965</v>
      </c>
      <c r="CY130" s="62">
        <f ca="1">AVERAGE(OFFSET($CX$3,0,0,'Données projet'!$E$13+1,1))-AVERAGE(OFFSET($H$3,0,0,'Données projet'!$E$13+1,1))</f>
        <v>240.40157928925146</v>
      </c>
      <c r="CZ130" s="62">
        <f t="shared" si="96"/>
        <v>160.5013084380258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2.2000000000000002</v>
      </c>
      <c r="DO130" s="13">
        <f>IF('Données projet'!$A$166&gt;35,DO129+DN130-DW129,IF(A130&lt;'Données projet'!$A$166,$DL$205^A130,IF(A130='Données projet'!$A$166,'Données projet'!$B$166,DO129+DN130-DW129)))</f>
        <v>224.39999999999981</v>
      </c>
      <c r="DP130" s="18">
        <f>DO130*VLOOKUP('Données projet'!$B$14,Paramètres!$A$1:$I$89,3,0)*VLOOKUP('Données projet'!$B$14,Paramètres!$A$1:$I$89,5,0)</f>
        <v>217.03967999999981</v>
      </c>
      <c r="DQ130" s="14">
        <f t="shared" si="97"/>
        <v>53.470968373385446</v>
      </c>
      <c r="DR130" s="22">
        <f t="shared" si="70"/>
        <v>471.13937925031263</v>
      </c>
      <c r="DS130" s="62">
        <f t="shared" si="71"/>
        <v>754.54173610939006</v>
      </c>
      <c r="DT130" s="62">
        <f ca="1">AVERAGE(OFFSET($DS$3,0,0,'Données projet'!$E$14+1,1))-AVERAGE(OFFSET($H$3,0,0,'Données projet'!$E$14+1,1))</f>
        <v>398.93296311353788</v>
      </c>
      <c r="DU130" s="62">
        <f t="shared" si="98"/>
        <v>173.19148969173838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-5.6843418860808015E-14</v>
      </c>
      <c r="EK130" s="18">
        <f>EJ130*VLOOKUP('Données projet'!$B$15,Paramètres!$A$1:$I$89,3,0)*VLOOKUP('Données projet'!$B$15,Paramètres!$A$1:$I$89,5,0)</f>
        <v>-4.9658410716801891E-14</v>
      </c>
      <c r="EL130" s="14" t="e">
        <f t="shared" si="99"/>
        <v>#NUM!</v>
      </c>
      <c r="EM130" s="22" t="e">
        <f t="shared" si="73"/>
        <v>#NUM!</v>
      </c>
      <c r="EN130" s="62" t="e">
        <f t="shared" si="74"/>
        <v>#NUM!</v>
      </c>
      <c r="EO130" s="62">
        <f ca="1">AVERAGE(OFFSET($EN$3,0,0,'Données projet'!$E$15+1,1))-AVERAGE(OFFSET($H$3,0,0,'Données projet'!$E$15+1,1))</f>
        <v>226.37420733783091</v>
      </c>
      <c r="EP130" s="62">
        <f t="shared" si="100"/>
        <v>204.10961748628714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6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9">
        <f t="shared" si="56"/>
        <v>183.33333333333334</v>
      </c>
      <c r="I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2.8421709430404007E-13</v>
      </c>
      <c r="O131" s="14">
        <f>N131*VLOOKUP('Données projet'!$B$9,Paramètres!$A$1:$I$89,3,0)*VLOOKUP('Données projet'!$B$9,Paramètres!$A$1:$I$89,5,0)</f>
        <v>1.6626700016786346E-13</v>
      </c>
      <c r="P131" s="14">
        <f t="shared" si="87"/>
        <v>2.3542701735863119E-12</v>
      </c>
      <c r="Q131" s="22">
        <f t="shared" ref="Q131:Q153" si="108">(O131+P131)*0.475*44/12</f>
        <v>4.3899355776218544E-12</v>
      </c>
      <c r="R131" s="62">
        <f t="shared" ref="R131:R194" si="109">Q131+(I131+J131)*44/12</f>
        <v>283.57463709857291</v>
      </c>
      <c r="S131" s="62">
        <f ca="1">AVERAGE(OFFSET($R$3,0,0,'Données projet'!$E$9+1,1))-AVERAGE(OFFSET($H$3,0,0,'Données projet'!$E$9+1,1))</f>
        <v>196.48726929442091</v>
      </c>
      <c r="T131" s="62">
        <f t="shared" si="88"/>
        <v>193.28400454669347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2.8237930140434213E-14</v>
      </c>
      <c r="AC131" s="24">
        <f t="shared" si="57"/>
        <v>2.8237930140434213E-14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2.2000000000000002</v>
      </c>
      <c r="AI131" s="14">
        <f>IF('Données projet'!$A$62&gt;35,AI130+AH131-AQ130,IF(A131&lt;'Données projet'!$A$62,$AF$205^A131,IF(A131='Données projet'!$A$62,'Données projet'!$B$62,AI130+AH131-AQ130)))</f>
        <v>226.5999999999998</v>
      </c>
      <c r="AJ131" s="14">
        <f>AI131*VLOOKUP('Données projet'!$B$10,Paramètres!$A$1:$I$89,3,0)*VLOOKUP('Données projet'!$B$10,Paramètres!$A$1:$I$89,5,0)</f>
        <v>229.77239999999981</v>
      </c>
      <c r="AK131" s="14">
        <f t="shared" si="89"/>
        <v>56.233466254530619</v>
      </c>
      <c r="AL131" s="22">
        <f t="shared" si="58"/>
        <v>498.12688372664047</v>
      </c>
      <c r="AM131" s="62">
        <f t="shared" si="59"/>
        <v>781.70152082520895</v>
      </c>
      <c r="AN131" s="62">
        <f ca="1">AVERAGE(OFFSET($AM$3,0,0,'Données projet'!$E$10+1,1))-AVERAGE(OFFSET($H$3,0,0,'Données projet'!$E$10+1,1))</f>
        <v>414.29294334114661</v>
      </c>
      <c r="AO131" s="62">
        <f t="shared" si="90"/>
        <v>178.72086185623849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2.2000000000000002</v>
      </c>
      <c r="BD131" s="13">
        <f>IF('Données projet'!$A$88&gt;35,BD130+BC131-BL130,IF(A131&lt;'Données projet'!$A$88,$BA$205^A131,IF(A131='Données projet'!$A$88,'Données projet'!$B$88,BD130+BC131-BL130)))</f>
        <v>226.5999999999998</v>
      </c>
      <c r="BE131" s="14">
        <f>BD131*VLOOKUP('Données projet'!$B$11,Paramètres!$A$1:$I$89,3,0)*VLOOKUP('Données projet'!$B$11,Paramètres!$A$1:$I$89,5,0)</f>
        <v>243.91223999999977</v>
      </c>
      <c r="BF131" s="14">
        <f t="shared" si="91"/>
        <v>59.280474207479735</v>
      </c>
      <c r="BG131" s="22">
        <f t="shared" si="61"/>
        <v>528.0606439113601</v>
      </c>
      <c r="BH131" s="62">
        <f t="shared" si="62"/>
        <v>811.63528100992858</v>
      </c>
      <c r="BI131" s="62">
        <f ca="1">AVERAGE(OFFSET($BH$3,0,0,'Données projet'!$E$11+1,1))-AVERAGE(OFFSET($H$3,0,0,'Données projet'!$E$11+1,1))</f>
        <v>434.74983403680108</v>
      </c>
      <c r="BJ131" s="62">
        <f t="shared" si="92"/>
        <v>186.0840067781198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1.1368683772161603E-13</v>
      </c>
      <c r="BZ131" s="14">
        <f>BY131*VLOOKUP('Données projet'!$B$12,Paramètres!$A$1:$I$89,3,0)*VLOOKUP('Données projet'!$B$12,Paramètres!$A$1:$I$89,5,0)</f>
        <v>9.7543306765146564E-14</v>
      </c>
      <c r="CA131" s="14">
        <f t="shared" si="93"/>
        <v>1.4696264278629426E-12</v>
      </c>
      <c r="CB131" s="22">
        <f t="shared" si="64"/>
        <v>2.7294872878105889E-12</v>
      </c>
      <c r="CC131" s="62">
        <f t="shared" si="65"/>
        <v>283.57463709857126</v>
      </c>
      <c r="CD131" s="62">
        <f ca="1">AVERAGE(OFFSET($CC$3,0,0,'Données projet'!$E$12+1,1))-AVERAGE(OFFSET($H$3,0,0,'Données projet'!$E$12+1,1))</f>
        <v>288.24759203983547</v>
      </c>
      <c r="CE131" s="62">
        <f t="shared" si="94"/>
        <v>188.86613033148794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1.1368683772161603E-13</v>
      </c>
      <c r="CU131" s="18">
        <f>CT131*VLOOKUP('Données projet'!$B$13,Paramètres!$A$1:$I$89,3,0)*VLOOKUP('Données projet'!$B$13,Paramètres!$A$1:$I$89,5,0)</f>
        <v>7.626113074366004E-14</v>
      </c>
      <c r="CV131" s="14">
        <f t="shared" si="95"/>
        <v>1.1823749172251317E-12</v>
      </c>
      <c r="CW131" s="22">
        <f t="shared" si="67"/>
        <v>2.1921244502123119E-12</v>
      </c>
      <c r="CX131" s="62">
        <f t="shared" si="68"/>
        <v>283.57463709857075</v>
      </c>
      <c r="CY131" s="62">
        <f ca="1">AVERAGE(OFFSET($CX$3,0,0,'Données projet'!$E$13+1,1))-AVERAGE(OFFSET($H$3,0,0,'Données projet'!$E$13+1,1))</f>
        <v>240.40157928925146</v>
      </c>
      <c r="CZ131" s="62">
        <f t="shared" si="96"/>
        <v>160.5013084380258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2.2000000000000002</v>
      </c>
      <c r="DO131" s="13">
        <f>IF('Données projet'!$A$166&gt;35,DO130+DN131-DW130,IF(A131&lt;'Données projet'!$A$166,$DL$205^A131,IF(A131='Données projet'!$A$166,'Données projet'!$B$166,DO130+DN131-DW130)))</f>
        <v>226.5999999999998</v>
      </c>
      <c r="DP131" s="18">
        <f>DO131*VLOOKUP('Données projet'!$B$14,Paramètres!$A$1:$I$89,3,0)*VLOOKUP('Données projet'!$B$14,Paramètres!$A$1:$I$89,5,0)</f>
        <v>219.16751999999983</v>
      </c>
      <c r="DQ131" s="14">
        <f t="shared" si="97"/>
        <v>53.933910402305159</v>
      </c>
      <c r="DR131" s="22">
        <f t="shared" si="70"/>
        <v>475.65165795068111</v>
      </c>
      <c r="DS131" s="62">
        <f t="shared" si="71"/>
        <v>759.22629504924964</v>
      </c>
      <c r="DT131" s="62">
        <f ca="1">AVERAGE(OFFSET($DS$3,0,0,'Données projet'!$E$14+1,1))-AVERAGE(OFFSET($H$3,0,0,'Données projet'!$E$14+1,1))</f>
        <v>398.93296311353788</v>
      </c>
      <c r="DU131" s="62">
        <f t="shared" si="98"/>
        <v>173.19148969173838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-5.6843418860808015E-14</v>
      </c>
      <c r="EK131" s="18">
        <f>EJ131*VLOOKUP('Données projet'!$B$15,Paramètres!$A$1:$I$89,3,0)*VLOOKUP('Données projet'!$B$15,Paramètres!$A$1:$I$89,5,0)</f>
        <v>-4.9658410716801891E-14</v>
      </c>
      <c r="EL131" s="14" t="e">
        <f t="shared" si="99"/>
        <v>#NUM!</v>
      </c>
      <c r="EM131" s="22" t="e">
        <f t="shared" si="73"/>
        <v>#NUM!</v>
      </c>
      <c r="EN131" s="62" t="e">
        <f t="shared" si="74"/>
        <v>#NUM!</v>
      </c>
      <c r="EO131" s="62">
        <f ca="1">AVERAGE(OFFSET($EN$3,0,0,'Données projet'!$E$15+1,1))-AVERAGE(OFFSET($H$3,0,0,'Données projet'!$E$15+1,1))</f>
        <v>226.37420733783091</v>
      </c>
      <c r="EP131" s="62">
        <f t="shared" si="100"/>
        <v>204.10961748628714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6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9">
        <f t="shared" ref="H132:H195" si="110">(B132+E132+F132)*44/12+(C132+D132)*0.475*44/12</f>
        <v>183.33333333333334</v>
      </c>
      <c r="I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2.8421709430404007E-13</v>
      </c>
      <c r="O132" s="14">
        <f>N132*VLOOKUP('Données projet'!$B$9,Paramètres!$A$1:$I$89,3,0)*VLOOKUP('Données projet'!$B$9,Paramètres!$A$1:$I$89,5,0)</f>
        <v>1.6626700016786346E-13</v>
      </c>
      <c r="P132" s="14">
        <f t="shared" si="87"/>
        <v>2.3542701735863119E-12</v>
      </c>
      <c r="Q132" s="22">
        <f t="shared" si="108"/>
        <v>4.3899355776218544E-12</v>
      </c>
      <c r="R132" s="62">
        <f t="shared" si="109"/>
        <v>283.74392866106973</v>
      </c>
      <c r="S132" s="62">
        <f ca="1">AVERAGE(OFFSET($R$3,0,0,'Données projet'!$E$9+1,1))-AVERAGE(OFFSET($H$3,0,0,'Données projet'!$E$9+1,1))</f>
        <v>196.48726929442091</v>
      </c>
      <c r="T132" s="62">
        <f t="shared" si="88"/>
        <v>193.28400454669347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1.9967231888973033E-14</v>
      </c>
      <c r="AC132" s="24">
        <f t="shared" ref="AC132:AC153" si="111">SUM(Z132:AB132)</f>
        <v>1.9967231888973033E-14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2.2000000000000002</v>
      </c>
      <c r="AI132" s="14">
        <f>IF('Données projet'!$A$62&gt;35,AI131+AH132-AQ131,IF(A132&lt;'Données projet'!$A$62,$AF$205^A132,IF(A132='Données projet'!$A$62,'Données projet'!$B$62,AI131+AH132-AQ131)))</f>
        <v>228.79999999999978</v>
      </c>
      <c r="AJ132" s="14">
        <f>AI132*VLOOKUP('Données projet'!$B$10,Paramètres!$A$1:$I$89,3,0)*VLOOKUP('Données projet'!$B$10,Paramètres!$A$1:$I$89,5,0)</f>
        <v>232.00319999999979</v>
      </c>
      <c r="AK132" s="14">
        <f t="shared" si="89"/>
        <v>56.715601357749385</v>
      </c>
      <c r="AL132" s="22">
        <f t="shared" ref="AL132:AL153" si="112">(AJ132+AK132)*0.475*44/12</f>
        <v>502.8519123647464</v>
      </c>
      <c r="AM132" s="62">
        <f t="shared" ref="AM132:AM195" si="113">AL132+(AD132+AE132)*44/12</f>
        <v>786.59584102581175</v>
      </c>
      <c r="AN132" s="62">
        <f ca="1">AVERAGE(OFFSET($AM$3,0,0,'Données projet'!$E$10+1,1))-AVERAGE(OFFSET($H$3,0,0,'Données projet'!$E$10+1,1))</f>
        <v>414.29294334114661</v>
      </c>
      <c r="AO132" s="62">
        <f t="shared" si="90"/>
        <v>178.72086185623849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2.2000000000000002</v>
      </c>
      <c r="BD132" s="13">
        <f>IF('Données projet'!$A$88&gt;35,BD131+BC132-BL131,IF(A132&lt;'Données projet'!$A$88,$BA$205^A132,IF(A132='Données projet'!$A$88,'Données projet'!$B$88,BD131+BC132-BL131)))</f>
        <v>228.79999999999978</v>
      </c>
      <c r="BE132" s="14">
        <f>BD132*VLOOKUP('Données projet'!$B$11,Paramètres!$A$1:$I$89,3,0)*VLOOKUP('Données projet'!$B$11,Paramètres!$A$1:$I$89,5,0)</f>
        <v>246.28031999999976</v>
      </c>
      <c r="BF132" s="14">
        <f t="shared" si="91"/>
        <v>59.788733780551681</v>
      </c>
      <c r="BG132" s="22">
        <f t="shared" ref="BG132:BG153" si="115">(BE132+BF132)*0.475*44/12</f>
        <v>533.0702686677937</v>
      </c>
      <c r="BH132" s="62">
        <f t="shared" ref="BH132:BH195" si="116">BG132+(AY132+AZ132)*44/12</f>
        <v>816.81419732885911</v>
      </c>
      <c r="BI132" s="62">
        <f ca="1">AVERAGE(OFFSET($BH$3,0,0,'Données projet'!$E$11+1,1))-AVERAGE(OFFSET($H$3,0,0,'Données projet'!$E$11+1,1))</f>
        <v>434.74983403680108</v>
      </c>
      <c r="BJ132" s="62">
        <f t="shared" si="92"/>
        <v>186.0840067781198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1.1368683772161603E-13</v>
      </c>
      <c r="BZ132" s="14">
        <f>BY132*VLOOKUP('Données projet'!$B$12,Paramètres!$A$1:$I$89,3,0)*VLOOKUP('Données projet'!$B$12,Paramètres!$A$1:$I$89,5,0)</f>
        <v>9.7543306765146564E-14</v>
      </c>
      <c r="CA132" s="14">
        <f t="shared" si="93"/>
        <v>1.4696264278629426E-12</v>
      </c>
      <c r="CB132" s="22">
        <f t="shared" ref="CB132:CB153" si="118">(BZ132+CA132)*0.475*44/12</f>
        <v>2.7294872878105889E-12</v>
      </c>
      <c r="CC132" s="62">
        <f t="shared" ref="CC132:CC195" si="119">CB132+(BT132+BU132)*44/12</f>
        <v>283.74392866106808</v>
      </c>
      <c r="CD132" s="62">
        <f ca="1">AVERAGE(OFFSET($CC$3,0,0,'Données projet'!$E$12+1,1))-AVERAGE(OFFSET($H$3,0,0,'Données projet'!$E$12+1,1))</f>
        <v>288.24759203983547</v>
      </c>
      <c r="CE132" s="62">
        <f t="shared" si="94"/>
        <v>188.86613033148794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1.1368683772161603E-13</v>
      </c>
      <c r="CU132" s="18">
        <f>CT132*VLOOKUP('Données projet'!$B$13,Paramètres!$A$1:$I$89,3,0)*VLOOKUP('Données projet'!$B$13,Paramètres!$A$1:$I$89,5,0)</f>
        <v>7.626113074366004E-14</v>
      </c>
      <c r="CV132" s="14">
        <f t="shared" si="95"/>
        <v>1.1823749172251317E-12</v>
      </c>
      <c r="CW132" s="22">
        <f t="shared" ref="CW132:CW153" si="121">(CU132+CV132)*0.475*44/12</f>
        <v>2.1921244502123119E-12</v>
      </c>
      <c r="CX132" s="62">
        <f t="shared" ref="CX132:CX195" si="122">CW132+(CO132+CP132)*44/12</f>
        <v>283.74392866106757</v>
      </c>
      <c r="CY132" s="62">
        <f ca="1">AVERAGE(OFFSET($CX$3,0,0,'Données projet'!$E$13+1,1))-AVERAGE(OFFSET($H$3,0,0,'Données projet'!$E$13+1,1))</f>
        <v>240.40157928925146</v>
      </c>
      <c r="CZ132" s="62">
        <f t="shared" si="96"/>
        <v>160.5013084380258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2.2000000000000002</v>
      </c>
      <c r="DO132" s="13">
        <f>IF('Données projet'!$A$166&gt;35,DO131+DN132-DW131,IF(A132&lt;'Données projet'!$A$166,$DL$205^A132,IF(A132='Données projet'!$A$166,'Données projet'!$B$166,DO131+DN132-DW131)))</f>
        <v>228.79999999999978</v>
      </c>
      <c r="DP132" s="18">
        <f>DO132*VLOOKUP('Données projet'!$B$14,Paramètres!$A$1:$I$89,3,0)*VLOOKUP('Données projet'!$B$14,Paramètres!$A$1:$I$89,5,0)</f>
        <v>221.29535999999979</v>
      </c>
      <c r="DQ132" s="14">
        <f t="shared" si="97"/>
        <v>54.396329548603333</v>
      </c>
      <c r="DR132" s="22">
        <f t="shared" ref="DR132:DR153" si="124">(DP132+DQ132)*0.475*44/12</f>
        <v>480.16302596381712</v>
      </c>
      <c r="DS132" s="62">
        <f t="shared" ref="DS132:DS195" si="125">DR132+(DJ132+DK132)*44/12</f>
        <v>763.90695462488247</v>
      </c>
      <c r="DT132" s="62">
        <f ca="1">AVERAGE(OFFSET($DS$3,0,0,'Données projet'!$E$14+1,1))-AVERAGE(OFFSET($H$3,0,0,'Données projet'!$E$14+1,1))</f>
        <v>398.93296311353788</v>
      </c>
      <c r="DU132" s="62">
        <f t="shared" si="98"/>
        <v>173.19148969173838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-5.6843418860808015E-14</v>
      </c>
      <c r="EK132" s="18">
        <f>EJ132*VLOOKUP('Données projet'!$B$15,Paramètres!$A$1:$I$89,3,0)*VLOOKUP('Données projet'!$B$15,Paramètres!$A$1:$I$89,5,0)</f>
        <v>-4.9658410716801891E-14</v>
      </c>
      <c r="EL132" s="14" t="e">
        <f t="shared" si="99"/>
        <v>#NUM!</v>
      </c>
      <c r="EM132" s="22" t="e">
        <f t="shared" ref="EM132:EM153" si="127">(EK132+EL132)*0.475*44/12</f>
        <v>#NUM!</v>
      </c>
      <c r="EN132" s="62" t="e">
        <f t="shared" ref="EN132:EN195" si="128">EM132+(EE132+EF132)*44/12</f>
        <v>#NUM!</v>
      </c>
      <c r="EO132" s="62">
        <f ca="1">AVERAGE(OFFSET($EN$3,0,0,'Données projet'!$E$15+1,1))-AVERAGE(OFFSET($H$3,0,0,'Données projet'!$E$15+1,1))</f>
        <v>226.37420733783091</v>
      </c>
      <c r="EP132" s="62">
        <f t="shared" si="100"/>
        <v>204.10961748628714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6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9">
        <f t="shared" si="110"/>
        <v>183.33333333333334</v>
      </c>
      <c r="I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2.8421709430404007E-13</v>
      </c>
      <c r="O133" s="14">
        <f>N133*VLOOKUP('Données projet'!$B$9,Paramètres!$A$1:$I$89,3,0)*VLOOKUP('Données projet'!$B$9,Paramètres!$A$1:$I$89,5,0)</f>
        <v>1.6626700016786346E-13</v>
      </c>
      <c r="P133" s="14">
        <f t="shared" ref="P133:P196" si="141">EXP(-1.0587+0.8836*LN(O133)+0.284)</f>
        <v>2.3542701735863119E-12</v>
      </c>
      <c r="Q133" s="22">
        <f t="shared" si="108"/>
        <v>4.3899355776218544E-12</v>
      </c>
      <c r="R133" s="62">
        <f t="shared" si="109"/>
        <v>283.91028339343649</v>
      </c>
      <c r="S133" s="62">
        <f ca="1">AVERAGE(OFFSET($R$3,0,0,'Données projet'!$E$9+1,1))-AVERAGE(OFFSET($H$3,0,0,'Données projet'!$E$9+1,1))</f>
        <v>196.48726929442091</v>
      </c>
      <c r="T133" s="62">
        <f t="shared" ref="T133:T196" si="142">$T$3</f>
        <v>193.28400454669347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1.411896507021711E-14</v>
      </c>
      <c r="AC133" s="24">
        <f t="shared" si="111"/>
        <v>1.411896507021711E-14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>
        <f>VLOOKUP(A133,'Données projet'!$A$61:$I$81,2,0)</f>
        <v>231</v>
      </c>
      <c r="AG133" s="13">
        <f>VLOOKUP(A133,'Données projet'!$A$61:$I$81,9,0)</f>
        <v>2.2000000000000002</v>
      </c>
      <c r="AH133" s="13">
        <f t="array" ref="AH133">INDEX(AG:AG,MIN(IF(ISNUMBER(AG133:AG329),ROW(AG133:AG329),"")))</f>
        <v>2.2000000000000002</v>
      </c>
      <c r="AI133" s="14">
        <f>IF('Données projet'!$A$62&gt;35,AI132+AH133-AQ132,IF(A133&lt;'Données projet'!$A$62,$AF$205^A133,IF(A133='Données projet'!$A$62,'Données projet'!$B$62,AI132+AH133-AQ132)))</f>
        <v>230.99999999999977</v>
      </c>
      <c r="AJ133" s="14">
        <f>AI133*VLOOKUP('Données projet'!$B$10,Paramètres!$A$1:$I$89,3,0)*VLOOKUP('Données projet'!$B$10,Paramètres!$A$1:$I$89,5,0)</f>
        <v>234.23399999999978</v>
      </c>
      <c r="AK133" s="14">
        <f t="shared" ref="AK133:AK153" si="143">EXP(-1.0587+0.8836*LN(AJ133)+0.284)</f>
        <v>57.197197133603439</v>
      </c>
      <c r="AL133" s="22">
        <f t="shared" si="112"/>
        <v>507.57600167435902</v>
      </c>
      <c r="AM133" s="62">
        <f t="shared" si="113"/>
        <v>791.48628506779119</v>
      </c>
      <c r="AN133" s="62">
        <f ca="1">AVERAGE(OFFSET($AM$3,0,0,'Données projet'!$E$10+1,1))-AVERAGE(OFFSET($H$3,0,0,'Données projet'!$E$10+1,1))</f>
        <v>414.29294334114661</v>
      </c>
      <c r="AO133" s="62">
        <f t="shared" ref="AO133:AO196" si="144">$AO$3</f>
        <v>178.72086185623849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>
        <f>VLOOKUP(A133,'Données projet'!$A$87:$I$107,2,0)</f>
        <v>231</v>
      </c>
      <c r="BB133" s="13">
        <f>VLOOKUP(A133,'Données projet'!$A$87:$I$107,9,0)</f>
        <v>2.2000000000000002</v>
      </c>
      <c r="BC133" s="13">
        <f t="array" ref="BC133">INDEX(BB:BB,MIN(IF(ISNUMBER(BB133:BB329),ROW(BB133:BB329),"")))</f>
        <v>2.2000000000000002</v>
      </c>
      <c r="BD133" s="13">
        <f>IF('Données projet'!$A$88&gt;35,BD132+BC133-BL132,IF(A133&lt;'Données projet'!$A$88,$BA$205^A133,IF(A133='Données projet'!$A$88,'Données projet'!$B$88,BD132+BC133-BL132)))</f>
        <v>230.99999999999977</v>
      </c>
      <c r="BE133" s="14">
        <f>BD133*VLOOKUP('Données projet'!$B$11,Paramètres!$A$1:$I$89,3,0)*VLOOKUP('Données projet'!$B$11,Paramètres!$A$1:$I$89,5,0)</f>
        <v>248.64839999999975</v>
      </c>
      <c r="BF133" s="14">
        <f t="shared" ref="BF133:BF153" si="145">EXP(-1.0587+0.8836*LN(BE133)+0.284)</f>
        <v>60.296424802828724</v>
      </c>
      <c r="BG133" s="22">
        <f t="shared" si="115"/>
        <v>538.07890319825958</v>
      </c>
      <c r="BH133" s="62">
        <f t="shared" si="116"/>
        <v>821.98918659169169</v>
      </c>
      <c r="BI133" s="62">
        <f ca="1">AVERAGE(OFFSET($BH$3,0,0,'Données projet'!$E$11+1,1))-AVERAGE(OFFSET($H$3,0,0,'Données projet'!$E$11+1,1))</f>
        <v>434.74983403680108</v>
      </c>
      <c r="BJ133" s="62">
        <f t="shared" ref="BJ133:BJ196" si="146">$BJ$3</f>
        <v>186.0840067781198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1.1368683772161603E-13</v>
      </c>
      <c r="BZ133" s="14">
        <f>BY133*VLOOKUP('Données projet'!$B$12,Paramètres!$A$1:$I$89,3,0)*VLOOKUP('Données projet'!$B$12,Paramètres!$A$1:$I$89,5,0)</f>
        <v>9.7543306765146564E-14</v>
      </c>
      <c r="CA133" s="14">
        <f t="shared" ref="CA133:CA153" si="147">EXP(-1.0587+0.8836*LN(BZ133)+0.284)</f>
        <v>1.4696264278629426E-12</v>
      </c>
      <c r="CB133" s="22">
        <f t="shared" si="118"/>
        <v>2.7294872878105889E-12</v>
      </c>
      <c r="CC133" s="62">
        <f t="shared" si="119"/>
        <v>283.91028339343484</v>
      </c>
      <c r="CD133" s="62">
        <f ca="1">AVERAGE(OFFSET($CC$3,0,0,'Données projet'!$E$12+1,1))-AVERAGE(OFFSET($H$3,0,0,'Données projet'!$E$12+1,1))</f>
        <v>288.24759203983547</v>
      </c>
      <c r="CE133" s="62">
        <f t="shared" ref="CE133:CE196" si="148">$CE$3</f>
        <v>188.86613033148794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1.1368683772161603E-13</v>
      </c>
      <c r="CU133" s="18">
        <f>CT133*VLOOKUP('Données projet'!$B$13,Paramètres!$A$1:$I$89,3,0)*VLOOKUP('Données projet'!$B$13,Paramètres!$A$1:$I$89,5,0)</f>
        <v>7.626113074366004E-14</v>
      </c>
      <c r="CV133" s="14">
        <f t="shared" ref="CV133:CV153" si="149">EXP(-1.0587+0.8836*LN(CU133)+0.284)</f>
        <v>1.1823749172251317E-12</v>
      </c>
      <c r="CW133" s="22">
        <f t="shared" si="121"/>
        <v>2.1921244502123119E-12</v>
      </c>
      <c r="CX133" s="62">
        <f t="shared" si="122"/>
        <v>283.91028339343433</v>
      </c>
      <c r="CY133" s="62">
        <f ca="1">AVERAGE(OFFSET($CX$3,0,0,'Données projet'!$E$13+1,1))-AVERAGE(OFFSET($H$3,0,0,'Données projet'!$E$13+1,1))</f>
        <v>240.40157928925146</v>
      </c>
      <c r="CZ133" s="62">
        <f t="shared" ref="CZ133:CZ196" si="150">$CZ$3</f>
        <v>160.5013084380258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>
        <f>VLOOKUP(A133,'Données projet'!$A$165:$I$185,2,0)</f>
        <v>231</v>
      </c>
      <c r="DM133" s="13">
        <f>VLOOKUP(A133,'Données projet'!$A$165:$I$185,9,0)</f>
        <v>2.2000000000000002</v>
      </c>
      <c r="DN133" s="13">
        <f t="array" ref="DN133">INDEX(DM:DM,MIN(IF(ISNUMBER(DM133:DM329),ROW(DM133:DM329),"")))</f>
        <v>2.2000000000000002</v>
      </c>
      <c r="DO133" s="13">
        <f>IF('Données projet'!$A$166&gt;35,DO132+DN133-DW132,IF(A133&lt;'Données projet'!$A$166,$DL$205^A133,IF(A133='Données projet'!$A$166,'Données projet'!$B$166,DO132+DN133-DW132)))</f>
        <v>230.99999999999977</v>
      </c>
      <c r="DP133" s="18">
        <f>DO133*VLOOKUP('Données projet'!$B$14,Paramètres!$A$1:$I$89,3,0)*VLOOKUP('Données projet'!$B$14,Paramètres!$A$1:$I$89,5,0)</f>
        <v>223.42319999999978</v>
      </c>
      <c r="DQ133" s="14">
        <f t="shared" ref="DQ133:DQ153" si="151">EXP(-1.0587+0.8836*LN(DP133)+0.284)</f>
        <v>54.858231422257582</v>
      </c>
      <c r="DR133" s="22">
        <f t="shared" si="124"/>
        <v>484.67349306043161</v>
      </c>
      <c r="DS133" s="62">
        <f t="shared" si="125"/>
        <v>768.58377645386372</v>
      </c>
      <c r="DT133" s="62">
        <f ca="1">AVERAGE(OFFSET($DS$3,0,0,'Données projet'!$E$14+1,1))-AVERAGE(OFFSET($H$3,0,0,'Données projet'!$E$14+1,1))</f>
        <v>398.93296311353788</v>
      </c>
      <c r="DU133" s="62">
        <f t="shared" ref="DU133:DU196" si="152">$DU$3</f>
        <v>173.19148969173838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-5.6843418860808015E-14</v>
      </c>
      <c r="EK133" s="18">
        <f>EJ133*VLOOKUP('Données projet'!$B$15,Paramètres!$A$1:$I$89,3,0)*VLOOKUP('Données projet'!$B$15,Paramètres!$A$1:$I$89,5,0)</f>
        <v>-4.9658410716801891E-14</v>
      </c>
      <c r="EL133" s="14" t="e">
        <f t="shared" ref="EL133:EL153" si="153">EXP(-1.0587+0.8836*LN(EK133)+0.284)</f>
        <v>#NUM!</v>
      </c>
      <c r="EM133" s="22" t="e">
        <f t="shared" si="127"/>
        <v>#NUM!</v>
      </c>
      <c r="EN133" s="62" t="e">
        <f t="shared" si="128"/>
        <v>#NUM!</v>
      </c>
      <c r="EO133" s="62">
        <f ca="1">AVERAGE(OFFSET($EN$3,0,0,'Données projet'!$E$15+1,1))-AVERAGE(OFFSET($H$3,0,0,'Données projet'!$E$15+1,1))</f>
        <v>226.37420733783091</v>
      </c>
      <c r="EP133" s="62">
        <f t="shared" ref="EP133:EP196" si="154">$EP$3</f>
        <v>204.10961748628714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6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9">
        <f t="shared" si="110"/>
        <v>183.33333333333334</v>
      </c>
      <c r="I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2.8421709430404007E-13</v>
      </c>
      <c r="O134" s="14">
        <f>N134*VLOOKUP('Données projet'!$B$9,Paramètres!$A$1:$I$89,3,0)*VLOOKUP('Données projet'!$B$9,Paramètres!$A$1:$I$89,5,0)</f>
        <v>1.6626700016786346E-13</v>
      </c>
      <c r="P134" s="14">
        <f t="shared" si="141"/>
        <v>2.3542701735863119E-12</v>
      </c>
      <c r="Q134" s="22">
        <f t="shared" si="108"/>
        <v>4.3899355776218544E-12</v>
      </c>
      <c r="R134" s="62">
        <f t="shared" si="109"/>
        <v>284.07375224311011</v>
      </c>
      <c r="S134" s="62">
        <f ca="1">AVERAGE(OFFSET($R$3,0,0,'Données projet'!$E$9+1,1))-AVERAGE(OFFSET($H$3,0,0,'Données projet'!$E$9+1,1))</f>
        <v>196.48726929442091</v>
      </c>
      <c r="T134" s="62">
        <f t="shared" si="142"/>
        <v>193.28400454669347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9.9836159444865181E-15</v>
      </c>
      <c r="AC134" s="24">
        <f t="shared" si="111"/>
        <v>9.9836159444865181E-15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1.7</v>
      </c>
      <c r="AI134" s="14">
        <f>IF('Données projet'!$A$62&gt;35,AI133+AH134-AQ133,IF(A134&lt;'Données projet'!$A$62,$AF$205^A134,IF(A134='Données projet'!$A$62,'Données projet'!$B$62,AI133+AH134-AQ133)))</f>
        <v>232.69999999999976</v>
      </c>
      <c r="AJ134" s="14">
        <f>AI134*VLOOKUP('Données projet'!$B$10,Paramètres!$A$1:$I$89,3,0)*VLOOKUP('Données projet'!$B$10,Paramètres!$A$1:$I$89,5,0)</f>
        <v>235.95779999999979</v>
      </c>
      <c r="AK134" s="14">
        <f t="shared" si="143"/>
        <v>57.568973561609752</v>
      </c>
      <c r="AL134" s="22">
        <f t="shared" si="112"/>
        <v>511.22579728646997</v>
      </c>
      <c r="AM134" s="62">
        <f t="shared" si="113"/>
        <v>795.29954952957564</v>
      </c>
      <c r="AN134" s="62">
        <f ca="1">AVERAGE(OFFSET($AM$3,0,0,'Données projet'!$E$10+1,1))-AVERAGE(OFFSET($H$3,0,0,'Données projet'!$E$10+1,1))</f>
        <v>414.29294334114661</v>
      </c>
      <c r="AO134" s="62">
        <f t="shared" si="144"/>
        <v>178.72086185623849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1.7</v>
      </c>
      <c r="BD134" s="13">
        <f>IF('Données projet'!$A$88&gt;35,BD133+BC134-BL133,IF(A134&lt;'Données projet'!$A$88,$BA$205^A134,IF(A134='Données projet'!$A$88,'Données projet'!$B$88,BD133+BC134-BL133)))</f>
        <v>232.69999999999976</v>
      </c>
      <c r="BE134" s="14">
        <f>BD134*VLOOKUP('Données projet'!$B$11,Paramètres!$A$1:$I$89,3,0)*VLOOKUP('Données projet'!$B$11,Paramètres!$A$1:$I$89,5,0)</f>
        <v>250.47827999999973</v>
      </c>
      <c r="BF134" s="14">
        <f t="shared" si="145"/>
        <v>60.688345920613308</v>
      </c>
      <c r="BG134" s="22">
        <f t="shared" si="115"/>
        <v>541.9485401450678</v>
      </c>
      <c r="BH134" s="62">
        <f t="shared" si="116"/>
        <v>826.02229238817358</v>
      </c>
      <c r="BI134" s="62">
        <f ca="1">AVERAGE(OFFSET($BH$3,0,0,'Données projet'!$E$11+1,1))-AVERAGE(OFFSET($H$3,0,0,'Données projet'!$E$11+1,1))</f>
        <v>434.74983403680108</v>
      </c>
      <c r="BJ134" s="62">
        <f t="shared" si="146"/>
        <v>186.0840067781198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1.1368683772161603E-13</v>
      </c>
      <c r="BZ134" s="14">
        <f>BY134*VLOOKUP('Données projet'!$B$12,Paramètres!$A$1:$I$89,3,0)*VLOOKUP('Données projet'!$B$12,Paramètres!$A$1:$I$89,5,0)</f>
        <v>9.7543306765146564E-14</v>
      </c>
      <c r="CA134" s="14">
        <f t="shared" si="147"/>
        <v>1.4696264278629426E-12</v>
      </c>
      <c r="CB134" s="22">
        <f t="shared" si="118"/>
        <v>2.7294872878105889E-12</v>
      </c>
      <c r="CC134" s="62">
        <f t="shared" si="119"/>
        <v>284.07375224310846</v>
      </c>
      <c r="CD134" s="62">
        <f ca="1">AVERAGE(OFFSET($CC$3,0,0,'Données projet'!$E$12+1,1))-AVERAGE(OFFSET($H$3,0,0,'Données projet'!$E$12+1,1))</f>
        <v>288.24759203983547</v>
      </c>
      <c r="CE134" s="62">
        <f t="shared" si="148"/>
        <v>188.86613033148794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1.1368683772161603E-13</v>
      </c>
      <c r="CU134" s="18">
        <f>CT134*VLOOKUP('Données projet'!$B$13,Paramètres!$A$1:$I$89,3,0)*VLOOKUP('Données projet'!$B$13,Paramètres!$A$1:$I$89,5,0)</f>
        <v>7.626113074366004E-14</v>
      </c>
      <c r="CV134" s="14">
        <f t="shared" si="149"/>
        <v>1.1823749172251317E-12</v>
      </c>
      <c r="CW134" s="22">
        <f t="shared" si="121"/>
        <v>2.1921244502123119E-12</v>
      </c>
      <c r="CX134" s="62">
        <f t="shared" si="122"/>
        <v>284.07375224310795</v>
      </c>
      <c r="CY134" s="62">
        <f ca="1">AVERAGE(OFFSET($CX$3,0,0,'Données projet'!$E$13+1,1))-AVERAGE(OFFSET($H$3,0,0,'Données projet'!$E$13+1,1))</f>
        <v>240.40157928925146</v>
      </c>
      <c r="CZ134" s="62">
        <f t="shared" si="150"/>
        <v>160.5013084380258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1.7</v>
      </c>
      <c r="DO134" s="13">
        <f>IF('Données projet'!$A$166&gt;35,DO133+DN134-DW133,IF(A134&lt;'Données projet'!$A$166,$DL$205^A134,IF(A134='Données projet'!$A$166,'Données projet'!$B$166,DO133+DN134-DW133)))</f>
        <v>232.69999999999976</v>
      </c>
      <c r="DP134" s="18">
        <f>DO134*VLOOKUP('Données projet'!$B$14,Paramètres!$A$1:$I$89,3,0)*VLOOKUP('Données projet'!$B$14,Paramètres!$A$1:$I$89,5,0)</f>
        <v>225.06743999999978</v>
      </c>
      <c r="DQ134" s="14">
        <f t="shared" si="151"/>
        <v>55.214804792055261</v>
      </c>
      <c r="DR134" s="22">
        <f t="shared" si="124"/>
        <v>488.15824301282919</v>
      </c>
      <c r="DS134" s="62">
        <f t="shared" si="125"/>
        <v>772.23199525593486</v>
      </c>
      <c r="DT134" s="62">
        <f ca="1">AVERAGE(OFFSET($DS$3,0,0,'Données projet'!$E$14+1,1))-AVERAGE(OFFSET($H$3,0,0,'Données projet'!$E$14+1,1))</f>
        <v>398.93296311353788</v>
      </c>
      <c r="DU134" s="62">
        <f t="shared" si="152"/>
        <v>173.19148969173838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-5.6843418860808015E-14</v>
      </c>
      <c r="EK134" s="18">
        <f>EJ134*VLOOKUP('Données projet'!$B$15,Paramètres!$A$1:$I$89,3,0)*VLOOKUP('Données projet'!$B$15,Paramètres!$A$1:$I$89,5,0)</f>
        <v>-4.9658410716801891E-14</v>
      </c>
      <c r="EL134" s="14" t="e">
        <f t="shared" si="153"/>
        <v>#NUM!</v>
      </c>
      <c r="EM134" s="22" t="e">
        <f t="shared" si="127"/>
        <v>#NUM!</v>
      </c>
      <c r="EN134" s="62" t="e">
        <f t="shared" si="128"/>
        <v>#NUM!</v>
      </c>
      <c r="EO134" s="62">
        <f ca="1">AVERAGE(OFFSET($EN$3,0,0,'Données projet'!$E$15+1,1))-AVERAGE(OFFSET($H$3,0,0,'Données projet'!$E$15+1,1))</f>
        <v>226.37420733783091</v>
      </c>
      <c r="EP134" s="62">
        <f t="shared" si="154"/>
        <v>204.10961748628714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6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9">
        <f t="shared" si="110"/>
        <v>183.33333333333334</v>
      </c>
      <c r="I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2.8421709430404007E-13</v>
      </c>
      <c r="O135" s="14">
        <f>N135*VLOOKUP('Données projet'!$B$9,Paramètres!$A$1:$I$89,3,0)*VLOOKUP('Données projet'!$B$9,Paramètres!$A$1:$I$89,5,0)</f>
        <v>1.6626700016786346E-13</v>
      </c>
      <c r="P135" s="14">
        <f t="shared" si="141"/>
        <v>2.3542701735863119E-12</v>
      </c>
      <c r="Q135" s="22">
        <f t="shared" si="108"/>
        <v>4.3899355776218544E-12</v>
      </c>
      <c r="R135" s="62">
        <f t="shared" si="109"/>
        <v>284.23438527370354</v>
      </c>
      <c r="S135" s="62">
        <f ca="1">AVERAGE(OFFSET($R$3,0,0,'Données projet'!$E$9+1,1))-AVERAGE(OFFSET($H$3,0,0,'Données projet'!$E$9+1,1))</f>
        <v>196.48726929442091</v>
      </c>
      <c r="T135" s="62">
        <f t="shared" si="142"/>
        <v>193.28400454669347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7.0594825351085556E-15</v>
      </c>
      <c r="AC135" s="24">
        <f t="shared" si="111"/>
        <v>7.0594825351085556E-15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1.7</v>
      </c>
      <c r="AI135" s="14">
        <f>IF('Données projet'!$A$62&gt;35,AI134+AH135-AQ134,IF(A135&lt;'Données projet'!$A$62,$AF$205^A135,IF(A135='Données projet'!$A$62,'Données projet'!$B$62,AI134+AH135-AQ134)))</f>
        <v>234.39999999999975</v>
      </c>
      <c r="AJ135" s="14">
        <f>AI135*VLOOKUP('Données projet'!$B$10,Paramètres!$A$1:$I$89,3,0)*VLOOKUP('Données projet'!$B$10,Paramètres!$A$1:$I$89,5,0)</f>
        <v>237.68159999999978</v>
      </c>
      <c r="AK135" s="14">
        <f t="shared" si="143"/>
        <v>57.940433975259054</v>
      </c>
      <c r="AL135" s="22">
        <f t="shared" si="112"/>
        <v>514.87504250690915</v>
      </c>
      <c r="AM135" s="62">
        <f t="shared" si="113"/>
        <v>799.10942778060826</v>
      </c>
      <c r="AN135" s="62">
        <f ca="1">AVERAGE(OFFSET($AM$3,0,0,'Données projet'!$E$10+1,1))-AVERAGE(OFFSET($H$3,0,0,'Données projet'!$E$10+1,1))</f>
        <v>414.29294334114661</v>
      </c>
      <c r="AO135" s="62">
        <f t="shared" si="144"/>
        <v>178.72086185623849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1.7</v>
      </c>
      <c r="BD135" s="13">
        <f>IF('Données projet'!$A$88&gt;35,BD134+BC135-BL134,IF(A135&lt;'Données projet'!$A$88,$BA$205^A135,IF(A135='Données projet'!$A$88,'Données projet'!$B$88,BD134+BC135-BL134)))</f>
        <v>234.39999999999975</v>
      </c>
      <c r="BE135" s="14">
        <f>BD135*VLOOKUP('Données projet'!$B$11,Paramètres!$A$1:$I$89,3,0)*VLOOKUP('Données projet'!$B$11,Paramètres!$A$1:$I$89,5,0)</f>
        <v>252.30815999999973</v>
      </c>
      <c r="BF135" s="14">
        <f t="shared" si="145"/>
        <v>61.079933900816521</v>
      </c>
      <c r="BG135" s="22">
        <f t="shared" si="115"/>
        <v>545.81759687725491</v>
      </c>
      <c r="BH135" s="62">
        <f t="shared" si="116"/>
        <v>830.05198215095402</v>
      </c>
      <c r="BI135" s="62">
        <f ca="1">AVERAGE(OFFSET($BH$3,0,0,'Données projet'!$E$11+1,1))-AVERAGE(OFFSET($H$3,0,0,'Données projet'!$E$11+1,1))</f>
        <v>434.74983403680108</v>
      </c>
      <c r="BJ135" s="62">
        <f t="shared" si="146"/>
        <v>186.0840067781198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1.1368683772161603E-13</v>
      </c>
      <c r="BZ135" s="14">
        <f>BY135*VLOOKUP('Données projet'!$B$12,Paramètres!$A$1:$I$89,3,0)*VLOOKUP('Données projet'!$B$12,Paramètres!$A$1:$I$89,5,0)</f>
        <v>9.7543306765146564E-14</v>
      </c>
      <c r="CA135" s="14">
        <f t="shared" si="147"/>
        <v>1.4696264278629426E-12</v>
      </c>
      <c r="CB135" s="22">
        <f t="shared" si="118"/>
        <v>2.7294872878105889E-12</v>
      </c>
      <c r="CC135" s="62">
        <f t="shared" si="119"/>
        <v>284.23438527370189</v>
      </c>
      <c r="CD135" s="62">
        <f ca="1">AVERAGE(OFFSET($CC$3,0,0,'Données projet'!$E$12+1,1))-AVERAGE(OFFSET($H$3,0,0,'Données projet'!$E$12+1,1))</f>
        <v>288.24759203983547</v>
      </c>
      <c r="CE135" s="62">
        <f t="shared" si="148"/>
        <v>188.86613033148794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1.1368683772161603E-13</v>
      </c>
      <c r="CU135" s="18">
        <f>CT135*VLOOKUP('Données projet'!$B$13,Paramètres!$A$1:$I$89,3,0)*VLOOKUP('Données projet'!$B$13,Paramètres!$A$1:$I$89,5,0)</f>
        <v>7.626113074366004E-14</v>
      </c>
      <c r="CV135" s="14">
        <f t="shared" si="149"/>
        <v>1.1823749172251317E-12</v>
      </c>
      <c r="CW135" s="22">
        <f t="shared" si="121"/>
        <v>2.1921244502123119E-12</v>
      </c>
      <c r="CX135" s="62">
        <f t="shared" si="122"/>
        <v>284.23438527370138</v>
      </c>
      <c r="CY135" s="62">
        <f ca="1">AVERAGE(OFFSET($CX$3,0,0,'Données projet'!$E$13+1,1))-AVERAGE(OFFSET($H$3,0,0,'Données projet'!$E$13+1,1))</f>
        <v>240.40157928925146</v>
      </c>
      <c r="CZ135" s="62">
        <f t="shared" si="150"/>
        <v>160.5013084380258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1.7</v>
      </c>
      <c r="DO135" s="13">
        <f>IF('Données projet'!$A$166&gt;35,DO134+DN135-DW134,IF(A135&lt;'Données projet'!$A$166,$DL$205^A135,IF(A135='Données projet'!$A$166,'Données projet'!$B$166,DO134+DN135-DW134)))</f>
        <v>234.39999999999975</v>
      </c>
      <c r="DP135" s="18">
        <f>DO135*VLOOKUP('Données projet'!$B$14,Paramètres!$A$1:$I$89,3,0)*VLOOKUP('Données projet'!$B$14,Paramètres!$A$1:$I$89,5,0)</f>
        <v>226.71167999999975</v>
      </c>
      <c r="DQ135" s="14">
        <f t="shared" si="151"/>
        <v>55.571075070274993</v>
      </c>
      <c r="DR135" s="22">
        <f t="shared" si="124"/>
        <v>491.64246508072841</v>
      </c>
      <c r="DS135" s="62">
        <f t="shared" si="125"/>
        <v>775.87685035442757</v>
      </c>
      <c r="DT135" s="62">
        <f ca="1">AVERAGE(OFFSET($DS$3,0,0,'Données projet'!$E$14+1,1))-AVERAGE(OFFSET($H$3,0,0,'Données projet'!$E$14+1,1))</f>
        <v>398.93296311353788</v>
      </c>
      <c r="DU135" s="62">
        <f t="shared" si="152"/>
        <v>173.19148969173838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-5.6843418860808015E-14</v>
      </c>
      <c r="EK135" s="18">
        <f>EJ135*VLOOKUP('Données projet'!$B$15,Paramètres!$A$1:$I$89,3,0)*VLOOKUP('Données projet'!$B$15,Paramètres!$A$1:$I$89,5,0)</f>
        <v>-4.9658410716801891E-14</v>
      </c>
      <c r="EL135" s="14" t="e">
        <f t="shared" si="153"/>
        <v>#NUM!</v>
      </c>
      <c r="EM135" s="22" t="e">
        <f t="shared" si="127"/>
        <v>#NUM!</v>
      </c>
      <c r="EN135" s="62" t="e">
        <f t="shared" si="128"/>
        <v>#NUM!</v>
      </c>
      <c r="EO135" s="62">
        <f ca="1">AVERAGE(OFFSET($EN$3,0,0,'Données projet'!$E$15+1,1))-AVERAGE(OFFSET($H$3,0,0,'Données projet'!$E$15+1,1))</f>
        <v>226.37420733783091</v>
      </c>
      <c r="EP135" s="62">
        <f t="shared" si="154"/>
        <v>204.10961748628714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6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9">
        <f t="shared" si="110"/>
        <v>183.33333333333334</v>
      </c>
      <c r="I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2.8421709430404007E-13</v>
      </c>
      <c r="O136" s="14">
        <f>N136*VLOOKUP('Données projet'!$B$9,Paramètres!$A$1:$I$89,3,0)*VLOOKUP('Données projet'!$B$9,Paramètres!$A$1:$I$89,5,0)</f>
        <v>1.6626700016786346E-13</v>
      </c>
      <c r="P136" s="14">
        <f t="shared" si="141"/>
        <v>2.3542701735863119E-12</v>
      </c>
      <c r="Q136" s="22">
        <f t="shared" si="108"/>
        <v>4.3899355776218544E-12</v>
      </c>
      <c r="R136" s="62">
        <f t="shared" si="109"/>
        <v>284.39223168033777</v>
      </c>
      <c r="S136" s="62">
        <f ca="1">AVERAGE(OFFSET($R$3,0,0,'Données projet'!$E$9+1,1))-AVERAGE(OFFSET($H$3,0,0,'Données projet'!$E$9+1,1))</f>
        <v>196.48726929442091</v>
      </c>
      <c r="T136" s="62">
        <f t="shared" si="142"/>
        <v>193.28400454669347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4.9918079722432598E-15</v>
      </c>
      <c r="AC136" s="24">
        <f t="shared" si="111"/>
        <v>4.9918079722432598E-15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1.7</v>
      </c>
      <c r="AI136" s="14">
        <f>IF('Données projet'!$A$62&gt;35,AI135+AH136-AQ135,IF(A136&lt;'Données projet'!$A$62,$AF$205^A136,IF(A136='Données projet'!$A$62,'Données projet'!$B$62,AI135+AH136-AQ135)))</f>
        <v>236.09999999999974</v>
      </c>
      <c r="AJ136" s="14">
        <f>AI136*VLOOKUP('Données projet'!$B$10,Paramètres!$A$1:$I$89,3,0)*VLOOKUP('Données projet'!$B$10,Paramètres!$A$1:$I$89,5,0)</f>
        <v>239.40539999999976</v>
      </c>
      <c r="AK136" s="14">
        <f t="shared" si="143"/>
        <v>58.311580932208237</v>
      </c>
      <c r="AL136" s="22">
        <f t="shared" si="112"/>
        <v>518.52374179026231</v>
      </c>
      <c r="AM136" s="62">
        <f t="shared" si="113"/>
        <v>802.91597347059565</v>
      </c>
      <c r="AN136" s="62">
        <f ca="1">AVERAGE(OFFSET($AM$3,0,0,'Données projet'!$E$10+1,1))-AVERAGE(OFFSET($H$3,0,0,'Données projet'!$E$10+1,1))</f>
        <v>414.29294334114661</v>
      </c>
      <c r="AO136" s="62">
        <f t="shared" si="144"/>
        <v>178.72086185623849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1.7</v>
      </c>
      <c r="BD136" s="13">
        <f>IF('Données projet'!$A$88&gt;35,BD135+BC136-BL135,IF(A136&lt;'Données projet'!$A$88,$BA$205^A136,IF(A136='Données projet'!$A$88,'Données projet'!$B$88,BD135+BC136-BL135)))</f>
        <v>236.09999999999974</v>
      </c>
      <c r="BE136" s="14">
        <f>BD136*VLOOKUP('Données projet'!$B$11,Paramètres!$A$1:$I$89,3,0)*VLOOKUP('Données projet'!$B$11,Paramètres!$A$1:$I$89,5,0)</f>
        <v>254.13803999999968</v>
      </c>
      <c r="BF136" s="14">
        <f t="shared" si="145"/>
        <v>61.471191439681782</v>
      </c>
      <c r="BG136" s="22">
        <f t="shared" si="115"/>
        <v>549.68607809077855</v>
      </c>
      <c r="BH136" s="62">
        <f t="shared" si="116"/>
        <v>834.07830977111189</v>
      </c>
      <c r="BI136" s="62">
        <f ca="1">AVERAGE(OFFSET($BH$3,0,0,'Données projet'!$E$11+1,1))-AVERAGE(OFFSET($H$3,0,0,'Données projet'!$E$11+1,1))</f>
        <v>434.74983403680108</v>
      </c>
      <c r="BJ136" s="62">
        <f t="shared" si="146"/>
        <v>186.0840067781198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1.1368683772161603E-13</v>
      </c>
      <c r="BZ136" s="14">
        <f>BY136*VLOOKUP('Données projet'!$B$12,Paramètres!$A$1:$I$89,3,0)*VLOOKUP('Données projet'!$B$12,Paramètres!$A$1:$I$89,5,0)</f>
        <v>9.7543306765146564E-14</v>
      </c>
      <c r="CA136" s="14">
        <f t="shared" si="147"/>
        <v>1.4696264278629426E-12</v>
      </c>
      <c r="CB136" s="22">
        <f t="shared" si="118"/>
        <v>2.7294872878105889E-12</v>
      </c>
      <c r="CC136" s="62">
        <f t="shared" si="119"/>
        <v>284.39223168033612</v>
      </c>
      <c r="CD136" s="62">
        <f ca="1">AVERAGE(OFFSET($CC$3,0,0,'Données projet'!$E$12+1,1))-AVERAGE(OFFSET($H$3,0,0,'Données projet'!$E$12+1,1))</f>
        <v>288.24759203983547</v>
      </c>
      <c r="CE136" s="62">
        <f t="shared" si="148"/>
        <v>188.86613033148794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1.1368683772161603E-13</v>
      </c>
      <c r="CU136" s="18">
        <f>CT136*VLOOKUP('Données projet'!$B$13,Paramètres!$A$1:$I$89,3,0)*VLOOKUP('Données projet'!$B$13,Paramètres!$A$1:$I$89,5,0)</f>
        <v>7.626113074366004E-14</v>
      </c>
      <c r="CV136" s="14">
        <f t="shared" si="149"/>
        <v>1.1823749172251317E-12</v>
      </c>
      <c r="CW136" s="22">
        <f t="shared" si="121"/>
        <v>2.1921244502123119E-12</v>
      </c>
      <c r="CX136" s="62">
        <f t="shared" si="122"/>
        <v>284.39223168033561</v>
      </c>
      <c r="CY136" s="62">
        <f ca="1">AVERAGE(OFFSET($CX$3,0,0,'Données projet'!$E$13+1,1))-AVERAGE(OFFSET($H$3,0,0,'Données projet'!$E$13+1,1))</f>
        <v>240.40157928925146</v>
      </c>
      <c r="CZ136" s="62">
        <f t="shared" si="150"/>
        <v>160.5013084380258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1.7</v>
      </c>
      <c r="DO136" s="13">
        <f>IF('Données projet'!$A$166&gt;35,DO135+DN136-DW135,IF(A136&lt;'Données projet'!$A$166,$DL$205^A136,IF(A136='Données projet'!$A$166,'Données projet'!$B$166,DO135+DN136-DW135)))</f>
        <v>236.09999999999974</v>
      </c>
      <c r="DP136" s="18">
        <f>DO136*VLOOKUP('Données projet'!$B$14,Paramètres!$A$1:$I$89,3,0)*VLOOKUP('Données projet'!$B$14,Paramètres!$A$1:$I$89,5,0)</f>
        <v>228.35591999999974</v>
      </c>
      <c r="DQ136" s="14">
        <f t="shared" si="151"/>
        <v>55.927044709983541</v>
      </c>
      <c r="DR136" s="22">
        <f t="shared" si="124"/>
        <v>495.1261635365542</v>
      </c>
      <c r="DS136" s="62">
        <f t="shared" si="125"/>
        <v>779.5183952168876</v>
      </c>
      <c r="DT136" s="62">
        <f ca="1">AVERAGE(OFFSET($DS$3,0,0,'Données projet'!$E$14+1,1))-AVERAGE(OFFSET($H$3,0,0,'Données projet'!$E$14+1,1))</f>
        <v>398.93296311353788</v>
      </c>
      <c r="DU136" s="62">
        <f t="shared" si="152"/>
        <v>173.19148969173838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-5.6843418860808015E-14</v>
      </c>
      <c r="EK136" s="18">
        <f>EJ136*VLOOKUP('Données projet'!$B$15,Paramètres!$A$1:$I$89,3,0)*VLOOKUP('Données projet'!$B$15,Paramètres!$A$1:$I$89,5,0)</f>
        <v>-4.9658410716801891E-14</v>
      </c>
      <c r="EL136" s="14" t="e">
        <f t="shared" si="153"/>
        <v>#NUM!</v>
      </c>
      <c r="EM136" s="22" t="e">
        <f t="shared" si="127"/>
        <v>#NUM!</v>
      </c>
      <c r="EN136" s="62" t="e">
        <f t="shared" si="128"/>
        <v>#NUM!</v>
      </c>
      <c r="EO136" s="62">
        <f ca="1">AVERAGE(OFFSET($EN$3,0,0,'Données projet'!$E$15+1,1))-AVERAGE(OFFSET($H$3,0,0,'Données projet'!$E$15+1,1))</f>
        <v>226.37420733783091</v>
      </c>
      <c r="EP136" s="62">
        <f t="shared" si="154"/>
        <v>204.10961748628714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6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9">
        <f t="shared" si="110"/>
        <v>183.33333333333334</v>
      </c>
      <c r="I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2.8421709430404007E-13</v>
      </c>
      <c r="O137" s="14">
        <f>N137*VLOOKUP('Données projet'!$B$9,Paramètres!$A$1:$I$89,3,0)*VLOOKUP('Données projet'!$B$9,Paramètres!$A$1:$I$89,5,0)</f>
        <v>1.6626700016786346E-13</v>
      </c>
      <c r="P137" s="14">
        <f t="shared" si="141"/>
        <v>2.3542701735863119E-12</v>
      </c>
      <c r="Q137" s="22">
        <f t="shared" si="108"/>
        <v>4.3899355776218544E-12</v>
      </c>
      <c r="R137" s="62">
        <f t="shared" si="109"/>
        <v>284.54733980470866</v>
      </c>
      <c r="S137" s="62">
        <f ca="1">AVERAGE(OFFSET($R$3,0,0,'Données projet'!$E$9+1,1))-AVERAGE(OFFSET($H$3,0,0,'Données projet'!$E$9+1,1))</f>
        <v>196.48726929442091</v>
      </c>
      <c r="T137" s="62">
        <f t="shared" si="142"/>
        <v>193.28400454669347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3.5297412675542786E-15</v>
      </c>
      <c r="AC137" s="24">
        <f t="shared" si="111"/>
        <v>3.5297412675542786E-15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1.7</v>
      </c>
      <c r="AI137" s="14">
        <f>IF('Données projet'!$A$62&gt;35,AI136+AH137-AQ136,IF(A137&lt;'Données projet'!$A$62,$AF$205^A137,IF(A137='Données projet'!$A$62,'Données projet'!$B$62,AI136+AH137-AQ136)))</f>
        <v>237.79999999999973</v>
      </c>
      <c r="AJ137" s="14">
        <f>AI137*VLOOKUP('Données projet'!$B$10,Paramètres!$A$1:$I$89,3,0)*VLOOKUP('Données projet'!$B$10,Paramètres!$A$1:$I$89,5,0)</f>
        <v>241.12919999999974</v>
      </c>
      <c r="AK137" s="14">
        <f t="shared" si="143"/>
        <v>58.682416951153961</v>
      </c>
      <c r="AL137" s="22">
        <f t="shared" si="112"/>
        <v>522.17189952325941</v>
      </c>
      <c r="AM137" s="62">
        <f t="shared" si="113"/>
        <v>806.71923932796369</v>
      </c>
      <c r="AN137" s="62">
        <f ca="1">AVERAGE(OFFSET($AM$3,0,0,'Données projet'!$E$10+1,1))-AVERAGE(OFFSET($H$3,0,0,'Données projet'!$E$10+1,1))</f>
        <v>414.29294334114661</v>
      </c>
      <c r="AO137" s="62">
        <f t="shared" si="144"/>
        <v>178.72086185623849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1.7</v>
      </c>
      <c r="BD137" s="13">
        <f>IF('Données projet'!$A$88&gt;35,BD136+BC137-BL136,IF(A137&lt;'Données projet'!$A$88,$BA$205^A137,IF(A137='Données projet'!$A$88,'Données projet'!$B$88,BD136+BC137-BL136)))</f>
        <v>237.79999999999973</v>
      </c>
      <c r="BE137" s="14">
        <f>BD137*VLOOKUP('Données projet'!$B$11,Paramètres!$A$1:$I$89,3,0)*VLOOKUP('Données projet'!$B$11,Paramètres!$A$1:$I$89,5,0)</f>
        <v>255.96791999999968</v>
      </c>
      <c r="BF137" s="14">
        <f t="shared" si="145"/>
        <v>61.862121192381288</v>
      </c>
      <c r="BG137" s="22">
        <f t="shared" si="115"/>
        <v>553.55398841006343</v>
      </c>
      <c r="BH137" s="62">
        <f t="shared" si="116"/>
        <v>838.1013282147677</v>
      </c>
      <c r="BI137" s="62">
        <f ca="1">AVERAGE(OFFSET($BH$3,0,0,'Données projet'!$E$11+1,1))-AVERAGE(OFFSET($H$3,0,0,'Données projet'!$E$11+1,1))</f>
        <v>434.74983403680108</v>
      </c>
      <c r="BJ137" s="62">
        <f t="shared" si="146"/>
        <v>186.0840067781198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1.1368683772161603E-13</v>
      </c>
      <c r="BZ137" s="14">
        <f>BY137*VLOOKUP('Données projet'!$B$12,Paramètres!$A$1:$I$89,3,0)*VLOOKUP('Données projet'!$B$12,Paramètres!$A$1:$I$89,5,0)</f>
        <v>9.7543306765146564E-14</v>
      </c>
      <c r="CA137" s="14">
        <f t="shared" si="147"/>
        <v>1.4696264278629426E-12</v>
      </c>
      <c r="CB137" s="22">
        <f t="shared" si="118"/>
        <v>2.7294872878105889E-12</v>
      </c>
      <c r="CC137" s="62">
        <f t="shared" si="119"/>
        <v>284.54733980470701</v>
      </c>
      <c r="CD137" s="62">
        <f ca="1">AVERAGE(OFFSET($CC$3,0,0,'Données projet'!$E$12+1,1))-AVERAGE(OFFSET($H$3,0,0,'Données projet'!$E$12+1,1))</f>
        <v>288.24759203983547</v>
      </c>
      <c r="CE137" s="62">
        <f t="shared" si="148"/>
        <v>188.86613033148794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1.1368683772161603E-13</v>
      </c>
      <c r="CU137" s="18">
        <f>CT137*VLOOKUP('Données projet'!$B$13,Paramètres!$A$1:$I$89,3,0)*VLOOKUP('Données projet'!$B$13,Paramètres!$A$1:$I$89,5,0)</f>
        <v>7.626113074366004E-14</v>
      </c>
      <c r="CV137" s="14">
        <f t="shared" si="149"/>
        <v>1.1823749172251317E-12</v>
      </c>
      <c r="CW137" s="22">
        <f t="shared" si="121"/>
        <v>2.1921244502123119E-12</v>
      </c>
      <c r="CX137" s="62">
        <f t="shared" si="122"/>
        <v>284.5473398047065</v>
      </c>
      <c r="CY137" s="62">
        <f ca="1">AVERAGE(OFFSET($CX$3,0,0,'Données projet'!$E$13+1,1))-AVERAGE(OFFSET($H$3,0,0,'Données projet'!$E$13+1,1))</f>
        <v>240.40157928925146</v>
      </c>
      <c r="CZ137" s="62">
        <f t="shared" si="150"/>
        <v>160.5013084380258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1.7</v>
      </c>
      <c r="DO137" s="13">
        <f>IF('Données projet'!$A$166&gt;35,DO136+DN137-DW136,IF(A137&lt;'Données projet'!$A$166,$DL$205^A137,IF(A137='Données projet'!$A$166,'Données projet'!$B$166,DO136+DN137-DW136)))</f>
        <v>237.79999999999973</v>
      </c>
      <c r="DP137" s="18">
        <f>DO137*VLOOKUP('Données projet'!$B$14,Paramètres!$A$1:$I$89,3,0)*VLOOKUP('Données projet'!$B$14,Paramètres!$A$1:$I$89,5,0)</f>
        <v>230.00015999999977</v>
      </c>
      <c r="DQ137" s="14">
        <f t="shared" si="151"/>
        <v>56.282716126880374</v>
      </c>
      <c r="DR137" s="22">
        <f t="shared" si="124"/>
        <v>498.60934258764951</v>
      </c>
      <c r="DS137" s="62">
        <f t="shared" si="125"/>
        <v>783.15668239235379</v>
      </c>
      <c r="DT137" s="62">
        <f ca="1">AVERAGE(OFFSET($DS$3,0,0,'Données projet'!$E$14+1,1))-AVERAGE(OFFSET($H$3,0,0,'Données projet'!$E$14+1,1))</f>
        <v>398.93296311353788</v>
      </c>
      <c r="DU137" s="62">
        <f t="shared" si="152"/>
        <v>173.19148969173838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-5.6843418860808015E-14</v>
      </c>
      <c r="EK137" s="18">
        <f>EJ137*VLOOKUP('Données projet'!$B$15,Paramètres!$A$1:$I$89,3,0)*VLOOKUP('Données projet'!$B$15,Paramètres!$A$1:$I$89,5,0)</f>
        <v>-4.9658410716801891E-14</v>
      </c>
      <c r="EL137" s="14" t="e">
        <f t="shared" si="153"/>
        <v>#NUM!</v>
      </c>
      <c r="EM137" s="22" t="e">
        <f t="shared" si="127"/>
        <v>#NUM!</v>
      </c>
      <c r="EN137" s="62" t="e">
        <f t="shared" si="128"/>
        <v>#NUM!</v>
      </c>
      <c r="EO137" s="62">
        <f ca="1">AVERAGE(OFFSET($EN$3,0,0,'Données projet'!$E$15+1,1))-AVERAGE(OFFSET($H$3,0,0,'Données projet'!$E$15+1,1))</f>
        <v>226.37420733783091</v>
      </c>
      <c r="EP137" s="62">
        <f t="shared" si="154"/>
        <v>204.10961748628714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6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9">
        <f t="shared" si="110"/>
        <v>183.33333333333334</v>
      </c>
      <c r="I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2.8421709430404007E-13</v>
      </c>
      <c r="O138" s="14">
        <f>N138*VLOOKUP('Données projet'!$B$9,Paramètres!$A$1:$I$89,3,0)*VLOOKUP('Données projet'!$B$9,Paramètres!$A$1:$I$89,5,0)</f>
        <v>1.6626700016786346E-13</v>
      </c>
      <c r="P138" s="14">
        <f t="shared" si="141"/>
        <v>2.3542701735863119E-12</v>
      </c>
      <c r="Q138" s="22">
        <f t="shared" si="108"/>
        <v>4.3899355776218544E-12</v>
      </c>
      <c r="R138" s="62">
        <f t="shared" si="109"/>
        <v>284.69975714989152</v>
      </c>
      <c r="S138" s="62">
        <f ca="1">AVERAGE(OFFSET($R$3,0,0,'Données projet'!$E$9+1,1))-AVERAGE(OFFSET($H$3,0,0,'Données projet'!$E$9+1,1))</f>
        <v>196.48726929442091</v>
      </c>
      <c r="T138" s="62">
        <f t="shared" si="142"/>
        <v>193.28400454669347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2.4959039861216303E-15</v>
      </c>
      <c r="AC138" s="24">
        <f t="shared" si="111"/>
        <v>2.4959039861216303E-15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1.7</v>
      </c>
      <c r="AI138" s="14">
        <f>IF('Données projet'!$A$62&gt;35,AI137+AH138-AQ137,IF(A138&lt;'Données projet'!$A$62,$AF$205^A138,IF(A138='Données projet'!$A$62,'Données projet'!$B$62,AI137+AH138-AQ137)))</f>
        <v>239.49999999999972</v>
      </c>
      <c r="AJ138" s="14">
        <f>AI138*VLOOKUP('Données projet'!$B$10,Paramètres!$A$1:$I$89,3,0)*VLOOKUP('Données projet'!$B$10,Paramètres!$A$1:$I$89,5,0)</f>
        <v>242.85299999999972</v>
      </c>
      <c r="AK138" s="14">
        <f t="shared" si="143"/>
        <v>59.052944512700364</v>
      </c>
      <c r="AL138" s="22">
        <f t="shared" si="112"/>
        <v>525.819520026286</v>
      </c>
      <c r="AM138" s="62">
        <f t="shared" si="113"/>
        <v>810.51927717617309</v>
      </c>
      <c r="AN138" s="62">
        <f ca="1">AVERAGE(OFFSET($AM$3,0,0,'Données projet'!$E$10+1,1))-AVERAGE(OFFSET($H$3,0,0,'Données projet'!$E$10+1,1))</f>
        <v>414.29294334114661</v>
      </c>
      <c r="AO138" s="62">
        <f t="shared" si="144"/>
        <v>178.72086185623849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1.7</v>
      </c>
      <c r="BD138" s="13">
        <f>IF('Données projet'!$A$88&gt;35,BD137+BC138-BL137,IF(A138&lt;'Données projet'!$A$88,$BA$205^A138,IF(A138='Données projet'!$A$88,'Données projet'!$B$88,BD137+BC138-BL137)))</f>
        <v>239.49999999999972</v>
      </c>
      <c r="BE138" s="14">
        <f>BD138*VLOOKUP('Données projet'!$B$11,Paramètres!$A$1:$I$89,3,0)*VLOOKUP('Données projet'!$B$11,Paramètres!$A$1:$I$89,5,0)</f>
        <v>257.79779999999971</v>
      </c>
      <c r="BF138" s="14">
        <f t="shared" si="145"/>
        <v>62.252725773930493</v>
      </c>
      <c r="BG138" s="22">
        <f t="shared" si="115"/>
        <v>557.42133238959502</v>
      </c>
      <c r="BH138" s="62">
        <f t="shared" si="116"/>
        <v>842.12108953948223</v>
      </c>
      <c r="BI138" s="62">
        <f ca="1">AVERAGE(OFFSET($BH$3,0,0,'Données projet'!$E$11+1,1))-AVERAGE(OFFSET($H$3,0,0,'Données projet'!$E$11+1,1))</f>
        <v>434.74983403680108</v>
      </c>
      <c r="BJ138" s="62">
        <f t="shared" si="146"/>
        <v>186.0840067781198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1.1368683772161603E-13</v>
      </c>
      <c r="BZ138" s="14">
        <f>BY138*VLOOKUP('Données projet'!$B$12,Paramètres!$A$1:$I$89,3,0)*VLOOKUP('Données projet'!$B$12,Paramètres!$A$1:$I$89,5,0)</f>
        <v>9.7543306765146564E-14</v>
      </c>
      <c r="CA138" s="14">
        <f t="shared" si="147"/>
        <v>1.4696264278629426E-12</v>
      </c>
      <c r="CB138" s="22">
        <f t="shared" si="118"/>
        <v>2.7294872878105889E-12</v>
      </c>
      <c r="CC138" s="62">
        <f t="shared" si="119"/>
        <v>284.69975714988988</v>
      </c>
      <c r="CD138" s="62">
        <f ca="1">AVERAGE(OFFSET($CC$3,0,0,'Données projet'!$E$12+1,1))-AVERAGE(OFFSET($H$3,0,0,'Données projet'!$E$12+1,1))</f>
        <v>288.24759203983547</v>
      </c>
      <c r="CE138" s="62">
        <f t="shared" si="148"/>
        <v>188.86613033148794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1.1368683772161603E-13</v>
      </c>
      <c r="CU138" s="18">
        <f>CT138*VLOOKUP('Données projet'!$B$13,Paramètres!$A$1:$I$89,3,0)*VLOOKUP('Données projet'!$B$13,Paramètres!$A$1:$I$89,5,0)</f>
        <v>7.626113074366004E-14</v>
      </c>
      <c r="CV138" s="14">
        <f t="shared" si="149"/>
        <v>1.1823749172251317E-12</v>
      </c>
      <c r="CW138" s="22">
        <f t="shared" si="121"/>
        <v>2.1921244502123119E-12</v>
      </c>
      <c r="CX138" s="62">
        <f t="shared" si="122"/>
        <v>284.69975714988936</v>
      </c>
      <c r="CY138" s="62">
        <f ca="1">AVERAGE(OFFSET($CX$3,0,0,'Données projet'!$E$13+1,1))-AVERAGE(OFFSET($H$3,0,0,'Données projet'!$E$13+1,1))</f>
        <v>240.40157928925146</v>
      </c>
      <c r="CZ138" s="62">
        <f t="shared" si="150"/>
        <v>160.5013084380258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1.7</v>
      </c>
      <c r="DO138" s="13">
        <f>IF('Données projet'!$A$166&gt;35,DO137+DN138-DW137,IF(A138&lt;'Données projet'!$A$166,$DL$205^A138,IF(A138='Données projet'!$A$166,'Données projet'!$B$166,DO137+DN138-DW137)))</f>
        <v>239.49999999999972</v>
      </c>
      <c r="DP138" s="18">
        <f>DO138*VLOOKUP('Données projet'!$B$14,Paramètres!$A$1:$I$89,3,0)*VLOOKUP('Données projet'!$B$14,Paramètres!$A$1:$I$89,5,0)</f>
        <v>231.64439999999971</v>
      </c>
      <c r="DQ138" s="14">
        <f t="shared" si="151"/>
        <v>56.638091700130147</v>
      </c>
      <c r="DR138" s="22">
        <f t="shared" si="124"/>
        <v>502.09200637772619</v>
      </c>
      <c r="DS138" s="62">
        <f t="shared" si="125"/>
        <v>786.79176352761328</v>
      </c>
      <c r="DT138" s="62">
        <f ca="1">AVERAGE(OFFSET($DS$3,0,0,'Données projet'!$E$14+1,1))-AVERAGE(OFFSET($H$3,0,0,'Données projet'!$E$14+1,1))</f>
        <v>398.93296311353788</v>
      </c>
      <c r="DU138" s="62">
        <f t="shared" si="152"/>
        <v>173.19148969173838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-5.6843418860808015E-14</v>
      </c>
      <c r="EK138" s="18">
        <f>EJ138*VLOOKUP('Données projet'!$B$15,Paramètres!$A$1:$I$89,3,0)*VLOOKUP('Données projet'!$B$15,Paramètres!$A$1:$I$89,5,0)</f>
        <v>-4.9658410716801891E-14</v>
      </c>
      <c r="EL138" s="14" t="e">
        <f t="shared" si="153"/>
        <v>#NUM!</v>
      </c>
      <c r="EM138" s="22" t="e">
        <f t="shared" si="127"/>
        <v>#NUM!</v>
      </c>
      <c r="EN138" s="62" t="e">
        <f t="shared" si="128"/>
        <v>#NUM!</v>
      </c>
      <c r="EO138" s="62">
        <f ca="1">AVERAGE(OFFSET($EN$3,0,0,'Données projet'!$E$15+1,1))-AVERAGE(OFFSET($H$3,0,0,'Données projet'!$E$15+1,1))</f>
        <v>226.37420733783091</v>
      </c>
      <c r="EP138" s="62">
        <f t="shared" si="154"/>
        <v>204.10961748628714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6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9">
        <f t="shared" si="110"/>
        <v>183.33333333333334</v>
      </c>
      <c r="I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2.8421709430404007E-13</v>
      </c>
      <c r="O139" s="14">
        <f>N139*VLOOKUP('Données projet'!$B$9,Paramètres!$A$1:$I$89,3,0)*VLOOKUP('Données projet'!$B$9,Paramètres!$A$1:$I$89,5,0)</f>
        <v>1.6626700016786346E-13</v>
      </c>
      <c r="P139" s="14">
        <f t="shared" si="141"/>
        <v>2.3542701735863119E-12</v>
      </c>
      <c r="Q139" s="22">
        <f t="shared" si="108"/>
        <v>4.3899355776218544E-12</v>
      </c>
      <c r="R139" s="62">
        <f t="shared" si="109"/>
        <v>284.8495303948896</v>
      </c>
      <c r="S139" s="62">
        <f ca="1">AVERAGE(OFFSET($R$3,0,0,'Données projet'!$E$9+1,1))-AVERAGE(OFFSET($H$3,0,0,'Données projet'!$E$9+1,1))</f>
        <v>196.48726929442091</v>
      </c>
      <c r="T139" s="62">
        <f t="shared" si="142"/>
        <v>193.28400454669347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1.7648706337771395E-15</v>
      </c>
      <c r="AC139" s="24">
        <f t="shared" si="111"/>
        <v>1.7648706337771395E-15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1.7</v>
      </c>
      <c r="AI139" s="14">
        <f>IF('Données projet'!$A$62&gt;35,AI138+AH139-AQ138,IF(A139&lt;'Données projet'!$A$62,$AF$205^A139,IF(A139='Données projet'!$A$62,'Données projet'!$B$62,AI138+AH139-AQ138)))</f>
        <v>241.1999999999997</v>
      </c>
      <c r="AJ139" s="14">
        <f>AI139*VLOOKUP('Données projet'!$B$10,Paramètres!$A$1:$I$89,3,0)*VLOOKUP('Données projet'!$B$10,Paramètres!$A$1:$I$89,5,0)</f>
        <v>244.57679999999971</v>
      </c>
      <c r="AK139" s="14">
        <f t="shared" si="143"/>
        <v>59.423166060201098</v>
      </c>
      <c r="AL139" s="22">
        <f t="shared" si="112"/>
        <v>529.4666075548497</v>
      </c>
      <c r="AM139" s="62">
        <f t="shared" si="113"/>
        <v>814.31613794973487</v>
      </c>
      <c r="AN139" s="62">
        <f ca="1">AVERAGE(OFFSET($AM$3,0,0,'Données projet'!$E$10+1,1))-AVERAGE(OFFSET($H$3,0,0,'Données projet'!$E$10+1,1))</f>
        <v>414.29294334114661</v>
      </c>
      <c r="AO139" s="62">
        <f t="shared" si="144"/>
        <v>178.72086185623849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1.7</v>
      </c>
      <c r="BD139" s="13">
        <f>IF('Données projet'!$A$88&gt;35,BD138+BC139-BL138,IF(A139&lt;'Données projet'!$A$88,$BA$205^A139,IF(A139='Données projet'!$A$88,'Données projet'!$B$88,BD138+BC139-BL138)))</f>
        <v>241.1999999999997</v>
      </c>
      <c r="BE139" s="14">
        <f>BD139*VLOOKUP('Données projet'!$B$11,Paramètres!$A$1:$I$89,3,0)*VLOOKUP('Données projet'!$B$11,Paramètres!$A$1:$I$89,5,0)</f>
        <v>259.62767999999966</v>
      </c>
      <c r="BF139" s="14">
        <f t="shared" si="145"/>
        <v>62.643007760076038</v>
      </c>
      <c r="BG139" s="22">
        <f t="shared" si="115"/>
        <v>561.28811451546517</v>
      </c>
      <c r="BH139" s="62">
        <f t="shared" si="116"/>
        <v>846.13764491035045</v>
      </c>
      <c r="BI139" s="62">
        <f ca="1">AVERAGE(OFFSET($BH$3,0,0,'Données projet'!$E$11+1,1))-AVERAGE(OFFSET($H$3,0,0,'Données projet'!$E$11+1,1))</f>
        <v>434.74983403680108</v>
      </c>
      <c r="BJ139" s="62">
        <f t="shared" si="146"/>
        <v>186.0840067781198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1.1368683772161603E-13</v>
      </c>
      <c r="BZ139" s="14">
        <f>BY139*VLOOKUP('Données projet'!$B$12,Paramètres!$A$1:$I$89,3,0)*VLOOKUP('Données projet'!$B$12,Paramètres!$A$1:$I$89,5,0)</f>
        <v>9.7543306765146564E-14</v>
      </c>
      <c r="CA139" s="14">
        <f t="shared" si="147"/>
        <v>1.4696264278629426E-12</v>
      </c>
      <c r="CB139" s="22">
        <f t="shared" si="118"/>
        <v>2.7294872878105889E-12</v>
      </c>
      <c r="CC139" s="62">
        <f t="shared" si="119"/>
        <v>284.84953039488795</v>
      </c>
      <c r="CD139" s="62">
        <f ca="1">AVERAGE(OFFSET($CC$3,0,0,'Données projet'!$E$12+1,1))-AVERAGE(OFFSET($H$3,0,0,'Données projet'!$E$12+1,1))</f>
        <v>288.24759203983547</v>
      </c>
      <c r="CE139" s="62">
        <f t="shared" si="148"/>
        <v>188.86613033148794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1.1368683772161603E-13</v>
      </c>
      <c r="CU139" s="18">
        <f>CT139*VLOOKUP('Données projet'!$B$13,Paramètres!$A$1:$I$89,3,0)*VLOOKUP('Données projet'!$B$13,Paramètres!$A$1:$I$89,5,0)</f>
        <v>7.626113074366004E-14</v>
      </c>
      <c r="CV139" s="14">
        <f t="shared" si="149"/>
        <v>1.1823749172251317E-12</v>
      </c>
      <c r="CW139" s="22">
        <f t="shared" si="121"/>
        <v>2.1921244502123119E-12</v>
      </c>
      <c r="CX139" s="62">
        <f t="shared" si="122"/>
        <v>284.84953039488744</v>
      </c>
      <c r="CY139" s="62">
        <f ca="1">AVERAGE(OFFSET($CX$3,0,0,'Données projet'!$E$13+1,1))-AVERAGE(OFFSET($H$3,0,0,'Données projet'!$E$13+1,1))</f>
        <v>240.40157928925146</v>
      </c>
      <c r="CZ139" s="62">
        <f t="shared" si="150"/>
        <v>160.5013084380258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1.7</v>
      </c>
      <c r="DO139" s="13">
        <f>IF('Données projet'!$A$166&gt;35,DO138+DN139-DW138,IF(A139&lt;'Données projet'!$A$166,$DL$205^A139,IF(A139='Données projet'!$A$166,'Données projet'!$B$166,DO138+DN139-DW138)))</f>
        <v>241.1999999999997</v>
      </c>
      <c r="DP139" s="18">
        <f>DO139*VLOOKUP('Données projet'!$B$14,Paramètres!$A$1:$I$89,3,0)*VLOOKUP('Données projet'!$B$14,Paramètres!$A$1:$I$89,5,0)</f>
        <v>233.2886399999997</v>
      </c>
      <c r="DQ139" s="14">
        <f t="shared" si="151"/>
        <v>56.993173773170518</v>
      </c>
      <c r="DR139" s="22">
        <f t="shared" si="124"/>
        <v>505.57415898827139</v>
      </c>
      <c r="DS139" s="62">
        <f t="shared" si="125"/>
        <v>790.42368938315667</v>
      </c>
      <c r="DT139" s="62">
        <f ca="1">AVERAGE(OFFSET($DS$3,0,0,'Données projet'!$E$14+1,1))-AVERAGE(OFFSET($H$3,0,0,'Données projet'!$E$14+1,1))</f>
        <v>398.93296311353788</v>
      </c>
      <c r="DU139" s="62">
        <f t="shared" si="152"/>
        <v>173.19148969173838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-5.6843418860808015E-14</v>
      </c>
      <c r="EK139" s="18">
        <f>EJ139*VLOOKUP('Données projet'!$B$15,Paramètres!$A$1:$I$89,3,0)*VLOOKUP('Données projet'!$B$15,Paramètres!$A$1:$I$89,5,0)</f>
        <v>-4.9658410716801891E-14</v>
      </c>
      <c r="EL139" s="14" t="e">
        <f t="shared" si="153"/>
        <v>#NUM!</v>
      </c>
      <c r="EM139" s="22" t="e">
        <f t="shared" si="127"/>
        <v>#NUM!</v>
      </c>
      <c r="EN139" s="62" t="e">
        <f t="shared" si="128"/>
        <v>#NUM!</v>
      </c>
      <c r="EO139" s="62">
        <f ca="1">AVERAGE(OFFSET($EN$3,0,0,'Données projet'!$E$15+1,1))-AVERAGE(OFFSET($H$3,0,0,'Données projet'!$E$15+1,1))</f>
        <v>226.37420733783091</v>
      </c>
      <c r="EP139" s="62">
        <f t="shared" si="154"/>
        <v>204.10961748628714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6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9">
        <f t="shared" si="110"/>
        <v>183.33333333333334</v>
      </c>
      <c r="I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2.8421709430404007E-13</v>
      </c>
      <c r="O140" s="14">
        <f>N140*VLOOKUP('Données projet'!$B$9,Paramètres!$A$1:$I$89,3,0)*VLOOKUP('Données projet'!$B$9,Paramètres!$A$1:$I$89,5,0)</f>
        <v>1.6626700016786346E-13</v>
      </c>
      <c r="P140" s="14">
        <f t="shared" si="141"/>
        <v>2.3542701735863119E-12</v>
      </c>
      <c r="Q140" s="22">
        <f t="shared" si="108"/>
        <v>4.3899355776218544E-12</v>
      </c>
      <c r="R140" s="62">
        <f t="shared" si="109"/>
        <v>284.99670540892976</v>
      </c>
      <c r="S140" s="62">
        <f ca="1">AVERAGE(OFFSET($R$3,0,0,'Données projet'!$E$9+1,1))-AVERAGE(OFFSET($H$3,0,0,'Données projet'!$E$9+1,1))</f>
        <v>196.48726929442091</v>
      </c>
      <c r="T140" s="62">
        <f t="shared" si="142"/>
        <v>193.28400454669347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1.2479519930608153E-15</v>
      </c>
      <c r="AC140" s="24">
        <f t="shared" si="111"/>
        <v>1.2479519930608153E-15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1.7</v>
      </c>
      <c r="AI140" s="14">
        <f>IF('Données projet'!$A$62&gt;35,AI139+AH140-AQ139,IF(A140&lt;'Données projet'!$A$62,$AF$205^A140,IF(A140='Données projet'!$A$62,'Données projet'!$B$62,AI139+AH140-AQ139)))</f>
        <v>242.89999999999969</v>
      </c>
      <c r="AJ140" s="14">
        <f>AI140*VLOOKUP('Données projet'!$B$10,Paramètres!$A$1:$I$89,3,0)*VLOOKUP('Données projet'!$B$10,Paramètres!$A$1:$I$89,5,0)</f>
        <v>246.30059999999969</v>
      </c>
      <c r="AK140" s="14">
        <f t="shared" si="143"/>
        <v>59.793084000577373</v>
      </c>
      <c r="AL140" s="22">
        <f t="shared" si="112"/>
        <v>533.11316630100498</v>
      </c>
      <c r="AM140" s="62">
        <f t="shared" si="113"/>
        <v>818.1098717099303</v>
      </c>
      <c r="AN140" s="62">
        <f ca="1">AVERAGE(OFFSET($AM$3,0,0,'Données projet'!$E$10+1,1))-AVERAGE(OFFSET($H$3,0,0,'Données projet'!$E$10+1,1))</f>
        <v>414.29294334114661</v>
      </c>
      <c r="AO140" s="62">
        <f t="shared" si="144"/>
        <v>178.72086185623849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1.7</v>
      </c>
      <c r="BD140" s="13">
        <f>IF('Données projet'!$A$88&gt;35,BD139+BC140-BL139,IF(A140&lt;'Données projet'!$A$88,$BA$205^A140,IF(A140='Données projet'!$A$88,'Données projet'!$B$88,BD139+BC140-BL139)))</f>
        <v>242.89999999999969</v>
      </c>
      <c r="BE140" s="14">
        <f>BD140*VLOOKUP('Données projet'!$B$11,Paramètres!$A$1:$I$89,3,0)*VLOOKUP('Données projet'!$B$11,Paramètres!$A$1:$I$89,5,0)</f>
        <v>261.45755999999966</v>
      </c>
      <c r="BF140" s="14">
        <f t="shared" si="145"/>
        <v>63.032969688158204</v>
      </c>
      <c r="BG140" s="22">
        <f t="shared" si="115"/>
        <v>565.15433920687485</v>
      </c>
      <c r="BH140" s="62">
        <f t="shared" si="116"/>
        <v>850.15104461580017</v>
      </c>
      <c r="BI140" s="62">
        <f ca="1">AVERAGE(OFFSET($BH$3,0,0,'Données projet'!$E$11+1,1))-AVERAGE(OFFSET($H$3,0,0,'Données projet'!$E$11+1,1))</f>
        <v>434.74983403680108</v>
      </c>
      <c r="BJ140" s="62">
        <f t="shared" si="146"/>
        <v>186.0840067781198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1.1368683772161603E-13</v>
      </c>
      <c r="BZ140" s="14">
        <f>BY140*VLOOKUP('Données projet'!$B$12,Paramètres!$A$1:$I$89,3,0)*VLOOKUP('Données projet'!$B$12,Paramètres!$A$1:$I$89,5,0)</f>
        <v>9.7543306765146564E-14</v>
      </c>
      <c r="CA140" s="14">
        <f t="shared" si="147"/>
        <v>1.4696264278629426E-12</v>
      </c>
      <c r="CB140" s="22">
        <f t="shared" si="118"/>
        <v>2.7294872878105889E-12</v>
      </c>
      <c r="CC140" s="62">
        <f t="shared" si="119"/>
        <v>284.99670540892811</v>
      </c>
      <c r="CD140" s="62">
        <f ca="1">AVERAGE(OFFSET($CC$3,0,0,'Données projet'!$E$12+1,1))-AVERAGE(OFFSET($H$3,0,0,'Données projet'!$E$12+1,1))</f>
        <v>288.24759203983547</v>
      </c>
      <c r="CE140" s="62">
        <f t="shared" si="148"/>
        <v>188.86613033148794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1.1368683772161603E-13</v>
      </c>
      <c r="CU140" s="18">
        <f>CT140*VLOOKUP('Données projet'!$B$13,Paramètres!$A$1:$I$89,3,0)*VLOOKUP('Données projet'!$B$13,Paramètres!$A$1:$I$89,5,0)</f>
        <v>7.626113074366004E-14</v>
      </c>
      <c r="CV140" s="14">
        <f t="shared" si="149"/>
        <v>1.1823749172251317E-12</v>
      </c>
      <c r="CW140" s="22">
        <f t="shared" si="121"/>
        <v>2.1921244502123119E-12</v>
      </c>
      <c r="CX140" s="62">
        <f t="shared" si="122"/>
        <v>284.9967054089276</v>
      </c>
      <c r="CY140" s="62">
        <f ca="1">AVERAGE(OFFSET($CX$3,0,0,'Données projet'!$E$13+1,1))-AVERAGE(OFFSET($H$3,0,0,'Données projet'!$E$13+1,1))</f>
        <v>240.40157928925146</v>
      </c>
      <c r="CZ140" s="62">
        <f t="shared" si="150"/>
        <v>160.5013084380258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1.7</v>
      </c>
      <c r="DO140" s="13">
        <f>IF('Données projet'!$A$166&gt;35,DO139+DN140-DW139,IF(A140&lt;'Données projet'!$A$166,$DL$205^A140,IF(A140='Données projet'!$A$166,'Données projet'!$B$166,DO139+DN140-DW139)))</f>
        <v>242.89999999999969</v>
      </c>
      <c r="DP140" s="18">
        <f>DO140*VLOOKUP('Données projet'!$B$14,Paramètres!$A$1:$I$89,3,0)*VLOOKUP('Données projet'!$B$14,Paramètres!$A$1:$I$89,5,0)</f>
        <v>234.93287999999973</v>
      </c>
      <c r="DQ140" s="14">
        <f t="shared" si="151"/>
        <v>57.347964654496487</v>
      </c>
      <c r="DR140" s="22">
        <f t="shared" si="124"/>
        <v>509.0558044399142</v>
      </c>
      <c r="DS140" s="62">
        <f t="shared" si="125"/>
        <v>794.05250984883958</v>
      </c>
      <c r="DT140" s="62">
        <f ca="1">AVERAGE(OFFSET($DS$3,0,0,'Données projet'!$E$14+1,1))-AVERAGE(OFFSET($H$3,0,0,'Données projet'!$E$14+1,1))</f>
        <v>398.93296311353788</v>
      </c>
      <c r="DU140" s="62">
        <f t="shared" si="152"/>
        <v>173.19148969173838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-5.6843418860808015E-14</v>
      </c>
      <c r="EK140" s="18">
        <f>EJ140*VLOOKUP('Données projet'!$B$15,Paramètres!$A$1:$I$89,3,0)*VLOOKUP('Données projet'!$B$15,Paramètres!$A$1:$I$89,5,0)</f>
        <v>-4.9658410716801891E-14</v>
      </c>
      <c r="EL140" s="14" t="e">
        <f t="shared" si="153"/>
        <v>#NUM!</v>
      </c>
      <c r="EM140" s="22" t="e">
        <f t="shared" si="127"/>
        <v>#NUM!</v>
      </c>
      <c r="EN140" s="62" t="e">
        <f t="shared" si="128"/>
        <v>#NUM!</v>
      </c>
      <c r="EO140" s="62">
        <f ca="1">AVERAGE(OFFSET($EN$3,0,0,'Données projet'!$E$15+1,1))-AVERAGE(OFFSET($H$3,0,0,'Données projet'!$E$15+1,1))</f>
        <v>226.37420733783091</v>
      </c>
      <c r="EP140" s="62">
        <f t="shared" si="154"/>
        <v>204.10961748628714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6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9">
        <f t="shared" si="110"/>
        <v>183.33333333333334</v>
      </c>
      <c r="I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2.8421709430404007E-13</v>
      </c>
      <c r="O141" s="14">
        <f>N141*VLOOKUP('Données projet'!$B$9,Paramètres!$A$1:$I$89,3,0)*VLOOKUP('Données projet'!$B$9,Paramètres!$A$1:$I$89,5,0)</f>
        <v>1.6626700016786346E-13</v>
      </c>
      <c r="P141" s="14">
        <f t="shared" si="141"/>
        <v>2.3542701735863119E-12</v>
      </c>
      <c r="Q141" s="22">
        <f t="shared" si="108"/>
        <v>4.3899355776218544E-12</v>
      </c>
      <c r="R141" s="62">
        <f t="shared" si="109"/>
        <v>285.14132726551031</v>
      </c>
      <c r="S141" s="62">
        <f ca="1">AVERAGE(OFFSET($R$3,0,0,'Données projet'!$E$9+1,1))-AVERAGE(OFFSET($H$3,0,0,'Données projet'!$E$9+1,1))</f>
        <v>196.48726929442091</v>
      </c>
      <c r="T141" s="62">
        <f t="shared" si="142"/>
        <v>193.28400454669347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8.8243531688856994E-16</v>
      </c>
      <c r="AC141" s="24">
        <f t="shared" si="111"/>
        <v>8.8243531688856994E-16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1.7</v>
      </c>
      <c r="AI141" s="14">
        <f>IF('Données projet'!$A$62&gt;35,AI140+AH141-AQ140,IF(A141&lt;'Données projet'!$A$62,$AF$205^A141,IF(A141='Données projet'!$A$62,'Données projet'!$B$62,AI140+AH141-AQ140)))</f>
        <v>244.59999999999968</v>
      </c>
      <c r="AJ141" s="14">
        <f>AI141*VLOOKUP('Données projet'!$B$10,Paramètres!$A$1:$I$89,3,0)*VLOOKUP('Données projet'!$B$10,Paramètres!$A$1:$I$89,5,0)</f>
        <v>248.0243999999997</v>
      </c>
      <c r="AK141" s="14">
        <f t="shared" si="143"/>
        <v>60.162700705112428</v>
      </c>
      <c r="AL141" s="22">
        <f t="shared" si="112"/>
        <v>536.75920039473692</v>
      </c>
      <c r="AM141" s="62">
        <f t="shared" si="113"/>
        <v>821.90052766024291</v>
      </c>
      <c r="AN141" s="62">
        <f ca="1">AVERAGE(OFFSET($AM$3,0,0,'Données projet'!$E$10+1,1))-AVERAGE(OFFSET($H$3,0,0,'Données projet'!$E$10+1,1))</f>
        <v>414.29294334114661</v>
      </c>
      <c r="AO141" s="62">
        <f t="shared" si="144"/>
        <v>178.72086185623849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1.7</v>
      </c>
      <c r="BD141" s="13">
        <f>IF('Données projet'!$A$88&gt;35,BD140+BC141-BL140,IF(A141&lt;'Données projet'!$A$88,$BA$205^A141,IF(A141='Données projet'!$A$88,'Données projet'!$B$88,BD140+BC141-BL140)))</f>
        <v>244.59999999999968</v>
      </c>
      <c r="BE141" s="14">
        <f>BD141*VLOOKUP('Données projet'!$B$11,Paramètres!$A$1:$I$89,3,0)*VLOOKUP('Données projet'!$B$11,Paramètres!$A$1:$I$89,5,0)</f>
        <v>263.28743999999966</v>
      </c>
      <c r="BF141" s="14">
        <f t="shared" si="145"/>
        <v>63.422614057947968</v>
      </c>
      <c r="BG141" s="22">
        <f t="shared" si="115"/>
        <v>569.02001081759215</v>
      </c>
      <c r="BH141" s="62">
        <f t="shared" si="116"/>
        <v>854.16133808309814</v>
      </c>
      <c r="BI141" s="62">
        <f ca="1">AVERAGE(OFFSET($BH$3,0,0,'Données projet'!$E$11+1,1))-AVERAGE(OFFSET($H$3,0,0,'Données projet'!$E$11+1,1))</f>
        <v>434.74983403680108</v>
      </c>
      <c r="BJ141" s="62">
        <f t="shared" si="146"/>
        <v>186.0840067781198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1.1368683772161603E-13</v>
      </c>
      <c r="BZ141" s="14">
        <f>BY141*VLOOKUP('Données projet'!$B$12,Paramètres!$A$1:$I$89,3,0)*VLOOKUP('Données projet'!$B$12,Paramètres!$A$1:$I$89,5,0)</f>
        <v>9.7543306765146564E-14</v>
      </c>
      <c r="CA141" s="14">
        <f t="shared" si="147"/>
        <v>1.4696264278629426E-12</v>
      </c>
      <c r="CB141" s="22">
        <f t="shared" si="118"/>
        <v>2.7294872878105889E-12</v>
      </c>
      <c r="CC141" s="62">
        <f t="shared" si="119"/>
        <v>285.14132726550866</v>
      </c>
      <c r="CD141" s="62">
        <f ca="1">AVERAGE(OFFSET($CC$3,0,0,'Données projet'!$E$12+1,1))-AVERAGE(OFFSET($H$3,0,0,'Données projet'!$E$12+1,1))</f>
        <v>288.24759203983547</v>
      </c>
      <c r="CE141" s="62">
        <f t="shared" si="148"/>
        <v>188.86613033148794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1.1368683772161603E-13</v>
      </c>
      <c r="CU141" s="18">
        <f>CT141*VLOOKUP('Données projet'!$B$13,Paramètres!$A$1:$I$89,3,0)*VLOOKUP('Données projet'!$B$13,Paramètres!$A$1:$I$89,5,0)</f>
        <v>7.626113074366004E-14</v>
      </c>
      <c r="CV141" s="14">
        <f t="shared" si="149"/>
        <v>1.1823749172251317E-12</v>
      </c>
      <c r="CW141" s="22">
        <f t="shared" si="121"/>
        <v>2.1921244502123119E-12</v>
      </c>
      <c r="CX141" s="62">
        <f t="shared" si="122"/>
        <v>285.14132726550815</v>
      </c>
      <c r="CY141" s="62">
        <f ca="1">AVERAGE(OFFSET($CX$3,0,0,'Données projet'!$E$13+1,1))-AVERAGE(OFFSET($H$3,0,0,'Données projet'!$E$13+1,1))</f>
        <v>240.40157928925146</v>
      </c>
      <c r="CZ141" s="62">
        <f t="shared" si="150"/>
        <v>160.5013084380258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1.7</v>
      </c>
      <c r="DO141" s="13">
        <f>IF('Données projet'!$A$166&gt;35,DO140+DN141-DW140,IF(A141&lt;'Données projet'!$A$166,$DL$205^A141,IF(A141='Données projet'!$A$166,'Données projet'!$B$166,DO140+DN141-DW140)))</f>
        <v>244.59999999999968</v>
      </c>
      <c r="DP141" s="18">
        <f>DO141*VLOOKUP('Données projet'!$B$14,Paramètres!$A$1:$I$89,3,0)*VLOOKUP('Données projet'!$B$14,Paramètres!$A$1:$I$89,5,0)</f>
        <v>236.57711999999967</v>
      </c>
      <c r="DQ141" s="14">
        <f t="shared" si="151"/>
        <v>57.702466618422335</v>
      </c>
      <c r="DR141" s="22">
        <f t="shared" si="124"/>
        <v>512.53694669375159</v>
      </c>
      <c r="DS141" s="62">
        <f t="shared" si="125"/>
        <v>797.67827395925747</v>
      </c>
      <c r="DT141" s="62">
        <f ca="1">AVERAGE(OFFSET($DS$3,0,0,'Données projet'!$E$14+1,1))-AVERAGE(OFFSET($H$3,0,0,'Données projet'!$E$14+1,1))</f>
        <v>398.93296311353788</v>
      </c>
      <c r="DU141" s="62">
        <f t="shared" si="152"/>
        <v>173.19148969173838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-5.6843418860808015E-14</v>
      </c>
      <c r="EK141" s="18">
        <f>EJ141*VLOOKUP('Données projet'!$B$15,Paramètres!$A$1:$I$89,3,0)*VLOOKUP('Données projet'!$B$15,Paramètres!$A$1:$I$89,5,0)</f>
        <v>-4.9658410716801891E-14</v>
      </c>
      <c r="EL141" s="14" t="e">
        <f t="shared" si="153"/>
        <v>#NUM!</v>
      </c>
      <c r="EM141" s="22" t="e">
        <f t="shared" si="127"/>
        <v>#NUM!</v>
      </c>
      <c r="EN141" s="62" t="e">
        <f t="shared" si="128"/>
        <v>#NUM!</v>
      </c>
      <c r="EO141" s="62">
        <f ca="1">AVERAGE(OFFSET($EN$3,0,0,'Données projet'!$E$15+1,1))-AVERAGE(OFFSET($H$3,0,0,'Données projet'!$E$15+1,1))</f>
        <v>226.37420733783091</v>
      </c>
      <c r="EP141" s="62">
        <f t="shared" si="154"/>
        <v>204.10961748628714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6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9">
        <f t="shared" si="110"/>
        <v>183.33333333333334</v>
      </c>
      <c r="I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2.8421709430404007E-13</v>
      </c>
      <c r="O142" s="14">
        <f>N142*VLOOKUP('Données projet'!$B$9,Paramètres!$A$1:$I$89,3,0)*VLOOKUP('Données projet'!$B$9,Paramètres!$A$1:$I$89,5,0)</f>
        <v>1.6626700016786346E-13</v>
      </c>
      <c r="P142" s="14">
        <f t="shared" si="141"/>
        <v>2.3542701735863119E-12</v>
      </c>
      <c r="Q142" s="22">
        <f t="shared" si="108"/>
        <v>4.3899355776218544E-12</v>
      </c>
      <c r="R142" s="62">
        <f t="shared" si="109"/>
        <v>285.28344025620527</v>
      </c>
      <c r="S142" s="62">
        <f ca="1">AVERAGE(OFFSET($R$3,0,0,'Données projet'!$E$9+1,1))-AVERAGE(OFFSET($H$3,0,0,'Données projet'!$E$9+1,1))</f>
        <v>196.48726929442091</v>
      </c>
      <c r="T142" s="62">
        <f t="shared" si="142"/>
        <v>193.28400454669347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6.2397599653040777E-16</v>
      </c>
      <c r="AC142" s="24">
        <f t="shared" si="111"/>
        <v>6.2397599653040777E-16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1.7</v>
      </c>
      <c r="AI142" s="14">
        <f>IF('Données projet'!$A$62&gt;35,AI141+AH142-AQ141,IF(A142&lt;'Données projet'!$A$62,$AF$205^A142,IF(A142='Données projet'!$A$62,'Données projet'!$B$62,AI141+AH142-AQ141)))</f>
        <v>246.29999999999967</v>
      </c>
      <c r="AJ142" s="14">
        <f>AI142*VLOOKUP('Données projet'!$B$10,Paramètres!$A$1:$I$89,3,0)*VLOOKUP('Données projet'!$B$10,Paramètres!$A$1:$I$89,5,0)</f>
        <v>249.74819999999968</v>
      </c>
      <c r="AK142" s="14">
        <f t="shared" si="143"/>
        <v>60.532018510222834</v>
      </c>
      <c r="AL142" s="22">
        <f t="shared" si="112"/>
        <v>540.40471390530422</v>
      </c>
      <c r="AM142" s="62">
        <f t="shared" si="113"/>
        <v>825.68815416150505</v>
      </c>
      <c r="AN142" s="62">
        <f ca="1">AVERAGE(OFFSET($AM$3,0,0,'Données projet'!$E$10+1,1))-AVERAGE(OFFSET($H$3,0,0,'Données projet'!$E$10+1,1))</f>
        <v>414.29294334114661</v>
      </c>
      <c r="AO142" s="62">
        <f t="shared" si="144"/>
        <v>178.72086185623849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1.7</v>
      </c>
      <c r="BD142" s="13">
        <f>IF('Données projet'!$A$88&gt;35,BD141+BC142-BL141,IF(A142&lt;'Données projet'!$A$88,$BA$205^A142,IF(A142='Données projet'!$A$88,'Données projet'!$B$88,BD141+BC142-BL141)))</f>
        <v>246.29999999999967</v>
      </c>
      <c r="BE142" s="14">
        <f>BD142*VLOOKUP('Données projet'!$B$11,Paramètres!$A$1:$I$89,3,0)*VLOOKUP('Données projet'!$B$11,Paramètres!$A$1:$I$89,5,0)</f>
        <v>265.11731999999961</v>
      </c>
      <c r="BF142" s="14">
        <f t="shared" si="145"/>
        <v>63.811943332460721</v>
      </c>
      <c r="BG142" s="22">
        <f t="shared" si="115"/>
        <v>572.88513363736843</v>
      </c>
      <c r="BH142" s="62">
        <f t="shared" si="116"/>
        <v>858.16857389356937</v>
      </c>
      <c r="BI142" s="62">
        <f ca="1">AVERAGE(OFFSET($BH$3,0,0,'Données projet'!$E$11+1,1))-AVERAGE(OFFSET($H$3,0,0,'Données projet'!$E$11+1,1))</f>
        <v>434.74983403680108</v>
      </c>
      <c r="BJ142" s="62">
        <f t="shared" si="146"/>
        <v>186.0840067781198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1.1368683772161603E-13</v>
      </c>
      <c r="BZ142" s="14">
        <f>BY142*VLOOKUP('Données projet'!$B$12,Paramètres!$A$1:$I$89,3,0)*VLOOKUP('Données projet'!$B$12,Paramètres!$A$1:$I$89,5,0)</f>
        <v>9.7543306765146564E-14</v>
      </c>
      <c r="CA142" s="14">
        <f t="shared" si="147"/>
        <v>1.4696264278629426E-12</v>
      </c>
      <c r="CB142" s="22">
        <f t="shared" si="118"/>
        <v>2.7294872878105889E-12</v>
      </c>
      <c r="CC142" s="62">
        <f t="shared" si="119"/>
        <v>285.28344025620362</v>
      </c>
      <c r="CD142" s="62">
        <f ca="1">AVERAGE(OFFSET($CC$3,0,0,'Données projet'!$E$12+1,1))-AVERAGE(OFFSET($H$3,0,0,'Données projet'!$E$12+1,1))</f>
        <v>288.24759203983547</v>
      </c>
      <c r="CE142" s="62">
        <f t="shared" si="148"/>
        <v>188.86613033148794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1.1368683772161603E-13</v>
      </c>
      <c r="CU142" s="18">
        <f>CT142*VLOOKUP('Données projet'!$B$13,Paramètres!$A$1:$I$89,3,0)*VLOOKUP('Données projet'!$B$13,Paramètres!$A$1:$I$89,5,0)</f>
        <v>7.626113074366004E-14</v>
      </c>
      <c r="CV142" s="14">
        <f t="shared" si="149"/>
        <v>1.1823749172251317E-12</v>
      </c>
      <c r="CW142" s="22">
        <f t="shared" si="121"/>
        <v>2.1921244502123119E-12</v>
      </c>
      <c r="CX142" s="62">
        <f t="shared" si="122"/>
        <v>285.28344025620311</v>
      </c>
      <c r="CY142" s="62">
        <f ca="1">AVERAGE(OFFSET($CX$3,0,0,'Données projet'!$E$13+1,1))-AVERAGE(OFFSET($H$3,0,0,'Données projet'!$E$13+1,1))</f>
        <v>240.40157928925146</v>
      </c>
      <c r="CZ142" s="62">
        <f t="shared" si="150"/>
        <v>160.5013084380258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1.7</v>
      </c>
      <c r="DO142" s="13">
        <f>IF('Données projet'!$A$166&gt;35,DO141+DN142-DW141,IF(A142&lt;'Données projet'!$A$166,$DL$205^A142,IF(A142='Données projet'!$A$166,'Données projet'!$B$166,DO141+DN142-DW141)))</f>
        <v>246.29999999999967</v>
      </c>
      <c r="DP142" s="18">
        <f>DO142*VLOOKUP('Données projet'!$B$14,Paramètres!$A$1:$I$89,3,0)*VLOOKUP('Données projet'!$B$14,Paramètres!$A$1:$I$89,5,0)</f>
        <v>238.22135999999969</v>
      </c>
      <c r="DQ142" s="14">
        <f t="shared" si="151"/>
        <v>58.05668190582162</v>
      </c>
      <c r="DR142" s="22">
        <f t="shared" si="124"/>
        <v>516.01758965263866</v>
      </c>
      <c r="DS142" s="62">
        <f t="shared" si="125"/>
        <v>801.30102990883961</v>
      </c>
      <c r="DT142" s="62">
        <f ca="1">AVERAGE(OFFSET($DS$3,0,0,'Données projet'!$E$14+1,1))-AVERAGE(OFFSET($H$3,0,0,'Données projet'!$E$14+1,1))</f>
        <v>398.93296311353788</v>
      </c>
      <c r="DU142" s="62">
        <f t="shared" si="152"/>
        <v>173.19148969173838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-5.6843418860808015E-14</v>
      </c>
      <c r="EK142" s="18">
        <f>EJ142*VLOOKUP('Données projet'!$B$15,Paramètres!$A$1:$I$89,3,0)*VLOOKUP('Données projet'!$B$15,Paramètres!$A$1:$I$89,5,0)</f>
        <v>-4.9658410716801891E-14</v>
      </c>
      <c r="EL142" s="14" t="e">
        <f t="shared" si="153"/>
        <v>#NUM!</v>
      </c>
      <c r="EM142" s="22" t="e">
        <f t="shared" si="127"/>
        <v>#NUM!</v>
      </c>
      <c r="EN142" s="62" t="e">
        <f t="shared" si="128"/>
        <v>#NUM!</v>
      </c>
      <c r="EO142" s="62">
        <f ca="1">AVERAGE(OFFSET($EN$3,0,0,'Données projet'!$E$15+1,1))-AVERAGE(OFFSET($H$3,0,0,'Données projet'!$E$15+1,1))</f>
        <v>226.37420733783091</v>
      </c>
      <c r="EP142" s="62">
        <f t="shared" si="154"/>
        <v>204.10961748628714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6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9">
        <f t="shared" si="110"/>
        <v>183.33333333333334</v>
      </c>
      <c r="I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2.8421709430404007E-13</v>
      </c>
      <c r="O143" s="14">
        <f>N143*VLOOKUP('Données projet'!$B$9,Paramètres!$A$1:$I$89,3,0)*VLOOKUP('Données projet'!$B$9,Paramètres!$A$1:$I$89,5,0)</f>
        <v>1.6626700016786346E-13</v>
      </c>
      <c r="P143" s="14">
        <f t="shared" si="141"/>
        <v>2.3542701735863119E-12</v>
      </c>
      <c r="Q143" s="22">
        <f t="shared" si="108"/>
        <v>4.3899355776218544E-12</v>
      </c>
      <c r="R143" s="62">
        <f t="shared" si="109"/>
        <v>285.42308790422874</v>
      </c>
      <c r="S143" s="62">
        <f ca="1">AVERAGE(OFFSET($R$3,0,0,'Données projet'!$E$9+1,1))-AVERAGE(OFFSET($H$3,0,0,'Données projet'!$E$9+1,1))</f>
        <v>196.48726929442091</v>
      </c>
      <c r="T143" s="62">
        <f t="shared" si="142"/>
        <v>193.28400454669347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4.4121765844428502E-16</v>
      </c>
      <c r="AC143" s="24">
        <f t="shared" si="111"/>
        <v>4.4121765844428502E-16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>
        <f>VLOOKUP(A143,'Données projet'!$A$61:$I$81,2,0)</f>
        <v>248</v>
      </c>
      <c r="AG143" s="13">
        <f>VLOOKUP(A143,'Données projet'!$A$61:$I$81,9,0)</f>
        <v>1.7</v>
      </c>
      <c r="AH143" s="13">
        <f t="array" ref="AH143">INDEX(AG:AG,MIN(IF(ISNUMBER(AG143:AG339),ROW(AG143:AG339),"")))</f>
        <v>1.7</v>
      </c>
      <c r="AI143" s="14">
        <f>IF('Données projet'!$A$62&gt;35,AI142+AH143-AQ142,IF(A143&lt;'Données projet'!$A$62,$AF$205^A143,IF(A143='Données projet'!$A$62,'Données projet'!$B$62,AI142+AH143-AQ142)))</f>
        <v>247.99999999999966</v>
      </c>
      <c r="AJ143" s="14">
        <f>AI143*VLOOKUP('Données projet'!$B$10,Paramètres!$A$1:$I$89,3,0)*VLOOKUP('Données projet'!$B$10,Paramètres!$A$1:$I$89,5,0)</f>
        <v>251.47199999999967</v>
      </c>
      <c r="AK143" s="14">
        <f t="shared" si="143"/>
        <v>60.901039718208544</v>
      </c>
      <c r="AL143" s="22">
        <f t="shared" si="112"/>
        <v>544.04971084254589</v>
      </c>
      <c r="AM143" s="62">
        <f t="shared" si="113"/>
        <v>829.4727987467702</v>
      </c>
      <c r="AN143" s="62">
        <f ca="1">AVERAGE(OFFSET($AM$3,0,0,'Données projet'!$E$10+1,1))-AVERAGE(OFFSET($H$3,0,0,'Données projet'!$E$10+1,1))</f>
        <v>414.29294334114661</v>
      </c>
      <c r="AO143" s="62">
        <f t="shared" si="144"/>
        <v>178.72086185623849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>
        <f>VLOOKUP(A143,'Données projet'!$A$87:$I$107,2,0)</f>
        <v>248</v>
      </c>
      <c r="BB143" s="13">
        <f>VLOOKUP(A143,'Données projet'!$A$87:$I$107,9,0)</f>
        <v>1.7</v>
      </c>
      <c r="BC143" s="13">
        <f t="array" ref="BC143">INDEX(BB:BB,MIN(IF(ISNUMBER(BB143:BB339),ROW(BB143:BB339),"")))</f>
        <v>1.7</v>
      </c>
      <c r="BD143" s="13">
        <f>IF('Données projet'!$A$88&gt;35,BD142+BC143-BL142,IF(A143&lt;'Données projet'!$A$88,$BA$205^A143,IF(A143='Données projet'!$A$88,'Données projet'!$B$88,BD142+BC143-BL142)))</f>
        <v>247.99999999999966</v>
      </c>
      <c r="BE143" s="14">
        <f>BD143*VLOOKUP('Données projet'!$B$11,Paramètres!$A$1:$I$89,3,0)*VLOOKUP('Données projet'!$B$11,Paramètres!$A$1:$I$89,5,0)</f>
        <v>266.94719999999961</v>
      </c>
      <c r="BF143" s="14">
        <f t="shared" si="145"/>
        <v>64.200959938746323</v>
      </c>
      <c r="BG143" s="22">
        <f t="shared" si="115"/>
        <v>576.74971189331586</v>
      </c>
      <c r="BH143" s="62">
        <f t="shared" si="116"/>
        <v>862.17279979754016</v>
      </c>
      <c r="BI143" s="62">
        <f ca="1">AVERAGE(OFFSET($BH$3,0,0,'Données projet'!$E$11+1,1))-AVERAGE(OFFSET($H$3,0,0,'Données projet'!$E$11+1,1))</f>
        <v>434.74983403680108</v>
      </c>
      <c r="BJ143" s="62">
        <f t="shared" si="146"/>
        <v>186.0840067781198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1.1368683772161603E-13</v>
      </c>
      <c r="BZ143" s="14">
        <f>BY143*VLOOKUP('Données projet'!$B$12,Paramètres!$A$1:$I$89,3,0)*VLOOKUP('Données projet'!$B$12,Paramètres!$A$1:$I$89,5,0)</f>
        <v>9.7543306765146564E-14</v>
      </c>
      <c r="CA143" s="14">
        <f t="shared" si="147"/>
        <v>1.4696264278629426E-12</v>
      </c>
      <c r="CB143" s="22">
        <f t="shared" si="118"/>
        <v>2.7294872878105889E-12</v>
      </c>
      <c r="CC143" s="62">
        <f t="shared" si="119"/>
        <v>285.42308790422709</v>
      </c>
      <c r="CD143" s="62">
        <f ca="1">AVERAGE(OFFSET($CC$3,0,0,'Données projet'!$E$12+1,1))-AVERAGE(OFFSET($H$3,0,0,'Données projet'!$E$12+1,1))</f>
        <v>288.24759203983547</v>
      </c>
      <c r="CE143" s="62">
        <f t="shared" si="148"/>
        <v>188.86613033148794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1.1368683772161603E-13</v>
      </c>
      <c r="CU143" s="18">
        <f>CT143*VLOOKUP('Données projet'!$B$13,Paramètres!$A$1:$I$89,3,0)*VLOOKUP('Données projet'!$B$13,Paramètres!$A$1:$I$89,5,0)</f>
        <v>7.626113074366004E-14</v>
      </c>
      <c r="CV143" s="14">
        <f t="shared" si="149"/>
        <v>1.1823749172251317E-12</v>
      </c>
      <c r="CW143" s="22">
        <f t="shared" si="121"/>
        <v>2.1921244502123119E-12</v>
      </c>
      <c r="CX143" s="62">
        <f t="shared" si="122"/>
        <v>285.42308790422658</v>
      </c>
      <c r="CY143" s="62">
        <f ca="1">AVERAGE(OFFSET($CX$3,0,0,'Données projet'!$E$13+1,1))-AVERAGE(OFFSET($H$3,0,0,'Données projet'!$E$13+1,1))</f>
        <v>240.40157928925146</v>
      </c>
      <c r="CZ143" s="62">
        <f t="shared" si="150"/>
        <v>160.5013084380258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>
        <f>VLOOKUP(A143,'Données projet'!$A$165:$I$185,2,0)</f>
        <v>248</v>
      </c>
      <c r="DM143" s="13">
        <f>VLOOKUP(A143,'Données projet'!$A$165:$I$185,9,0)</f>
        <v>1.7</v>
      </c>
      <c r="DN143" s="13">
        <f t="array" ref="DN143">INDEX(DM:DM,MIN(IF(ISNUMBER(DM143:DM339),ROW(DM143:DM339),"")))</f>
        <v>1.7</v>
      </c>
      <c r="DO143" s="13">
        <f>IF('Données projet'!$A$166&gt;35,DO142+DN143-DW142,IF(A143&lt;'Données projet'!$A$166,$DL$205^A143,IF(A143='Données projet'!$A$166,'Données projet'!$B$166,DO142+DN143-DW142)))</f>
        <v>247.99999999999966</v>
      </c>
      <c r="DP143" s="18">
        <f>DO143*VLOOKUP('Données projet'!$B$14,Paramètres!$A$1:$I$89,3,0)*VLOOKUP('Données projet'!$B$14,Paramètres!$A$1:$I$89,5,0)</f>
        <v>239.86559999999969</v>
      </c>
      <c r="DQ143" s="14">
        <f t="shared" si="151"/>
        <v>58.410612724846104</v>
      </c>
      <c r="DR143" s="22">
        <f t="shared" si="124"/>
        <v>519.49773716243965</v>
      </c>
      <c r="DS143" s="62">
        <f t="shared" si="125"/>
        <v>804.92082506666407</v>
      </c>
      <c r="DT143" s="62">
        <f ca="1">AVERAGE(OFFSET($DS$3,0,0,'Données projet'!$E$14+1,1))-AVERAGE(OFFSET($H$3,0,0,'Données projet'!$E$14+1,1))</f>
        <v>398.93296311353788</v>
      </c>
      <c r="DU143" s="62">
        <f t="shared" si="152"/>
        <v>173.19148969173838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-5.6843418860808015E-14</v>
      </c>
      <c r="EK143" s="18">
        <f>EJ143*VLOOKUP('Données projet'!$B$15,Paramètres!$A$1:$I$89,3,0)*VLOOKUP('Données projet'!$B$15,Paramètres!$A$1:$I$89,5,0)</f>
        <v>-4.9658410716801891E-14</v>
      </c>
      <c r="EL143" s="14" t="e">
        <f t="shared" si="153"/>
        <v>#NUM!</v>
      </c>
      <c r="EM143" s="22" t="e">
        <f t="shared" si="127"/>
        <v>#NUM!</v>
      </c>
      <c r="EN143" s="62" t="e">
        <f t="shared" si="128"/>
        <v>#NUM!</v>
      </c>
      <c r="EO143" s="62">
        <f ca="1">AVERAGE(OFFSET($EN$3,0,0,'Données projet'!$E$15+1,1))-AVERAGE(OFFSET($H$3,0,0,'Données projet'!$E$15+1,1))</f>
        <v>226.37420733783091</v>
      </c>
      <c r="EP143" s="62">
        <f t="shared" si="154"/>
        <v>204.10961748628714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6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9">
        <f t="shared" si="110"/>
        <v>183.33333333333334</v>
      </c>
      <c r="I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2.8421709430404007E-13</v>
      </c>
      <c r="O144" s="14">
        <f>N144*VLOOKUP('Données projet'!$B$9,Paramètres!$A$1:$I$89,3,0)*VLOOKUP('Données projet'!$B$9,Paramètres!$A$1:$I$89,5,0)</f>
        <v>1.6626700016786346E-13</v>
      </c>
      <c r="P144" s="14">
        <f t="shared" si="141"/>
        <v>2.3542701735863119E-12</v>
      </c>
      <c r="Q144" s="22">
        <f t="shared" si="108"/>
        <v>4.3899355776218544E-12</v>
      </c>
      <c r="R144" s="62">
        <f t="shared" si="109"/>
        <v>285.5603129777644</v>
      </c>
      <c r="S144" s="62">
        <f ca="1">AVERAGE(OFFSET($R$3,0,0,'Données projet'!$E$9+1,1))-AVERAGE(OFFSET($H$3,0,0,'Données projet'!$E$9+1,1))</f>
        <v>196.48726929442091</v>
      </c>
      <c r="T144" s="62">
        <f t="shared" si="142"/>
        <v>193.28400454669347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3.1198799826520394E-16</v>
      </c>
      <c r="AC144" s="24">
        <f t="shared" si="111"/>
        <v>3.1198799826520394E-16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1.4</v>
      </c>
      <c r="AI144" s="14">
        <f>IF('Données projet'!$A$62&gt;35,AI143+AH144-AQ143,IF(A144&lt;'Données projet'!$A$62,$AF$205^A144,IF(A144='Données projet'!$A$62,'Données projet'!$B$62,AI143+AH144-AQ143)))</f>
        <v>249.39999999999966</v>
      </c>
      <c r="AJ144" s="14">
        <f>AI144*VLOOKUP('Données projet'!$B$10,Paramètres!$A$1:$I$89,3,0)*VLOOKUP('Données projet'!$B$10,Paramètres!$A$1:$I$89,5,0)</f>
        <v>252.89159999999967</v>
      </c>
      <c r="AK144" s="14">
        <f t="shared" si="143"/>
        <v>61.204718436590262</v>
      </c>
      <c r="AL144" s="22">
        <f t="shared" si="112"/>
        <v>547.05108794372745</v>
      </c>
      <c r="AM144" s="62">
        <f t="shared" si="113"/>
        <v>832.61140092148753</v>
      </c>
      <c r="AN144" s="62">
        <f ca="1">AVERAGE(OFFSET($AM$3,0,0,'Données projet'!$E$10+1,1))-AVERAGE(OFFSET($H$3,0,0,'Données projet'!$E$10+1,1))</f>
        <v>414.29294334114661</v>
      </c>
      <c r="AO144" s="62">
        <f t="shared" si="144"/>
        <v>178.72086185623849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1.4</v>
      </c>
      <c r="BD144" s="13">
        <f>IF('Données projet'!$A$88&gt;35,BD143+BC144-BL143,IF(A144&lt;'Données projet'!$A$88,$BA$205^A144,IF(A144='Données projet'!$A$88,'Données projet'!$B$88,BD143+BC144-BL143)))</f>
        <v>249.39999999999966</v>
      </c>
      <c r="BE144" s="14">
        <f>BD144*VLOOKUP('Données projet'!$B$11,Paramètres!$A$1:$I$89,3,0)*VLOOKUP('Données projet'!$B$11,Paramètres!$A$1:$I$89,5,0)</f>
        <v>268.4541599999996</v>
      </c>
      <c r="BF144" s="14">
        <f t="shared" si="145"/>
        <v>64.521093475436032</v>
      </c>
      <c r="BG144" s="22">
        <f t="shared" si="115"/>
        <v>579.93189980305044</v>
      </c>
      <c r="BH144" s="62">
        <f t="shared" si="116"/>
        <v>865.49221278081041</v>
      </c>
      <c r="BI144" s="62">
        <f ca="1">AVERAGE(OFFSET($BH$3,0,0,'Données projet'!$E$11+1,1))-AVERAGE(OFFSET($H$3,0,0,'Données projet'!$E$11+1,1))</f>
        <v>434.74983403680108</v>
      </c>
      <c r="BJ144" s="62">
        <f t="shared" si="146"/>
        <v>186.0840067781198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1.1368683772161603E-13</v>
      </c>
      <c r="BZ144" s="14">
        <f>BY144*VLOOKUP('Données projet'!$B$12,Paramètres!$A$1:$I$89,3,0)*VLOOKUP('Données projet'!$B$12,Paramètres!$A$1:$I$89,5,0)</f>
        <v>9.7543306765146564E-14</v>
      </c>
      <c r="CA144" s="14">
        <f t="shared" si="147"/>
        <v>1.4696264278629426E-12</v>
      </c>
      <c r="CB144" s="22">
        <f t="shared" si="118"/>
        <v>2.7294872878105889E-12</v>
      </c>
      <c r="CC144" s="62">
        <f t="shared" si="119"/>
        <v>285.56031297776275</v>
      </c>
      <c r="CD144" s="62">
        <f ca="1">AVERAGE(OFFSET($CC$3,0,0,'Données projet'!$E$12+1,1))-AVERAGE(OFFSET($H$3,0,0,'Données projet'!$E$12+1,1))</f>
        <v>288.24759203983547</v>
      </c>
      <c r="CE144" s="62">
        <f t="shared" si="148"/>
        <v>188.86613033148794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1.1368683772161603E-13</v>
      </c>
      <c r="CU144" s="18">
        <f>CT144*VLOOKUP('Données projet'!$B$13,Paramètres!$A$1:$I$89,3,0)*VLOOKUP('Données projet'!$B$13,Paramètres!$A$1:$I$89,5,0)</f>
        <v>7.626113074366004E-14</v>
      </c>
      <c r="CV144" s="14">
        <f t="shared" si="149"/>
        <v>1.1823749172251317E-12</v>
      </c>
      <c r="CW144" s="22">
        <f t="shared" si="121"/>
        <v>2.1921244502123119E-12</v>
      </c>
      <c r="CX144" s="62">
        <f t="shared" si="122"/>
        <v>285.56031297776224</v>
      </c>
      <c r="CY144" s="62">
        <f ca="1">AVERAGE(OFFSET($CX$3,0,0,'Données projet'!$E$13+1,1))-AVERAGE(OFFSET($H$3,0,0,'Données projet'!$E$13+1,1))</f>
        <v>240.40157928925146</v>
      </c>
      <c r="CZ144" s="62">
        <f t="shared" si="150"/>
        <v>160.5013084380258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1.4</v>
      </c>
      <c r="DO144" s="13">
        <f>IF('Données projet'!$A$166&gt;35,DO143+DN144-DW143,IF(A144&lt;'Données projet'!$A$166,$DL$205^A144,IF(A144='Données projet'!$A$166,'Données projet'!$B$166,DO143+DN144-DW143)))</f>
        <v>249.39999999999966</v>
      </c>
      <c r="DP144" s="18">
        <f>DO144*VLOOKUP('Données projet'!$B$14,Paramètres!$A$1:$I$89,3,0)*VLOOKUP('Données projet'!$B$14,Paramètres!$A$1:$I$89,5,0)</f>
        <v>241.21967999999967</v>
      </c>
      <c r="DQ144" s="14">
        <f t="shared" si="151"/>
        <v>58.701873105526637</v>
      </c>
      <c r="DR144" s="22">
        <f t="shared" si="124"/>
        <v>522.36337165879161</v>
      </c>
      <c r="DS144" s="62">
        <f t="shared" si="125"/>
        <v>807.92368463655157</v>
      </c>
      <c r="DT144" s="62">
        <f ca="1">AVERAGE(OFFSET($DS$3,0,0,'Données projet'!$E$14+1,1))-AVERAGE(OFFSET($H$3,0,0,'Données projet'!$E$14+1,1))</f>
        <v>398.93296311353788</v>
      </c>
      <c r="DU144" s="62">
        <f t="shared" si="152"/>
        <v>173.19148969173838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-5.6843418860808015E-14</v>
      </c>
      <c r="EK144" s="18">
        <f>EJ144*VLOOKUP('Données projet'!$B$15,Paramètres!$A$1:$I$89,3,0)*VLOOKUP('Données projet'!$B$15,Paramètres!$A$1:$I$89,5,0)</f>
        <v>-4.9658410716801891E-14</v>
      </c>
      <c r="EL144" s="14" t="e">
        <f t="shared" si="153"/>
        <v>#NUM!</v>
      </c>
      <c r="EM144" s="22" t="e">
        <f t="shared" si="127"/>
        <v>#NUM!</v>
      </c>
      <c r="EN144" s="62" t="e">
        <f t="shared" si="128"/>
        <v>#NUM!</v>
      </c>
      <c r="EO144" s="62">
        <f ca="1">AVERAGE(OFFSET($EN$3,0,0,'Données projet'!$E$15+1,1))-AVERAGE(OFFSET($H$3,0,0,'Données projet'!$E$15+1,1))</f>
        <v>226.37420733783091</v>
      </c>
      <c r="EP144" s="62">
        <f t="shared" si="154"/>
        <v>204.10961748628714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6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9">
        <f t="shared" si="110"/>
        <v>183.33333333333334</v>
      </c>
      <c r="I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2.8421709430404007E-13</v>
      </c>
      <c r="O145" s="14">
        <f>N145*VLOOKUP('Données projet'!$B$9,Paramètres!$A$1:$I$89,3,0)*VLOOKUP('Données projet'!$B$9,Paramètres!$A$1:$I$89,5,0)</f>
        <v>1.6626700016786346E-13</v>
      </c>
      <c r="P145" s="14">
        <f t="shared" si="141"/>
        <v>2.3542701735863119E-12</v>
      </c>
      <c r="Q145" s="22">
        <f t="shared" si="108"/>
        <v>4.3899355776218544E-12</v>
      </c>
      <c r="R145" s="62">
        <f t="shared" si="109"/>
        <v>285.69515750306346</v>
      </c>
      <c r="S145" s="62">
        <f ca="1">AVERAGE(OFFSET($R$3,0,0,'Données projet'!$E$9+1,1))-AVERAGE(OFFSET($H$3,0,0,'Données projet'!$E$9+1,1))</f>
        <v>196.48726929442091</v>
      </c>
      <c r="T145" s="62">
        <f t="shared" si="142"/>
        <v>193.28400454669347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2.2060882922214253E-16</v>
      </c>
      <c r="AC145" s="24">
        <f t="shared" si="111"/>
        <v>2.2060882922214253E-16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1.4</v>
      </c>
      <c r="AI145" s="14">
        <f>IF('Données projet'!$A$62&gt;35,AI144+AH145-AQ144,IF(A145&lt;'Données projet'!$A$62,$AF$205^A145,IF(A145='Données projet'!$A$62,'Données projet'!$B$62,AI144+AH145-AQ144)))</f>
        <v>250.79999999999967</v>
      </c>
      <c r="AJ145" s="14">
        <f>AI145*VLOOKUP('Données projet'!$B$10,Paramètres!$A$1:$I$89,3,0)*VLOOKUP('Données projet'!$B$10,Paramètres!$A$1:$I$89,5,0)</f>
        <v>254.31119999999967</v>
      </c>
      <c r="AK145" s="14">
        <f t="shared" si="143"/>
        <v>61.508198792523856</v>
      </c>
      <c r="AL145" s="22">
        <f t="shared" si="112"/>
        <v>550.05211956364519</v>
      </c>
      <c r="AM145" s="62">
        <f t="shared" si="113"/>
        <v>835.74727706670433</v>
      </c>
      <c r="AN145" s="62">
        <f ca="1">AVERAGE(OFFSET($AM$3,0,0,'Données projet'!$E$10+1,1))-AVERAGE(OFFSET($H$3,0,0,'Données projet'!$E$10+1,1))</f>
        <v>414.29294334114661</v>
      </c>
      <c r="AO145" s="62">
        <f t="shared" si="144"/>
        <v>178.72086185623849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1.4</v>
      </c>
      <c r="BD145" s="13">
        <f>IF('Données projet'!$A$88&gt;35,BD144+BC145-BL144,IF(A145&lt;'Données projet'!$A$88,$BA$205^A145,IF(A145='Données projet'!$A$88,'Données projet'!$B$88,BD144+BC145-BL144)))</f>
        <v>250.79999999999967</v>
      </c>
      <c r="BE145" s="14">
        <f>BD145*VLOOKUP('Données projet'!$B$11,Paramètres!$A$1:$I$89,3,0)*VLOOKUP('Données projet'!$B$11,Paramètres!$A$1:$I$89,5,0)</f>
        <v>269.96111999999965</v>
      </c>
      <c r="BF145" s="14">
        <f t="shared" si="145"/>
        <v>64.841017901416961</v>
      </c>
      <c r="BG145" s="22">
        <f t="shared" si="115"/>
        <v>583.11372351163391</v>
      </c>
      <c r="BH145" s="62">
        <f t="shared" si="116"/>
        <v>868.80888101469304</v>
      </c>
      <c r="BI145" s="62">
        <f ca="1">AVERAGE(OFFSET($BH$3,0,0,'Données projet'!$E$11+1,1))-AVERAGE(OFFSET($H$3,0,0,'Données projet'!$E$11+1,1))</f>
        <v>434.74983403680108</v>
      </c>
      <c r="BJ145" s="62">
        <f t="shared" si="146"/>
        <v>186.0840067781198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1.1368683772161603E-13</v>
      </c>
      <c r="BZ145" s="14">
        <f>BY145*VLOOKUP('Données projet'!$B$12,Paramètres!$A$1:$I$89,3,0)*VLOOKUP('Données projet'!$B$12,Paramètres!$A$1:$I$89,5,0)</f>
        <v>9.7543306765146564E-14</v>
      </c>
      <c r="CA145" s="14">
        <f t="shared" si="147"/>
        <v>1.4696264278629426E-12</v>
      </c>
      <c r="CB145" s="22">
        <f t="shared" si="118"/>
        <v>2.7294872878105889E-12</v>
      </c>
      <c r="CC145" s="62">
        <f t="shared" si="119"/>
        <v>285.69515750306181</v>
      </c>
      <c r="CD145" s="62">
        <f ca="1">AVERAGE(OFFSET($CC$3,0,0,'Données projet'!$E$12+1,1))-AVERAGE(OFFSET($H$3,0,0,'Données projet'!$E$12+1,1))</f>
        <v>288.24759203983547</v>
      </c>
      <c r="CE145" s="62">
        <f t="shared" si="148"/>
        <v>188.86613033148794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1.1368683772161603E-13</v>
      </c>
      <c r="CU145" s="18">
        <f>CT145*VLOOKUP('Données projet'!$B$13,Paramètres!$A$1:$I$89,3,0)*VLOOKUP('Données projet'!$B$13,Paramètres!$A$1:$I$89,5,0)</f>
        <v>7.626113074366004E-14</v>
      </c>
      <c r="CV145" s="14">
        <f t="shared" si="149"/>
        <v>1.1823749172251317E-12</v>
      </c>
      <c r="CW145" s="22">
        <f t="shared" si="121"/>
        <v>2.1921244502123119E-12</v>
      </c>
      <c r="CX145" s="62">
        <f t="shared" si="122"/>
        <v>285.6951575030613</v>
      </c>
      <c r="CY145" s="62">
        <f ca="1">AVERAGE(OFFSET($CX$3,0,0,'Données projet'!$E$13+1,1))-AVERAGE(OFFSET($H$3,0,0,'Données projet'!$E$13+1,1))</f>
        <v>240.40157928925146</v>
      </c>
      <c r="CZ145" s="62">
        <f t="shared" si="150"/>
        <v>160.5013084380258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1.4</v>
      </c>
      <c r="DO145" s="13">
        <f>IF('Données projet'!$A$166&gt;35,DO144+DN145-DW144,IF(A145&lt;'Données projet'!$A$166,$DL$205^A145,IF(A145='Données projet'!$A$166,'Données projet'!$B$166,DO144+DN145-DW144)))</f>
        <v>250.79999999999967</v>
      </c>
      <c r="DP145" s="18">
        <f>DO145*VLOOKUP('Données projet'!$B$14,Paramètres!$A$1:$I$89,3,0)*VLOOKUP('Données projet'!$B$14,Paramètres!$A$1:$I$89,5,0)</f>
        <v>242.57375999999968</v>
      </c>
      <c r="DQ145" s="14">
        <f t="shared" si="151"/>
        <v>58.992943235397277</v>
      </c>
      <c r="DR145" s="22">
        <f t="shared" si="124"/>
        <v>525.22867480164962</v>
      </c>
      <c r="DS145" s="62">
        <f t="shared" si="125"/>
        <v>810.92383230470864</v>
      </c>
      <c r="DT145" s="62">
        <f ca="1">AVERAGE(OFFSET($DS$3,0,0,'Données projet'!$E$14+1,1))-AVERAGE(OFFSET($H$3,0,0,'Données projet'!$E$14+1,1))</f>
        <v>398.93296311353788</v>
      </c>
      <c r="DU145" s="62">
        <f t="shared" si="152"/>
        <v>173.19148969173838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-5.6843418860808015E-14</v>
      </c>
      <c r="EK145" s="18">
        <f>EJ145*VLOOKUP('Données projet'!$B$15,Paramètres!$A$1:$I$89,3,0)*VLOOKUP('Données projet'!$B$15,Paramètres!$A$1:$I$89,5,0)</f>
        <v>-4.9658410716801891E-14</v>
      </c>
      <c r="EL145" s="14" t="e">
        <f t="shared" si="153"/>
        <v>#NUM!</v>
      </c>
      <c r="EM145" s="22" t="e">
        <f t="shared" si="127"/>
        <v>#NUM!</v>
      </c>
      <c r="EN145" s="62" t="e">
        <f t="shared" si="128"/>
        <v>#NUM!</v>
      </c>
      <c r="EO145" s="62">
        <f ca="1">AVERAGE(OFFSET($EN$3,0,0,'Données projet'!$E$15+1,1))-AVERAGE(OFFSET($H$3,0,0,'Données projet'!$E$15+1,1))</f>
        <v>226.37420733783091</v>
      </c>
      <c r="EP145" s="62">
        <f t="shared" si="154"/>
        <v>204.10961748628714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6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9">
        <f t="shared" si="110"/>
        <v>183.33333333333334</v>
      </c>
      <c r="I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2.8421709430404007E-13</v>
      </c>
      <c r="O146" s="14">
        <f>N146*VLOOKUP('Données projet'!$B$9,Paramètres!$A$1:$I$89,3,0)*VLOOKUP('Données projet'!$B$9,Paramètres!$A$1:$I$89,5,0)</f>
        <v>1.6626700016786346E-13</v>
      </c>
      <c r="P146" s="14">
        <f t="shared" si="141"/>
        <v>2.3542701735863119E-12</v>
      </c>
      <c r="Q146" s="22">
        <f t="shared" si="108"/>
        <v>4.3899355776218544E-12</v>
      </c>
      <c r="R146" s="62">
        <f t="shared" si="109"/>
        <v>285.82766277731582</v>
      </c>
      <c r="S146" s="62">
        <f ca="1">AVERAGE(OFFSET($R$3,0,0,'Données projet'!$E$9+1,1))-AVERAGE(OFFSET($H$3,0,0,'Données projet'!$E$9+1,1))</f>
        <v>196.48726929442091</v>
      </c>
      <c r="T146" s="62">
        <f t="shared" si="142"/>
        <v>193.28400454669347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1.5599399913260199E-16</v>
      </c>
      <c r="AC146" s="24">
        <f t="shared" si="111"/>
        <v>1.5599399913260199E-16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1.4</v>
      </c>
      <c r="AI146" s="14">
        <f>IF('Données projet'!$A$62&gt;35,AI145+AH146-AQ145,IF(A146&lt;'Données projet'!$A$62,$AF$205^A146,IF(A146='Données projet'!$A$62,'Données projet'!$B$62,AI145+AH146-AQ145)))</f>
        <v>252.19999999999968</v>
      </c>
      <c r="AJ146" s="14">
        <f>AI146*VLOOKUP('Données projet'!$B$10,Paramètres!$A$1:$I$89,3,0)*VLOOKUP('Données projet'!$B$10,Paramètres!$A$1:$I$89,5,0)</f>
        <v>255.7307999999997</v>
      </c>
      <c r="AK146" s="14">
        <f t="shared" si="143"/>
        <v>61.811482021795229</v>
      </c>
      <c r="AL146" s="22">
        <f t="shared" si="112"/>
        <v>553.05280785462605</v>
      </c>
      <c r="AM146" s="62">
        <f t="shared" si="113"/>
        <v>838.88047063193744</v>
      </c>
      <c r="AN146" s="62">
        <f ca="1">AVERAGE(OFFSET($AM$3,0,0,'Données projet'!$E$10+1,1))-AVERAGE(OFFSET($H$3,0,0,'Données projet'!$E$10+1,1))</f>
        <v>414.29294334114661</v>
      </c>
      <c r="AO146" s="62">
        <f t="shared" si="144"/>
        <v>178.72086185623849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1.4</v>
      </c>
      <c r="BD146" s="13">
        <f>IF('Données projet'!$A$88&gt;35,BD145+BC146-BL145,IF(A146&lt;'Données projet'!$A$88,$BA$205^A146,IF(A146='Données projet'!$A$88,'Données projet'!$B$88,BD145+BC146-BL145)))</f>
        <v>252.19999999999968</v>
      </c>
      <c r="BE146" s="14">
        <f>BD146*VLOOKUP('Données projet'!$B$11,Paramètres!$A$1:$I$89,3,0)*VLOOKUP('Données projet'!$B$11,Paramètres!$A$1:$I$89,5,0)</f>
        <v>271.46807999999965</v>
      </c>
      <c r="BF146" s="14">
        <f t="shared" si="145"/>
        <v>65.160734519435877</v>
      </c>
      <c r="BG146" s="22">
        <f t="shared" si="115"/>
        <v>586.29518528801691</v>
      </c>
      <c r="BH146" s="62">
        <f t="shared" si="116"/>
        <v>872.1228480653283</v>
      </c>
      <c r="BI146" s="62">
        <f ca="1">AVERAGE(OFFSET($BH$3,0,0,'Données projet'!$E$11+1,1))-AVERAGE(OFFSET($H$3,0,0,'Données projet'!$E$11+1,1))</f>
        <v>434.74983403680108</v>
      </c>
      <c r="BJ146" s="62">
        <f t="shared" si="146"/>
        <v>186.0840067781198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1.1368683772161603E-13</v>
      </c>
      <c r="BZ146" s="14">
        <f>BY146*VLOOKUP('Données projet'!$B$12,Paramètres!$A$1:$I$89,3,0)*VLOOKUP('Données projet'!$B$12,Paramètres!$A$1:$I$89,5,0)</f>
        <v>9.7543306765146564E-14</v>
      </c>
      <c r="CA146" s="14">
        <f t="shared" si="147"/>
        <v>1.4696264278629426E-12</v>
      </c>
      <c r="CB146" s="22">
        <f t="shared" si="118"/>
        <v>2.7294872878105889E-12</v>
      </c>
      <c r="CC146" s="62">
        <f t="shared" si="119"/>
        <v>285.82766277731417</v>
      </c>
      <c r="CD146" s="62">
        <f ca="1">AVERAGE(OFFSET($CC$3,0,0,'Données projet'!$E$12+1,1))-AVERAGE(OFFSET($H$3,0,0,'Données projet'!$E$12+1,1))</f>
        <v>288.24759203983547</v>
      </c>
      <c r="CE146" s="62">
        <f t="shared" si="148"/>
        <v>188.86613033148794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1.1368683772161603E-13</v>
      </c>
      <c r="CU146" s="18">
        <f>CT146*VLOOKUP('Données projet'!$B$13,Paramètres!$A$1:$I$89,3,0)*VLOOKUP('Données projet'!$B$13,Paramètres!$A$1:$I$89,5,0)</f>
        <v>7.626113074366004E-14</v>
      </c>
      <c r="CV146" s="14">
        <f t="shared" si="149"/>
        <v>1.1823749172251317E-12</v>
      </c>
      <c r="CW146" s="22">
        <f t="shared" si="121"/>
        <v>2.1921244502123119E-12</v>
      </c>
      <c r="CX146" s="62">
        <f t="shared" si="122"/>
        <v>285.82766277731366</v>
      </c>
      <c r="CY146" s="62">
        <f ca="1">AVERAGE(OFFSET($CX$3,0,0,'Données projet'!$E$13+1,1))-AVERAGE(OFFSET($H$3,0,0,'Données projet'!$E$13+1,1))</f>
        <v>240.40157928925146</v>
      </c>
      <c r="CZ146" s="62">
        <f t="shared" si="150"/>
        <v>160.5013084380258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1.4</v>
      </c>
      <c r="DO146" s="13">
        <f>IF('Données projet'!$A$166&gt;35,DO145+DN146-DW145,IF(A146&lt;'Données projet'!$A$166,$DL$205^A146,IF(A146='Données projet'!$A$166,'Données projet'!$B$166,DO145+DN146-DW145)))</f>
        <v>252.19999999999968</v>
      </c>
      <c r="DP146" s="18">
        <f>DO146*VLOOKUP('Données projet'!$B$14,Paramètres!$A$1:$I$89,3,0)*VLOOKUP('Données projet'!$B$14,Paramètres!$A$1:$I$89,5,0)</f>
        <v>243.92783999999969</v>
      </c>
      <c r="DQ146" s="14">
        <f t="shared" si="151"/>
        <v>59.283824299708797</v>
      </c>
      <c r="DR146" s="22">
        <f t="shared" si="124"/>
        <v>528.09364865532564</v>
      </c>
      <c r="DS146" s="62">
        <f t="shared" si="125"/>
        <v>813.92131143263714</v>
      </c>
      <c r="DT146" s="62">
        <f ca="1">AVERAGE(OFFSET($DS$3,0,0,'Données projet'!$E$14+1,1))-AVERAGE(OFFSET($H$3,0,0,'Données projet'!$E$14+1,1))</f>
        <v>398.93296311353788</v>
      </c>
      <c r="DU146" s="62">
        <f t="shared" si="152"/>
        <v>173.19148969173838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-5.6843418860808015E-14</v>
      </c>
      <c r="EK146" s="18">
        <f>EJ146*VLOOKUP('Données projet'!$B$15,Paramètres!$A$1:$I$89,3,0)*VLOOKUP('Données projet'!$B$15,Paramètres!$A$1:$I$89,5,0)</f>
        <v>-4.9658410716801891E-14</v>
      </c>
      <c r="EL146" s="14" t="e">
        <f t="shared" si="153"/>
        <v>#NUM!</v>
      </c>
      <c r="EM146" s="22" t="e">
        <f t="shared" si="127"/>
        <v>#NUM!</v>
      </c>
      <c r="EN146" s="62" t="e">
        <f t="shared" si="128"/>
        <v>#NUM!</v>
      </c>
      <c r="EO146" s="62">
        <f ca="1">AVERAGE(OFFSET($EN$3,0,0,'Données projet'!$E$15+1,1))-AVERAGE(OFFSET($H$3,0,0,'Données projet'!$E$15+1,1))</f>
        <v>226.37420733783091</v>
      </c>
      <c r="EP146" s="62">
        <f t="shared" si="154"/>
        <v>204.10961748628714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6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9">
        <f t="shared" si="110"/>
        <v>183.33333333333334</v>
      </c>
      <c r="I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2.8421709430404007E-13</v>
      </c>
      <c r="O147" s="14">
        <f>N147*VLOOKUP('Données projet'!$B$9,Paramètres!$A$1:$I$89,3,0)*VLOOKUP('Données projet'!$B$9,Paramètres!$A$1:$I$89,5,0)</f>
        <v>1.6626700016786346E-13</v>
      </c>
      <c r="P147" s="14">
        <f t="shared" si="141"/>
        <v>2.3542701735863119E-12</v>
      </c>
      <c r="Q147" s="22">
        <f t="shared" si="108"/>
        <v>4.3899355776218544E-12</v>
      </c>
      <c r="R147" s="62">
        <f t="shared" si="109"/>
        <v>285.95786938129726</v>
      </c>
      <c r="S147" s="62">
        <f ca="1">AVERAGE(OFFSET($R$3,0,0,'Données projet'!$E$9+1,1))-AVERAGE(OFFSET($H$3,0,0,'Données projet'!$E$9+1,1))</f>
        <v>196.48726929442091</v>
      </c>
      <c r="T147" s="62">
        <f t="shared" si="142"/>
        <v>193.28400454669347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1.1030441461107129E-16</v>
      </c>
      <c r="AC147" s="24">
        <f t="shared" si="111"/>
        <v>1.1030441461107129E-16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1.4</v>
      </c>
      <c r="AI147" s="14">
        <f>IF('Données projet'!$A$62&gt;35,AI146+AH147-AQ146,IF(A147&lt;'Données projet'!$A$62,$AF$205^A147,IF(A147='Données projet'!$A$62,'Données projet'!$B$62,AI146+AH147-AQ146)))</f>
        <v>253.59999999999968</v>
      </c>
      <c r="AJ147" s="14">
        <f>AI147*VLOOKUP('Données projet'!$B$10,Paramètres!$A$1:$I$89,3,0)*VLOOKUP('Données projet'!$B$10,Paramètres!$A$1:$I$89,5,0)</f>
        <v>257.15039999999971</v>
      </c>
      <c r="AK147" s="14">
        <f t="shared" si="143"/>
        <v>62.11456934567606</v>
      </c>
      <c r="AL147" s="22">
        <f t="shared" si="112"/>
        <v>556.0531549437186</v>
      </c>
      <c r="AM147" s="62">
        <f t="shared" si="113"/>
        <v>842.01102432501148</v>
      </c>
      <c r="AN147" s="62">
        <f ca="1">AVERAGE(OFFSET($AM$3,0,0,'Données projet'!$E$10+1,1))-AVERAGE(OFFSET($H$3,0,0,'Données projet'!$E$10+1,1))</f>
        <v>414.29294334114661</v>
      </c>
      <c r="AO147" s="62">
        <f t="shared" si="144"/>
        <v>178.72086185623849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1.4</v>
      </c>
      <c r="BD147" s="13">
        <f>IF('Données projet'!$A$88&gt;35,BD146+BC147-BL146,IF(A147&lt;'Données projet'!$A$88,$BA$205^A147,IF(A147='Données projet'!$A$88,'Données projet'!$B$88,BD146+BC147-BL146)))</f>
        <v>253.59999999999968</v>
      </c>
      <c r="BE147" s="14">
        <f>BD147*VLOOKUP('Données projet'!$B$11,Paramètres!$A$1:$I$89,3,0)*VLOOKUP('Données projet'!$B$11,Paramètres!$A$1:$I$89,5,0)</f>
        <v>272.97503999999964</v>
      </c>
      <c r="BF147" s="14">
        <f t="shared" si="145"/>
        <v>65.480244616939203</v>
      </c>
      <c r="BG147" s="22">
        <f t="shared" si="115"/>
        <v>589.47628737450179</v>
      </c>
      <c r="BH147" s="62">
        <f t="shared" si="116"/>
        <v>875.43415675579467</v>
      </c>
      <c r="BI147" s="62">
        <f ca="1">AVERAGE(OFFSET($BH$3,0,0,'Données projet'!$E$11+1,1))-AVERAGE(OFFSET($H$3,0,0,'Données projet'!$E$11+1,1))</f>
        <v>434.74983403680108</v>
      </c>
      <c r="BJ147" s="62">
        <f t="shared" si="146"/>
        <v>186.0840067781198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1.1368683772161603E-13</v>
      </c>
      <c r="BZ147" s="14">
        <f>BY147*VLOOKUP('Données projet'!$B$12,Paramètres!$A$1:$I$89,3,0)*VLOOKUP('Données projet'!$B$12,Paramètres!$A$1:$I$89,5,0)</f>
        <v>9.7543306765146564E-14</v>
      </c>
      <c r="CA147" s="14">
        <f t="shared" si="147"/>
        <v>1.4696264278629426E-12</v>
      </c>
      <c r="CB147" s="22">
        <f t="shared" si="118"/>
        <v>2.7294872878105889E-12</v>
      </c>
      <c r="CC147" s="62">
        <f t="shared" si="119"/>
        <v>285.95786938129561</v>
      </c>
      <c r="CD147" s="62">
        <f ca="1">AVERAGE(OFFSET($CC$3,0,0,'Données projet'!$E$12+1,1))-AVERAGE(OFFSET($H$3,0,0,'Données projet'!$E$12+1,1))</f>
        <v>288.24759203983547</v>
      </c>
      <c r="CE147" s="62">
        <f t="shared" si="148"/>
        <v>188.86613033148794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1.1368683772161603E-13</v>
      </c>
      <c r="CU147" s="18">
        <f>CT147*VLOOKUP('Données projet'!$B$13,Paramètres!$A$1:$I$89,3,0)*VLOOKUP('Données projet'!$B$13,Paramètres!$A$1:$I$89,5,0)</f>
        <v>7.626113074366004E-14</v>
      </c>
      <c r="CV147" s="14">
        <f t="shared" si="149"/>
        <v>1.1823749172251317E-12</v>
      </c>
      <c r="CW147" s="22">
        <f t="shared" si="121"/>
        <v>2.1921244502123119E-12</v>
      </c>
      <c r="CX147" s="62">
        <f t="shared" si="122"/>
        <v>285.9578693812951</v>
      </c>
      <c r="CY147" s="62">
        <f ca="1">AVERAGE(OFFSET($CX$3,0,0,'Données projet'!$E$13+1,1))-AVERAGE(OFFSET($H$3,0,0,'Données projet'!$E$13+1,1))</f>
        <v>240.40157928925146</v>
      </c>
      <c r="CZ147" s="62">
        <f t="shared" si="150"/>
        <v>160.5013084380258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1.4</v>
      </c>
      <c r="DO147" s="13">
        <f>IF('Données projet'!$A$166&gt;35,DO146+DN147-DW146,IF(A147&lt;'Données projet'!$A$166,$DL$205^A147,IF(A147='Données projet'!$A$166,'Données projet'!$B$166,DO146+DN147-DW146)))</f>
        <v>253.59999999999968</v>
      </c>
      <c r="DP147" s="18">
        <f>DO147*VLOOKUP('Données projet'!$B$14,Paramètres!$A$1:$I$89,3,0)*VLOOKUP('Données projet'!$B$14,Paramètres!$A$1:$I$89,5,0)</f>
        <v>245.2819199999997</v>
      </c>
      <c r="DQ147" s="14">
        <f t="shared" si="151"/>
        <v>59.574517469791516</v>
      </c>
      <c r="DR147" s="22">
        <f t="shared" si="124"/>
        <v>530.95829525988631</v>
      </c>
      <c r="DS147" s="62">
        <f t="shared" si="125"/>
        <v>816.91616464117919</v>
      </c>
      <c r="DT147" s="62">
        <f ca="1">AVERAGE(OFFSET($DS$3,0,0,'Données projet'!$E$14+1,1))-AVERAGE(OFFSET($H$3,0,0,'Données projet'!$E$14+1,1))</f>
        <v>398.93296311353788</v>
      </c>
      <c r="DU147" s="62">
        <f t="shared" si="152"/>
        <v>173.19148969173838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-5.6843418860808015E-14</v>
      </c>
      <c r="EK147" s="18">
        <f>EJ147*VLOOKUP('Données projet'!$B$15,Paramètres!$A$1:$I$89,3,0)*VLOOKUP('Données projet'!$B$15,Paramètres!$A$1:$I$89,5,0)</f>
        <v>-4.9658410716801891E-14</v>
      </c>
      <c r="EL147" s="14" t="e">
        <f t="shared" si="153"/>
        <v>#NUM!</v>
      </c>
      <c r="EM147" s="22" t="e">
        <f t="shared" si="127"/>
        <v>#NUM!</v>
      </c>
      <c r="EN147" s="62" t="e">
        <f t="shared" si="128"/>
        <v>#NUM!</v>
      </c>
      <c r="EO147" s="62">
        <f ca="1">AVERAGE(OFFSET($EN$3,0,0,'Données projet'!$E$15+1,1))-AVERAGE(OFFSET($H$3,0,0,'Données projet'!$E$15+1,1))</f>
        <v>226.37420733783091</v>
      </c>
      <c r="EP147" s="62">
        <f t="shared" si="154"/>
        <v>204.10961748628714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6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9">
        <f t="shared" si="110"/>
        <v>183.33333333333334</v>
      </c>
      <c r="I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2.8421709430404007E-13</v>
      </c>
      <c r="O148" s="14">
        <f>N148*VLOOKUP('Données projet'!$B$9,Paramètres!$A$1:$I$89,3,0)*VLOOKUP('Données projet'!$B$9,Paramètres!$A$1:$I$89,5,0)</f>
        <v>1.6626700016786346E-13</v>
      </c>
      <c r="P148" s="14">
        <f t="shared" si="141"/>
        <v>2.3542701735863119E-12</v>
      </c>
      <c r="Q148" s="22">
        <f t="shared" si="108"/>
        <v>4.3899355776218544E-12</v>
      </c>
      <c r="R148" s="62">
        <f t="shared" si="109"/>
        <v>286.08581719179796</v>
      </c>
      <c r="S148" s="62">
        <f ca="1">AVERAGE(OFFSET($R$3,0,0,'Données projet'!$E$9+1,1))-AVERAGE(OFFSET($H$3,0,0,'Données projet'!$E$9+1,1))</f>
        <v>196.48726929442091</v>
      </c>
      <c r="T148" s="62">
        <f t="shared" si="142"/>
        <v>193.28400454669347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7.7996999566301009E-17</v>
      </c>
      <c r="AC148" s="24">
        <f t="shared" si="111"/>
        <v>7.7996999566301009E-17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1.4</v>
      </c>
      <c r="AI148" s="14">
        <f>IF('Données projet'!$A$62&gt;35,AI147+AH148-AQ147,IF(A148&lt;'Données projet'!$A$62,$AF$205^A148,IF(A148='Données projet'!$A$62,'Données projet'!$B$62,AI147+AH148-AQ147)))</f>
        <v>254.99999999999969</v>
      </c>
      <c r="AJ148" s="14">
        <f>AI148*VLOOKUP('Données projet'!$B$10,Paramètres!$A$1:$I$89,3,0)*VLOOKUP('Données projet'!$B$10,Paramètres!$A$1:$I$89,5,0)</f>
        <v>258.56999999999971</v>
      </c>
      <c r="AK148" s="14">
        <f t="shared" si="143"/>
        <v>62.417461971173786</v>
      </c>
      <c r="AL148" s="22">
        <f t="shared" si="112"/>
        <v>559.05316293312717</v>
      </c>
      <c r="AM148" s="62">
        <f t="shared" si="113"/>
        <v>845.13898012492075</v>
      </c>
      <c r="AN148" s="62">
        <f ca="1">AVERAGE(OFFSET($AM$3,0,0,'Données projet'!$E$10+1,1))-AVERAGE(OFFSET($H$3,0,0,'Données projet'!$E$10+1,1))</f>
        <v>414.29294334114661</v>
      </c>
      <c r="AO148" s="62">
        <f t="shared" si="144"/>
        <v>178.72086185623849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1.4</v>
      </c>
      <c r="BD148" s="13">
        <f>IF('Données projet'!$A$88&gt;35,BD147+BC148-BL147,IF(A148&lt;'Données projet'!$A$88,$BA$205^A148,IF(A148='Données projet'!$A$88,'Données projet'!$B$88,BD147+BC148-BL147)))</f>
        <v>254.99999999999969</v>
      </c>
      <c r="BE148" s="14">
        <f>BD148*VLOOKUP('Données projet'!$B$11,Paramètres!$A$1:$I$89,3,0)*VLOOKUP('Données projet'!$B$11,Paramètres!$A$1:$I$89,5,0)</f>
        <v>274.48199999999963</v>
      </c>
      <c r="BF148" s="14">
        <f t="shared" si="145"/>
        <v>65.799549466335833</v>
      </c>
      <c r="BG148" s="22">
        <f t="shared" si="115"/>
        <v>592.65703198720098</v>
      </c>
      <c r="BH148" s="62">
        <f t="shared" si="116"/>
        <v>878.74284917899456</v>
      </c>
      <c r="BI148" s="62">
        <f ca="1">AVERAGE(OFFSET($BH$3,0,0,'Données projet'!$E$11+1,1))-AVERAGE(OFFSET($H$3,0,0,'Données projet'!$E$11+1,1))</f>
        <v>434.74983403680108</v>
      </c>
      <c r="BJ148" s="62">
        <f t="shared" si="146"/>
        <v>186.0840067781198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1.1368683772161603E-13</v>
      </c>
      <c r="BZ148" s="14">
        <f>BY148*VLOOKUP('Données projet'!$B$12,Paramètres!$A$1:$I$89,3,0)*VLOOKUP('Données projet'!$B$12,Paramètres!$A$1:$I$89,5,0)</f>
        <v>9.7543306765146564E-14</v>
      </c>
      <c r="CA148" s="14">
        <f t="shared" si="147"/>
        <v>1.4696264278629426E-12</v>
      </c>
      <c r="CB148" s="22">
        <f t="shared" si="118"/>
        <v>2.7294872878105889E-12</v>
      </c>
      <c r="CC148" s="62">
        <f t="shared" si="119"/>
        <v>286.08581719179631</v>
      </c>
      <c r="CD148" s="62">
        <f ca="1">AVERAGE(OFFSET($CC$3,0,0,'Données projet'!$E$12+1,1))-AVERAGE(OFFSET($H$3,0,0,'Données projet'!$E$12+1,1))</f>
        <v>288.24759203983547</v>
      </c>
      <c r="CE148" s="62">
        <f t="shared" si="148"/>
        <v>188.86613033148794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1.1368683772161603E-13</v>
      </c>
      <c r="CU148" s="18">
        <f>CT148*VLOOKUP('Données projet'!$B$13,Paramètres!$A$1:$I$89,3,0)*VLOOKUP('Données projet'!$B$13,Paramètres!$A$1:$I$89,5,0)</f>
        <v>7.626113074366004E-14</v>
      </c>
      <c r="CV148" s="14">
        <f t="shared" si="149"/>
        <v>1.1823749172251317E-12</v>
      </c>
      <c r="CW148" s="22">
        <f t="shared" si="121"/>
        <v>2.1921244502123119E-12</v>
      </c>
      <c r="CX148" s="62">
        <f t="shared" si="122"/>
        <v>286.0858171917958</v>
      </c>
      <c r="CY148" s="62">
        <f ca="1">AVERAGE(OFFSET($CX$3,0,0,'Données projet'!$E$13+1,1))-AVERAGE(OFFSET($H$3,0,0,'Données projet'!$E$13+1,1))</f>
        <v>240.40157928925146</v>
      </c>
      <c r="CZ148" s="62">
        <f t="shared" si="150"/>
        <v>160.5013084380258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1.4</v>
      </c>
      <c r="DO148" s="13">
        <f>IF('Données projet'!$A$166&gt;35,DO147+DN148-DW147,IF(A148&lt;'Données projet'!$A$166,$DL$205^A148,IF(A148='Données projet'!$A$166,'Données projet'!$B$166,DO147+DN148-DW147)))</f>
        <v>254.99999999999969</v>
      </c>
      <c r="DP148" s="18">
        <f>DO148*VLOOKUP('Données projet'!$B$14,Paramètres!$A$1:$I$89,3,0)*VLOOKUP('Données projet'!$B$14,Paramètres!$A$1:$I$89,5,0)</f>
        <v>246.63599999999968</v>
      </c>
      <c r="DQ148" s="14">
        <f t="shared" si="151"/>
        <v>59.865023903294485</v>
      </c>
      <c r="DR148" s="22">
        <f t="shared" si="124"/>
        <v>533.82261663157055</v>
      </c>
      <c r="DS148" s="62">
        <f t="shared" si="125"/>
        <v>819.90843382336413</v>
      </c>
      <c r="DT148" s="62">
        <f ca="1">AVERAGE(OFFSET($DS$3,0,0,'Données projet'!$E$14+1,1))-AVERAGE(OFFSET($H$3,0,0,'Données projet'!$E$14+1,1))</f>
        <v>398.93296311353788</v>
      </c>
      <c r="DU148" s="62">
        <f t="shared" si="152"/>
        <v>173.19148969173838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-5.6843418860808015E-14</v>
      </c>
      <c r="EK148" s="18">
        <f>EJ148*VLOOKUP('Données projet'!$B$15,Paramètres!$A$1:$I$89,3,0)*VLOOKUP('Données projet'!$B$15,Paramètres!$A$1:$I$89,5,0)</f>
        <v>-4.9658410716801891E-14</v>
      </c>
      <c r="EL148" s="14" t="e">
        <f t="shared" si="153"/>
        <v>#NUM!</v>
      </c>
      <c r="EM148" s="22" t="e">
        <f t="shared" si="127"/>
        <v>#NUM!</v>
      </c>
      <c r="EN148" s="62" t="e">
        <f t="shared" si="128"/>
        <v>#NUM!</v>
      </c>
      <c r="EO148" s="62">
        <f ca="1">AVERAGE(OFFSET($EN$3,0,0,'Données projet'!$E$15+1,1))-AVERAGE(OFFSET($H$3,0,0,'Données projet'!$E$15+1,1))</f>
        <v>226.37420733783091</v>
      </c>
      <c r="EP148" s="62">
        <f t="shared" si="154"/>
        <v>204.10961748628714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6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9">
        <f t="shared" si="110"/>
        <v>183.33333333333334</v>
      </c>
      <c r="I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2.8421709430404007E-13</v>
      </c>
      <c r="O149" s="14">
        <f>N149*VLOOKUP('Données projet'!$B$9,Paramètres!$A$1:$I$89,3,0)*VLOOKUP('Données projet'!$B$9,Paramètres!$A$1:$I$89,5,0)</f>
        <v>1.6626700016786346E-13</v>
      </c>
      <c r="P149" s="14">
        <f t="shared" si="141"/>
        <v>2.3542701735863119E-12</v>
      </c>
      <c r="Q149" s="22">
        <f t="shared" si="108"/>
        <v>4.3899355776218544E-12</v>
      </c>
      <c r="R149" s="62">
        <f t="shared" si="109"/>
        <v>286.21154539383502</v>
      </c>
      <c r="S149" s="62">
        <f ca="1">AVERAGE(OFFSET($R$3,0,0,'Données projet'!$E$9+1,1))-AVERAGE(OFFSET($H$3,0,0,'Données projet'!$E$9+1,1))</f>
        <v>196.48726929442091</v>
      </c>
      <c r="T149" s="62">
        <f t="shared" si="142"/>
        <v>193.28400454669347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5.5152207305535652E-17</v>
      </c>
      <c r="AC149" s="24">
        <f t="shared" si="111"/>
        <v>5.5152207305535652E-17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1.4</v>
      </c>
      <c r="AI149" s="14">
        <f>IF('Données projet'!$A$62&gt;35,AI148+AH149-AQ148,IF(A149&lt;'Données projet'!$A$62,$AF$205^A149,IF(A149='Données projet'!$A$62,'Données projet'!$B$62,AI148+AH149-AQ148)))</f>
        <v>256.39999999999969</v>
      </c>
      <c r="AJ149" s="14">
        <f>AI149*VLOOKUP('Données projet'!$B$10,Paramètres!$A$1:$I$89,3,0)*VLOOKUP('Données projet'!$B$10,Paramètres!$A$1:$I$89,5,0)</f>
        <v>259.98959999999971</v>
      </c>
      <c r="AK149" s="14">
        <f t="shared" si="143"/>
        <v>62.720161091275187</v>
      </c>
      <c r="AL149" s="22">
        <f t="shared" si="112"/>
        <v>562.0528339006371</v>
      </c>
      <c r="AM149" s="62">
        <f t="shared" si="113"/>
        <v>848.26437929446774</v>
      </c>
      <c r="AN149" s="62">
        <f ca="1">AVERAGE(OFFSET($AM$3,0,0,'Données projet'!$E$10+1,1))-AVERAGE(OFFSET($H$3,0,0,'Données projet'!$E$10+1,1))</f>
        <v>414.29294334114661</v>
      </c>
      <c r="AO149" s="62">
        <f t="shared" si="144"/>
        <v>178.72086185623849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1.4</v>
      </c>
      <c r="BD149" s="13">
        <f>IF('Données projet'!$A$88&gt;35,BD148+BC149-BL148,IF(A149&lt;'Données projet'!$A$88,$BA$205^A149,IF(A149='Données projet'!$A$88,'Données projet'!$B$88,BD148+BC149-BL148)))</f>
        <v>256.39999999999969</v>
      </c>
      <c r="BE149" s="14">
        <f>BD149*VLOOKUP('Données projet'!$B$11,Paramètres!$A$1:$I$89,3,0)*VLOOKUP('Données projet'!$B$11,Paramètres!$A$1:$I$89,5,0)</f>
        <v>275.98895999999962</v>
      </c>
      <c r="BF149" s="14">
        <f t="shared" si="145"/>
        <v>66.118650325254563</v>
      </c>
      <c r="BG149" s="22">
        <f t="shared" si="115"/>
        <v>595.83742131648444</v>
      </c>
      <c r="BH149" s="62">
        <f t="shared" si="116"/>
        <v>882.04896671031509</v>
      </c>
      <c r="BI149" s="62">
        <f ca="1">AVERAGE(OFFSET($BH$3,0,0,'Données projet'!$E$11+1,1))-AVERAGE(OFFSET($H$3,0,0,'Données projet'!$E$11+1,1))</f>
        <v>434.74983403680108</v>
      </c>
      <c r="BJ149" s="62">
        <f t="shared" si="146"/>
        <v>186.0840067781198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1.1368683772161603E-13</v>
      </c>
      <c r="BZ149" s="14">
        <f>BY149*VLOOKUP('Données projet'!$B$12,Paramètres!$A$1:$I$89,3,0)*VLOOKUP('Données projet'!$B$12,Paramètres!$A$1:$I$89,5,0)</f>
        <v>9.7543306765146564E-14</v>
      </c>
      <c r="CA149" s="14">
        <f t="shared" si="147"/>
        <v>1.4696264278629426E-12</v>
      </c>
      <c r="CB149" s="22">
        <f t="shared" si="118"/>
        <v>2.7294872878105889E-12</v>
      </c>
      <c r="CC149" s="62">
        <f t="shared" si="119"/>
        <v>286.21154539383338</v>
      </c>
      <c r="CD149" s="62">
        <f ca="1">AVERAGE(OFFSET($CC$3,0,0,'Données projet'!$E$12+1,1))-AVERAGE(OFFSET($H$3,0,0,'Données projet'!$E$12+1,1))</f>
        <v>288.24759203983547</v>
      </c>
      <c r="CE149" s="62">
        <f t="shared" si="148"/>
        <v>188.86613033148794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1.1368683772161603E-13</v>
      </c>
      <c r="CU149" s="18">
        <f>CT149*VLOOKUP('Données projet'!$B$13,Paramètres!$A$1:$I$89,3,0)*VLOOKUP('Données projet'!$B$13,Paramètres!$A$1:$I$89,5,0)</f>
        <v>7.626113074366004E-14</v>
      </c>
      <c r="CV149" s="14">
        <f t="shared" si="149"/>
        <v>1.1823749172251317E-12</v>
      </c>
      <c r="CW149" s="22">
        <f t="shared" si="121"/>
        <v>2.1921244502123119E-12</v>
      </c>
      <c r="CX149" s="62">
        <f t="shared" si="122"/>
        <v>286.21154539383286</v>
      </c>
      <c r="CY149" s="62">
        <f ca="1">AVERAGE(OFFSET($CX$3,0,0,'Données projet'!$E$13+1,1))-AVERAGE(OFFSET($H$3,0,0,'Données projet'!$E$13+1,1))</f>
        <v>240.40157928925146</v>
      </c>
      <c r="CZ149" s="62">
        <f t="shared" si="150"/>
        <v>160.5013084380258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1.4</v>
      </c>
      <c r="DO149" s="13">
        <f>IF('Données projet'!$A$166&gt;35,DO148+DN149-DW148,IF(A149&lt;'Données projet'!$A$166,$DL$205^A149,IF(A149='Données projet'!$A$166,'Données projet'!$B$166,DO148+DN149-DW148)))</f>
        <v>256.39999999999969</v>
      </c>
      <c r="DP149" s="18">
        <f>DO149*VLOOKUP('Données projet'!$B$14,Paramètres!$A$1:$I$89,3,0)*VLOOKUP('Données projet'!$B$14,Paramètres!$A$1:$I$89,5,0)</f>
        <v>247.99007999999972</v>
      </c>
      <c r="DQ149" s="14">
        <f t="shared" si="151"/>
        <v>60.155344744419764</v>
      </c>
      <c r="DR149" s="22">
        <f t="shared" si="124"/>
        <v>536.68661476319721</v>
      </c>
      <c r="DS149" s="62">
        <f t="shared" si="125"/>
        <v>822.89816015702786</v>
      </c>
      <c r="DT149" s="62">
        <f ca="1">AVERAGE(OFFSET($DS$3,0,0,'Données projet'!$E$14+1,1))-AVERAGE(OFFSET($H$3,0,0,'Données projet'!$E$14+1,1))</f>
        <v>398.93296311353788</v>
      </c>
      <c r="DU149" s="62">
        <f t="shared" si="152"/>
        <v>173.19148969173838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-5.6843418860808015E-14</v>
      </c>
      <c r="EK149" s="18">
        <f>EJ149*VLOOKUP('Données projet'!$B$15,Paramètres!$A$1:$I$89,3,0)*VLOOKUP('Données projet'!$B$15,Paramètres!$A$1:$I$89,5,0)</f>
        <v>-4.9658410716801891E-14</v>
      </c>
      <c r="EL149" s="14" t="e">
        <f t="shared" si="153"/>
        <v>#NUM!</v>
      </c>
      <c r="EM149" s="22" t="e">
        <f t="shared" si="127"/>
        <v>#NUM!</v>
      </c>
      <c r="EN149" s="62" t="e">
        <f t="shared" si="128"/>
        <v>#NUM!</v>
      </c>
      <c r="EO149" s="62">
        <f ca="1">AVERAGE(OFFSET($EN$3,0,0,'Données projet'!$E$15+1,1))-AVERAGE(OFFSET($H$3,0,0,'Données projet'!$E$15+1,1))</f>
        <v>226.37420733783091</v>
      </c>
      <c r="EP149" s="62">
        <f t="shared" si="154"/>
        <v>204.10961748628714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6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9">
        <f t="shared" si="110"/>
        <v>183.33333333333334</v>
      </c>
      <c r="I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2.8421709430404007E-13</v>
      </c>
      <c r="O150" s="14">
        <f>N150*VLOOKUP('Données projet'!$B$9,Paramètres!$A$1:$I$89,3,0)*VLOOKUP('Données projet'!$B$9,Paramètres!$A$1:$I$89,5,0)</f>
        <v>1.6626700016786346E-13</v>
      </c>
      <c r="P150" s="14">
        <f t="shared" si="141"/>
        <v>2.3542701735863119E-12</v>
      </c>
      <c r="Q150" s="22">
        <f t="shared" si="108"/>
        <v>4.3899355776218544E-12</v>
      </c>
      <c r="R150" s="62">
        <f t="shared" si="109"/>
        <v>286.33509249265279</v>
      </c>
      <c r="S150" s="62">
        <f ca="1">AVERAGE(OFFSET($R$3,0,0,'Données projet'!$E$9+1,1))-AVERAGE(OFFSET($H$3,0,0,'Données projet'!$E$9+1,1))</f>
        <v>196.48726929442091</v>
      </c>
      <c r="T150" s="62">
        <f t="shared" si="142"/>
        <v>193.28400454669347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3.899849978315051E-17</v>
      </c>
      <c r="AC150" s="24">
        <f t="shared" si="111"/>
        <v>3.899849978315051E-17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1.4</v>
      </c>
      <c r="AI150" s="14">
        <f>IF('Données projet'!$A$62&gt;35,AI149+AH150-AQ149,IF(A150&lt;'Données projet'!$A$62,$AF$205^A150,IF(A150='Données projet'!$A$62,'Données projet'!$B$62,AI149+AH150-AQ149)))</f>
        <v>257.79999999999967</v>
      </c>
      <c r="AJ150" s="14">
        <f>AI150*VLOOKUP('Données projet'!$B$10,Paramètres!$A$1:$I$89,3,0)*VLOOKUP('Données projet'!$B$10,Paramètres!$A$1:$I$89,5,0)</f>
        <v>261.40919999999971</v>
      </c>
      <c r="AK150" s="14">
        <f t="shared" si="143"/>
        <v>63.022667885185101</v>
      </c>
      <c r="AL150" s="22">
        <f t="shared" si="112"/>
        <v>565.05216990003021</v>
      </c>
      <c r="AM150" s="62">
        <f t="shared" si="113"/>
        <v>851.38726239267862</v>
      </c>
      <c r="AN150" s="62">
        <f ca="1">AVERAGE(OFFSET($AM$3,0,0,'Données projet'!$E$10+1,1))-AVERAGE(OFFSET($H$3,0,0,'Données projet'!$E$10+1,1))</f>
        <v>414.29294334114661</v>
      </c>
      <c r="AO150" s="62">
        <f t="shared" si="144"/>
        <v>178.72086185623849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1.4</v>
      </c>
      <c r="BD150" s="13">
        <f>IF('Données projet'!$A$88&gt;35,BD149+BC150-BL149,IF(A150&lt;'Données projet'!$A$88,$BA$205^A150,IF(A150='Données projet'!$A$88,'Données projet'!$B$88,BD149+BC150-BL149)))</f>
        <v>257.79999999999967</v>
      </c>
      <c r="BE150" s="14">
        <f>BD150*VLOOKUP('Données projet'!$B$11,Paramètres!$A$1:$I$89,3,0)*VLOOKUP('Données projet'!$B$11,Paramètres!$A$1:$I$89,5,0)</f>
        <v>277.49591999999961</v>
      </c>
      <c r="BF150" s="14">
        <f t="shared" si="145"/>
        <v>66.437548436795382</v>
      </c>
      <c r="BG150" s="22">
        <f t="shared" si="115"/>
        <v>599.01745752741795</v>
      </c>
      <c r="BH150" s="62">
        <f t="shared" si="116"/>
        <v>885.35255002006636</v>
      </c>
      <c r="BI150" s="62">
        <f ca="1">AVERAGE(OFFSET($BH$3,0,0,'Données projet'!$E$11+1,1))-AVERAGE(OFFSET($H$3,0,0,'Données projet'!$E$11+1,1))</f>
        <v>434.74983403680108</v>
      </c>
      <c r="BJ150" s="62">
        <f t="shared" si="146"/>
        <v>186.0840067781198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1.1368683772161603E-13</v>
      </c>
      <c r="BZ150" s="14">
        <f>BY150*VLOOKUP('Données projet'!$B$12,Paramètres!$A$1:$I$89,3,0)*VLOOKUP('Données projet'!$B$12,Paramètres!$A$1:$I$89,5,0)</f>
        <v>9.7543306765146564E-14</v>
      </c>
      <c r="CA150" s="14">
        <f t="shared" si="147"/>
        <v>1.4696264278629426E-12</v>
      </c>
      <c r="CB150" s="22">
        <f t="shared" si="118"/>
        <v>2.7294872878105889E-12</v>
      </c>
      <c r="CC150" s="62">
        <f t="shared" si="119"/>
        <v>286.33509249265114</v>
      </c>
      <c r="CD150" s="62">
        <f ca="1">AVERAGE(OFFSET($CC$3,0,0,'Données projet'!$E$12+1,1))-AVERAGE(OFFSET($H$3,0,0,'Données projet'!$E$12+1,1))</f>
        <v>288.24759203983547</v>
      </c>
      <c r="CE150" s="62">
        <f t="shared" si="148"/>
        <v>188.86613033148794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1.1368683772161603E-13</v>
      </c>
      <c r="CU150" s="18">
        <f>CT150*VLOOKUP('Données projet'!$B$13,Paramètres!$A$1:$I$89,3,0)*VLOOKUP('Données projet'!$B$13,Paramètres!$A$1:$I$89,5,0)</f>
        <v>7.626113074366004E-14</v>
      </c>
      <c r="CV150" s="14">
        <f t="shared" si="149"/>
        <v>1.1823749172251317E-12</v>
      </c>
      <c r="CW150" s="22">
        <f t="shared" si="121"/>
        <v>2.1921244502123119E-12</v>
      </c>
      <c r="CX150" s="62">
        <f t="shared" si="122"/>
        <v>286.33509249265063</v>
      </c>
      <c r="CY150" s="62">
        <f ca="1">AVERAGE(OFFSET($CX$3,0,0,'Données projet'!$E$13+1,1))-AVERAGE(OFFSET($H$3,0,0,'Données projet'!$E$13+1,1))</f>
        <v>240.40157928925146</v>
      </c>
      <c r="CZ150" s="62">
        <f t="shared" si="150"/>
        <v>160.5013084380258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1.4</v>
      </c>
      <c r="DO150" s="13">
        <f>IF('Données projet'!$A$166&gt;35,DO149+DN150-DW149,IF(A150&lt;'Données projet'!$A$166,$DL$205^A150,IF(A150='Données projet'!$A$166,'Données projet'!$B$166,DO149+DN150-DW149)))</f>
        <v>257.79999999999967</v>
      </c>
      <c r="DP150" s="18">
        <f>DO150*VLOOKUP('Données projet'!$B$14,Paramètres!$A$1:$I$89,3,0)*VLOOKUP('Données projet'!$B$14,Paramètres!$A$1:$I$89,5,0)</f>
        <v>249.34415999999968</v>
      </c>
      <c r="DQ150" s="14">
        <f t="shared" si="151"/>
        <v>60.445481124150859</v>
      </c>
      <c r="DR150" s="22">
        <f t="shared" si="124"/>
        <v>539.55029162456219</v>
      </c>
      <c r="DS150" s="62">
        <f t="shared" si="125"/>
        <v>825.88538411721061</v>
      </c>
      <c r="DT150" s="62">
        <f ca="1">AVERAGE(OFFSET($DS$3,0,0,'Données projet'!$E$14+1,1))-AVERAGE(OFFSET($H$3,0,0,'Données projet'!$E$14+1,1))</f>
        <v>398.93296311353788</v>
      </c>
      <c r="DU150" s="62">
        <f t="shared" si="152"/>
        <v>173.19148969173838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-5.6843418860808015E-14</v>
      </c>
      <c r="EK150" s="18">
        <f>EJ150*VLOOKUP('Données projet'!$B$15,Paramètres!$A$1:$I$89,3,0)*VLOOKUP('Données projet'!$B$15,Paramètres!$A$1:$I$89,5,0)</f>
        <v>-4.9658410716801891E-14</v>
      </c>
      <c r="EL150" s="14" t="e">
        <f t="shared" si="153"/>
        <v>#NUM!</v>
      </c>
      <c r="EM150" s="22" t="e">
        <f t="shared" si="127"/>
        <v>#NUM!</v>
      </c>
      <c r="EN150" s="62" t="e">
        <f t="shared" si="128"/>
        <v>#NUM!</v>
      </c>
      <c r="EO150" s="62">
        <f ca="1">AVERAGE(OFFSET($EN$3,0,0,'Données projet'!$E$15+1,1))-AVERAGE(OFFSET($H$3,0,0,'Données projet'!$E$15+1,1))</f>
        <v>226.37420733783091</v>
      </c>
      <c r="EP150" s="62">
        <f t="shared" si="154"/>
        <v>204.10961748628714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6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9">
        <f t="shared" si="110"/>
        <v>183.33333333333334</v>
      </c>
      <c r="I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2.8421709430404007E-13</v>
      </c>
      <c r="O151" s="14">
        <f>N151*VLOOKUP('Données projet'!$B$9,Paramètres!$A$1:$I$89,3,0)*VLOOKUP('Données projet'!$B$9,Paramètres!$A$1:$I$89,5,0)</f>
        <v>1.6626700016786346E-13</v>
      </c>
      <c r="P151" s="14">
        <f t="shared" si="141"/>
        <v>2.3542701735863119E-12</v>
      </c>
      <c r="Q151" s="22">
        <f t="shared" si="108"/>
        <v>4.3899355776218544E-12</v>
      </c>
      <c r="R151" s="62">
        <f t="shared" si="109"/>
        <v>286.45649632551607</v>
      </c>
      <c r="S151" s="62">
        <f ca="1">AVERAGE(OFFSET($R$3,0,0,'Données projet'!$E$9+1,1))-AVERAGE(OFFSET($H$3,0,0,'Données projet'!$E$9+1,1))</f>
        <v>196.48726929442091</v>
      </c>
      <c r="T151" s="62">
        <f t="shared" si="142"/>
        <v>193.28400454669347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2.7576103652767832E-17</v>
      </c>
      <c r="AC151" s="24">
        <f t="shared" si="111"/>
        <v>2.7576103652767832E-17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1.4</v>
      </c>
      <c r="AI151" s="14">
        <f>IF('Données projet'!$A$62&gt;35,AI150+AH151-AQ150,IF(A151&lt;'Données projet'!$A$62,$AF$205^A151,IF(A151='Données projet'!$A$62,'Données projet'!$B$62,AI150+AH151-AQ150)))</f>
        <v>259.19999999999965</v>
      </c>
      <c r="AJ151" s="14">
        <f>AI151*VLOOKUP('Données projet'!$B$10,Paramètres!$A$1:$I$89,3,0)*VLOOKUP('Données projet'!$B$10,Paramètres!$A$1:$I$89,5,0)</f>
        <v>262.82879999999966</v>
      </c>
      <c r="AK151" s="14">
        <f t="shared" si="143"/>
        <v>63.324983518559371</v>
      </c>
      <c r="AL151" s="22">
        <f t="shared" si="112"/>
        <v>568.05117296149024</v>
      </c>
      <c r="AM151" s="62">
        <f t="shared" si="113"/>
        <v>854.50766928700193</v>
      </c>
      <c r="AN151" s="62">
        <f ca="1">AVERAGE(OFFSET($AM$3,0,0,'Données projet'!$E$10+1,1))-AVERAGE(OFFSET($H$3,0,0,'Données projet'!$E$10+1,1))</f>
        <v>414.29294334114661</v>
      </c>
      <c r="AO151" s="62">
        <f t="shared" si="144"/>
        <v>178.72086185623849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1.4</v>
      </c>
      <c r="BD151" s="13">
        <f>IF('Données projet'!$A$88&gt;35,BD150+BC151-BL150,IF(A151&lt;'Données projet'!$A$88,$BA$205^A151,IF(A151='Données projet'!$A$88,'Données projet'!$B$88,BD150+BC151-BL150)))</f>
        <v>259.19999999999965</v>
      </c>
      <c r="BE151" s="14">
        <f>BD151*VLOOKUP('Données projet'!$B$11,Paramètres!$A$1:$I$89,3,0)*VLOOKUP('Données projet'!$B$11,Paramètres!$A$1:$I$89,5,0)</f>
        <v>279.00287999999961</v>
      </c>
      <c r="BF151" s="14">
        <f t="shared" si="145"/>
        <v>66.756245029775144</v>
      </c>
      <c r="BG151" s="22">
        <f t="shared" si="115"/>
        <v>602.19714276019101</v>
      </c>
      <c r="BH151" s="62">
        <f t="shared" si="116"/>
        <v>888.65363908570271</v>
      </c>
      <c r="BI151" s="62">
        <f ca="1">AVERAGE(OFFSET($BH$3,0,0,'Données projet'!$E$11+1,1))-AVERAGE(OFFSET($H$3,0,0,'Données projet'!$E$11+1,1))</f>
        <v>434.74983403680108</v>
      </c>
      <c r="BJ151" s="62">
        <f t="shared" si="146"/>
        <v>186.0840067781198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1.1368683772161603E-13</v>
      </c>
      <c r="BZ151" s="14">
        <f>BY151*VLOOKUP('Données projet'!$B$12,Paramètres!$A$1:$I$89,3,0)*VLOOKUP('Données projet'!$B$12,Paramètres!$A$1:$I$89,5,0)</f>
        <v>9.7543306765146564E-14</v>
      </c>
      <c r="CA151" s="14">
        <f t="shared" si="147"/>
        <v>1.4696264278629426E-12</v>
      </c>
      <c r="CB151" s="22">
        <f t="shared" si="118"/>
        <v>2.7294872878105889E-12</v>
      </c>
      <c r="CC151" s="62">
        <f t="shared" si="119"/>
        <v>286.45649632551442</v>
      </c>
      <c r="CD151" s="62">
        <f ca="1">AVERAGE(OFFSET($CC$3,0,0,'Données projet'!$E$12+1,1))-AVERAGE(OFFSET($H$3,0,0,'Données projet'!$E$12+1,1))</f>
        <v>288.24759203983547</v>
      </c>
      <c r="CE151" s="62">
        <f t="shared" si="148"/>
        <v>188.86613033148794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1.1368683772161603E-13</v>
      </c>
      <c r="CU151" s="18">
        <f>CT151*VLOOKUP('Données projet'!$B$13,Paramètres!$A$1:$I$89,3,0)*VLOOKUP('Données projet'!$B$13,Paramètres!$A$1:$I$89,5,0)</f>
        <v>7.626113074366004E-14</v>
      </c>
      <c r="CV151" s="14">
        <f t="shared" si="149"/>
        <v>1.1823749172251317E-12</v>
      </c>
      <c r="CW151" s="22">
        <f t="shared" si="121"/>
        <v>2.1921244502123119E-12</v>
      </c>
      <c r="CX151" s="62">
        <f t="shared" si="122"/>
        <v>286.45649632551391</v>
      </c>
      <c r="CY151" s="62">
        <f ca="1">AVERAGE(OFFSET($CX$3,0,0,'Données projet'!$E$13+1,1))-AVERAGE(OFFSET($H$3,0,0,'Données projet'!$E$13+1,1))</f>
        <v>240.40157928925146</v>
      </c>
      <c r="CZ151" s="62">
        <f t="shared" si="150"/>
        <v>160.5013084380258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1.4</v>
      </c>
      <c r="DO151" s="13">
        <f>IF('Données projet'!$A$166&gt;35,DO150+DN151-DW150,IF(A151&lt;'Données projet'!$A$166,$DL$205^A151,IF(A151='Données projet'!$A$166,'Données projet'!$B$166,DO150+DN151-DW150)))</f>
        <v>259.19999999999965</v>
      </c>
      <c r="DP151" s="18">
        <f>DO151*VLOOKUP('Données projet'!$B$14,Paramètres!$A$1:$I$89,3,0)*VLOOKUP('Données projet'!$B$14,Paramètres!$A$1:$I$89,5,0)</f>
        <v>250.69823999999966</v>
      </c>
      <c r="DQ151" s="14">
        <f t="shared" si="151"/>
        <v>60.735434160476686</v>
      </c>
      <c r="DR151" s="22">
        <f t="shared" si="124"/>
        <v>542.41364916282964</v>
      </c>
      <c r="DS151" s="62">
        <f t="shared" si="125"/>
        <v>828.87014548834134</v>
      </c>
      <c r="DT151" s="62">
        <f ca="1">AVERAGE(OFFSET($DS$3,0,0,'Données projet'!$E$14+1,1))-AVERAGE(OFFSET($H$3,0,0,'Données projet'!$E$14+1,1))</f>
        <v>398.93296311353788</v>
      </c>
      <c r="DU151" s="62">
        <f t="shared" si="152"/>
        <v>173.19148969173838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-5.6843418860808015E-14</v>
      </c>
      <c r="EK151" s="18">
        <f>EJ151*VLOOKUP('Données projet'!$B$15,Paramètres!$A$1:$I$89,3,0)*VLOOKUP('Données projet'!$B$15,Paramètres!$A$1:$I$89,5,0)</f>
        <v>-4.9658410716801891E-14</v>
      </c>
      <c r="EL151" s="14" t="e">
        <f t="shared" si="153"/>
        <v>#NUM!</v>
      </c>
      <c r="EM151" s="22" t="e">
        <f t="shared" si="127"/>
        <v>#NUM!</v>
      </c>
      <c r="EN151" s="62" t="e">
        <f t="shared" si="128"/>
        <v>#NUM!</v>
      </c>
      <c r="EO151" s="62">
        <f ca="1">AVERAGE(OFFSET($EN$3,0,0,'Données projet'!$E$15+1,1))-AVERAGE(OFFSET($H$3,0,0,'Données projet'!$E$15+1,1))</f>
        <v>226.37420733783091</v>
      </c>
      <c r="EP151" s="62">
        <f t="shared" si="154"/>
        <v>204.10961748628714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6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9">
        <f t="shared" si="110"/>
        <v>183.33333333333334</v>
      </c>
      <c r="I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2.8421709430404007E-13</v>
      </c>
      <c r="O152" s="14">
        <f>N152*VLOOKUP('Données projet'!$B$9,Paramètres!$A$1:$I$89,3,0)*VLOOKUP('Données projet'!$B$9,Paramètres!$A$1:$I$89,5,0)</f>
        <v>1.6626700016786346E-13</v>
      </c>
      <c r="P152" s="14">
        <f t="shared" si="141"/>
        <v>2.3542701735863119E-12</v>
      </c>
      <c r="Q152" s="22">
        <f t="shared" si="108"/>
        <v>4.3899355776218544E-12</v>
      </c>
      <c r="R152" s="62">
        <f t="shared" si="109"/>
        <v>286.57579407329746</v>
      </c>
      <c r="S152" s="62">
        <f ca="1">AVERAGE(OFFSET($R$3,0,0,'Données projet'!$E$9+1,1))-AVERAGE(OFFSET($H$3,0,0,'Données projet'!$E$9+1,1))</f>
        <v>196.48726929442091</v>
      </c>
      <c r="T152" s="62">
        <f t="shared" si="142"/>
        <v>193.28400454669347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1.9499249891575258E-17</v>
      </c>
      <c r="AC152" s="24">
        <f t="shared" si="111"/>
        <v>1.9499249891575258E-17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1.4</v>
      </c>
      <c r="AI152" s="14">
        <f>IF('Données projet'!$A$62&gt;35,AI151+AH152-AQ151,IF(A152&lt;'Données projet'!$A$62,$AF$205^A152,IF(A152='Données projet'!$A$62,'Données projet'!$B$62,AI151+AH152-AQ151)))</f>
        <v>260.59999999999962</v>
      </c>
      <c r="AJ152" s="14">
        <f>AI152*VLOOKUP('Données projet'!$B$10,Paramètres!$A$1:$I$89,3,0)*VLOOKUP('Données projet'!$B$10,Paramètres!$A$1:$I$89,5,0)</f>
        <v>264.24839999999961</v>
      </c>
      <c r="AK152" s="14">
        <f t="shared" si="143"/>
        <v>63.627109143733357</v>
      </c>
      <c r="AL152" s="22">
        <f t="shared" si="112"/>
        <v>571.04984509200153</v>
      </c>
      <c r="AM152" s="62">
        <f t="shared" si="113"/>
        <v>857.62563916529461</v>
      </c>
      <c r="AN152" s="62">
        <f ca="1">AVERAGE(OFFSET($AM$3,0,0,'Données projet'!$E$10+1,1))-AVERAGE(OFFSET($H$3,0,0,'Données projet'!$E$10+1,1))</f>
        <v>414.29294334114661</v>
      </c>
      <c r="AO152" s="62">
        <f t="shared" si="144"/>
        <v>178.72086185623849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1.4</v>
      </c>
      <c r="BD152" s="13">
        <f>IF('Données projet'!$A$88&gt;35,BD151+BC152-BL151,IF(A152&lt;'Données projet'!$A$88,$BA$205^A152,IF(A152='Données projet'!$A$88,'Données projet'!$B$88,BD151+BC152-BL151)))</f>
        <v>260.59999999999962</v>
      </c>
      <c r="BE152" s="14">
        <f>BD152*VLOOKUP('Données projet'!$B$11,Paramètres!$A$1:$I$89,3,0)*VLOOKUP('Données projet'!$B$11,Paramètres!$A$1:$I$89,5,0)</f>
        <v>280.5098399999996</v>
      </c>
      <c r="BF152" s="14">
        <f t="shared" si="145"/>
        <v>67.074741318968449</v>
      </c>
      <c r="BG152" s="22">
        <f t="shared" si="115"/>
        <v>605.37647913053593</v>
      </c>
      <c r="BH152" s="62">
        <f t="shared" si="116"/>
        <v>891.95227320382901</v>
      </c>
      <c r="BI152" s="62">
        <f ca="1">AVERAGE(OFFSET($BH$3,0,0,'Données projet'!$E$11+1,1))-AVERAGE(OFFSET($H$3,0,0,'Données projet'!$E$11+1,1))</f>
        <v>434.74983403680108</v>
      </c>
      <c r="BJ152" s="62">
        <f t="shared" si="146"/>
        <v>186.0840067781198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1.1368683772161603E-13</v>
      </c>
      <c r="BZ152" s="14">
        <f>BY152*VLOOKUP('Données projet'!$B$12,Paramètres!$A$1:$I$89,3,0)*VLOOKUP('Données projet'!$B$12,Paramètres!$A$1:$I$89,5,0)</f>
        <v>9.7543306765146564E-14</v>
      </c>
      <c r="CA152" s="14">
        <f t="shared" si="147"/>
        <v>1.4696264278629426E-12</v>
      </c>
      <c r="CB152" s="22">
        <f t="shared" si="118"/>
        <v>2.7294872878105889E-12</v>
      </c>
      <c r="CC152" s="62">
        <f t="shared" si="119"/>
        <v>286.57579407329581</v>
      </c>
      <c r="CD152" s="62">
        <f ca="1">AVERAGE(OFFSET($CC$3,0,0,'Données projet'!$E$12+1,1))-AVERAGE(OFFSET($H$3,0,0,'Données projet'!$E$12+1,1))</f>
        <v>288.24759203983547</v>
      </c>
      <c r="CE152" s="62">
        <f t="shared" si="148"/>
        <v>188.86613033148794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1.1368683772161603E-13</v>
      </c>
      <c r="CU152" s="18">
        <f>CT152*VLOOKUP('Données projet'!$B$13,Paramètres!$A$1:$I$89,3,0)*VLOOKUP('Données projet'!$B$13,Paramètres!$A$1:$I$89,5,0)</f>
        <v>7.626113074366004E-14</v>
      </c>
      <c r="CV152" s="14">
        <f t="shared" si="149"/>
        <v>1.1823749172251317E-12</v>
      </c>
      <c r="CW152" s="22">
        <f t="shared" si="121"/>
        <v>2.1921244502123119E-12</v>
      </c>
      <c r="CX152" s="62">
        <f t="shared" si="122"/>
        <v>286.5757940732953</v>
      </c>
      <c r="CY152" s="62">
        <f ca="1">AVERAGE(OFFSET($CX$3,0,0,'Données projet'!$E$13+1,1))-AVERAGE(OFFSET($H$3,0,0,'Données projet'!$E$13+1,1))</f>
        <v>240.40157928925146</v>
      </c>
      <c r="CZ152" s="62">
        <f t="shared" si="150"/>
        <v>160.5013084380258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1.4</v>
      </c>
      <c r="DO152" s="13">
        <f>IF('Données projet'!$A$166&gt;35,DO151+DN152-DW151,IF(A152&lt;'Données projet'!$A$166,$DL$205^A152,IF(A152='Données projet'!$A$166,'Données projet'!$B$166,DO151+DN152-DW151)))</f>
        <v>260.59999999999962</v>
      </c>
      <c r="DP152" s="18">
        <f>DO152*VLOOKUP('Données projet'!$B$14,Paramètres!$A$1:$I$89,3,0)*VLOOKUP('Données projet'!$B$14,Paramètres!$A$1:$I$89,5,0)</f>
        <v>252.05231999999967</v>
      </c>
      <c r="DQ152" s="14">
        <f t="shared" si="151"/>
        <v>61.025204958609926</v>
      </c>
      <c r="DR152" s="22">
        <f t="shared" si="124"/>
        <v>545.27668930291168</v>
      </c>
      <c r="DS152" s="62">
        <f t="shared" si="125"/>
        <v>831.85248337620476</v>
      </c>
      <c r="DT152" s="62">
        <f ca="1">AVERAGE(OFFSET($DS$3,0,0,'Données projet'!$E$14+1,1))-AVERAGE(OFFSET($H$3,0,0,'Données projet'!$E$14+1,1))</f>
        <v>398.93296311353788</v>
      </c>
      <c r="DU152" s="62">
        <f t="shared" si="152"/>
        <v>173.19148969173838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-5.6843418860808015E-14</v>
      </c>
      <c r="EK152" s="18">
        <f>EJ152*VLOOKUP('Données projet'!$B$15,Paramètres!$A$1:$I$89,3,0)*VLOOKUP('Données projet'!$B$15,Paramètres!$A$1:$I$89,5,0)</f>
        <v>-4.9658410716801891E-14</v>
      </c>
      <c r="EL152" s="14" t="e">
        <f t="shared" si="153"/>
        <v>#NUM!</v>
      </c>
      <c r="EM152" s="22" t="e">
        <f t="shared" si="127"/>
        <v>#NUM!</v>
      </c>
      <c r="EN152" s="62" t="e">
        <f t="shared" si="128"/>
        <v>#NUM!</v>
      </c>
      <c r="EO152" s="62">
        <f ca="1">AVERAGE(OFFSET($EN$3,0,0,'Données projet'!$E$15+1,1))-AVERAGE(OFFSET($H$3,0,0,'Données projet'!$E$15+1,1))</f>
        <v>226.37420733783091</v>
      </c>
      <c r="EP152" s="62">
        <f t="shared" si="154"/>
        <v>204.10961748628714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6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9">
        <f t="shared" si="110"/>
        <v>183.33333333333334</v>
      </c>
      <c r="I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2.8421709430404007E-13</v>
      </c>
      <c r="O153" s="14">
        <f>N153*VLOOKUP('Données projet'!$B$9,Paramètres!$A$1:$I$89,3,0)*VLOOKUP('Données projet'!$B$9,Paramètres!$A$1:$I$89,5,0)</f>
        <v>1.6626700016786346E-13</v>
      </c>
      <c r="P153" s="14">
        <f t="shared" si="141"/>
        <v>2.3542701735863119E-12</v>
      </c>
      <c r="Q153" s="22">
        <f t="shared" si="108"/>
        <v>4.3899355776218544E-12</v>
      </c>
      <c r="R153" s="62">
        <f t="shared" si="109"/>
        <v>286.69302227186472</v>
      </c>
      <c r="S153" s="62">
        <f ca="1">AVERAGE(OFFSET($R$3,0,0,'Données projet'!$E$9+1,1))-AVERAGE(OFFSET($H$3,0,0,'Données projet'!$E$9+1,1))</f>
        <v>196.48726929442091</v>
      </c>
      <c r="T153" s="62">
        <f t="shared" si="142"/>
        <v>193.28400454669347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1.3788051826383918E-17</v>
      </c>
      <c r="AC153" s="24">
        <f t="shared" si="111"/>
        <v>1.3788051826383918E-17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262</v>
      </c>
      <c r="AG153" s="13">
        <f>VLOOKUP(A153,'Données projet'!$A$61:$I$81,9,0)</f>
        <v>1.4</v>
      </c>
      <c r="AH153" s="13">
        <f t="array" ref="AH153">INDEX(AG:AG,MIN(IF(ISNUMBER(AG153:AG349),ROW(AG153:AG349),"")))</f>
        <v>1.4</v>
      </c>
      <c r="AI153" s="14">
        <f>IF('Données projet'!$A$62&gt;35,AI152+AH153-AQ152,IF(A153&lt;'Données projet'!$A$62,$AF$205^A153,IF(A153='Données projet'!$A$62,'Données projet'!$B$62,AI152+AH153-AQ152)))</f>
        <v>261.9999999999996</v>
      </c>
      <c r="AJ153" s="14">
        <f>AI153*VLOOKUP('Données projet'!$B$10,Paramètres!$A$1:$I$89,3,0)*VLOOKUP('Données projet'!$B$10,Paramètres!$A$1:$I$89,5,0)</f>
        <v>265.66799999999961</v>
      </c>
      <c r="AK153" s="14">
        <f t="shared" si="143"/>
        <v>63.929045899944292</v>
      </c>
      <c r="AL153" s="22">
        <f t="shared" si="112"/>
        <v>574.04818827573558</v>
      </c>
      <c r="AM153" s="62">
        <f t="shared" si="113"/>
        <v>860.74121054759598</v>
      </c>
      <c r="AN153" s="62">
        <f ca="1">AVERAGE(OFFSET($AM$3,0,0,'Données projet'!$E$10+1,1))-AVERAGE(OFFSET($H$3,0,0,'Données projet'!$E$10+1,1))</f>
        <v>414.29294334114661</v>
      </c>
      <c r="AO153" s="62">
        <f t="shared" si="144"/>
        <v>178.72086185623849</v>
      </c>
      <c r="AP153" s="16">
        <f>IF(ISNA(VLOOKUP(A153,'Données projet'!$A$61:$I$81,3,0)),0,VLOOKUP(A153,'Données projet'!$A$61:$I$81,3,0))</f>
        <v>9</v>
      </c>
      <c r="AQ153" s="16">
        <f>IF(ISNA(VLOOKUP(A153,'Données projet'!$A$61:$I$81,4,0)),0,VLOOKUP(A153,'Données projet'!$A$61:$I$81,4,0))</f>
        <v>262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>
        <f>VLOOKUP(A153,'Données projet'!$A$87:$I$107,2,0)</f>
        <v>262</v>
      </c>
      <c r="BB153" s="13">
        <f>VLOOKUP(A153,'Données projet'!$A$87:$I$107,9,0)</f>
        <v>1.4</v>
      </c>
      <c r="BC153" s="13">
        <f t="array" ref="BC153">INDEX(BB:BB,MIN(IF(ISNUMBER(BB153:BB349),ROW(BB153:BB349),"")))</f>
        <v>1.4</v>
      </c>
      <c r="BD153" s="13">
        <f>IF('Données projet'!$A$88&gt;35,BD152+BC153-BL152,IF(A153&lt;'Données projet'!$A$88,$BA$205^A153,IF(A153='Données projet'!$A$88,'Données projet'!$B$88,BD152+BC153-BL152)))</f>
        <v>261.9999999999996</v>
      </c>
      <c r="BE153" s="14">
        <f>BD153*VLOOKUP('Données projet'!$B$11,Paramètres!$A$1:$I$89,3,0)*VLOOKUP('Données projet'!$B$11,Paramètres!$A$1:$I$89,5,0)</f>
        <v>282.01679999999959</v>
      </c>
      <c r="BF153" s="14">
        <f t="shared" si="145"/>
        <v>67.393038505342062</v>
      </c>
      <c r="BG153" s="22">
        <f t="shared" si="115"/>
        <v>608.55546873013679</v>
      </c>
      <c r="BH153" s="62">
        <f t="shared" si="116"/>
        <v>895.24849100199708</v>
      </c>
      <c r="BI153" s="62">
        <f ca="1">AVERAGE(OFFSET($BH$3,0,0,'Données projet'!$E$11+1,1))-AVERAGE(OFFSET($H$3,0,0,'Données projet'!$E$11+1,1))</f>
        <v>434.74983403680108</v>
      </c>
      <c r="BJ153" s="62">
        <f t="shared" si="146"/>
        <v>186.0840067781198</v>
      </c>
      <c r="BK153" s="16">
        <f>IF(ISNA(VLOOKUP(A153,'Données projet'!$A$87:$I$107,3,0)),0,VLOOKUP(A153,'Données projet'!$A$87:$I$107,3,0))</f>
        <v>9</v>
      </c>
      <c r="BL153" s="16">
        <f>IF(ISNA(VLOOKUP(A153,'Données projet'!$A$87:$I$107,4,0)),0,VLOOKUP(A153,'Données projet'!$A$87:$I$107,4,0))</f>
        <v>262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1.1368683772161603E-13</v>
      </c>
      <c r="BZ153" s="14">
        <f>BY153*VLOOKUP('Données projet'!$B$12,Paramètres!$A$1:$I$89,3,0)*VLOOKUP('Données projet'!$B$12,Paramètres!$A$1:$I$89,5,0)</f>
        <v>9.7543306765146564E-14</v>
      </c>
      <c r="CA153" s="14">
        <f t="shared" si="147"/>
        <v>1.4696264278629426E-12</v>
      </c>
      <c r="CB153" s="22">
        <f t="shared" si="118"/>
        <v>2.7294872878105889E-12</v>
      </c>
      <c r="CC153" s="62">
        <f t="shared" si="119"/>
        <v>286.69302227186307</v>
      </c>
      <c r="CD153" s="62">
        <f ca="1">AVERAGE(OFFSET($CC$3,0,0,'Données projet'!$E$12+1,1))-AVERAGE(OFFSET($H$3,0,0,'Données projet'!$E$12+1,1))</f>
        <v>288.24759203983547</v>
      </c>
      <c r="CE153" s="62">
        <f t="shared" si="148"/>
        <v>188.86613033148794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1.1368683772161603E-13</v>
      </c>
      <c r="CU153" s="18">
        <f>CT153*VLOOKUP('Données projet'!$B$13,Paramètres!$A$1:$I$89,3,0)*VLOOKUP('Données projet'!$B$13,Paramètres!$A$1:$I$89,5,0)</f>
        <v>7.626113074366004E-14</v>
      </c>
      <c r="CV153" s="14">
        <f t="shared" si="149"/>
        <v>1.1823749172251317E-12</v>
      </c>
      <c r="CW153" s="22">
        <f t="shared" si="121"/>
        <v>2.1921244502123119E-12</v>
      </c>
      <c r="CX153" s="62">
        <f t="shared" si="122"/>
        <v>286.69302227186256</v>
      </c>
      <c r="CY153" s="62">
        <f ca="1">AVERAGE(OFFSET($CX$3,0,0,'Données projet'!$E$13+1,1))-AVERAGE(OFFSET($H$3,0,0,'Données projet'!$E$13+1,1))</f>
        <v>240.40157928925146</v>
      </c>
      <c r="CZ153" s="62">
        <f t="shared" si="150"/>
        <v>160.5013084380258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>
        <f>VLOOKUP(A153,'Données projet'!$A$165:$I$185,2,0)</f>
        <v>262</v>
      </c>
      <c r="DM153" s="13">
        <f>VLOOKUP(A153,'Données projet'!$A$165:$I$185,9,0)</f>
        <v>1.4</v>
      </c>
      <c r="DN153" s="13">
        <f t="array" ref="DN153">INDEX(DM:DM,MIN(IF(ISNUMBER(DM153:DM349),ROW(DM153:DM349),"")))</f>
        <v>1.4</v>
      </c>
      <c r="DO153" s="13">
        <f>IF('Données projet'!$A$166&gt;35,DO152+DN153-DW152,IF(A153&lt;'Données projet'!$A$166,$DL$205^A153,IF(A153='Données projet'!$A$166,'Données projet'!$B$166,DO152+DN153-DW152)))</f>
        <v>261.9999999999996</v>
      </c>
      <c r="DP153" s="18">
        <f>DO153*VLOOKUP('Données projet'!$B$14,Paramètres!$A$1:$I$89,3,0)*VLOOKUP('Données projet'!$B$14,Paramètres!$A$1:$I$89,5,0)</f>
        <v>253.40639999999959</v>
      </c>
      <c r="DQ153" s="14">
        <f t="shared" si="151"/>
        <v>61.314794611201037</v>
      </c>
      <c r="DR153" s="22">
        <f t="shared" si="124"/>
        <v>548.13941394784104</v>
      </c>
      <c r="DS153" s="62">
        <f t="shared" si="125"/>
        <v>834.83243621970132</v>
      </c>
      <c r="DT153" s="62">
        <f ca="1">AVERAGE(OFFSET($DS$3,0,0,'Données projet'!$E$14+1,1))-AVERAGE(OFFSET($H$3,0,0,'Données projet'!$E$14+1,1))</f>
        <v>398.93296311353788</v>
      </c>
      <c r="DU153" s="62">
        <f t="shared" si="152"/>
        <v>173.19148969173838</v>
      </c>
      <c r="DV153" s="16">
        <f>IF(ISNA(VLOOKUP(A153,'Données projet'!$A$165:$I$185,3,0)),0,VLOOKUP(A153,'Données projet'!$A$165:$I$185,3,0))</f>
        <v>9</v>
      </c>
      <c r="DW153" s="16">
        <f>IF(ISNA(VLOOKUP(A153,'Données projet'!$A$165:$I$185,4,0)),0,VLOOKUP(A153,'Données projet'!$A$165:$I$185,4,0))</f>
        <v>262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-5.6843418860808015E-14</v>
      </c>
      <c r="EK153" s="18">
        <f>EJ153*VLOOKUP('Données projet'!$B$15,Paramètres!$A$1:$I$89,3,0)*VLOOKUP('Données projet'!$B$15,Paramètres!$A$1:$I$89,5,0)</f>
        <v>-4.9658410716801891E-14</v>
      </c>
      <c r="EL153" s="14" t="e">
        <f t="shared" si="153"/>
        <v>#NUM!</v>
      </c>
      <c r="EM153" s="22" t="e">
        <f t="shared" si="127"/>
        <v>#NUM!</v>
      </c>
      <c r="EN153" s="62" t="e">
        <f t="shared" si="128"/>
        <v>#NUM!</v>
      </c>
      <c r="EO153" s="62">
        <f ca="1">AVERAGE(OFFSET($EN$3,0,0,'Données projet'!$E$15+1,1))-AVERAGE(OFFSET($H$3,0,0,'Données projet'!$E$15+1,1))</f>
        <v>226.37420733783091</v>
      </c>
      <c r="EP153" s="62">
        <f t="shared" si="154"/>
        <v>204.10961748628714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6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9">
        <f t="shared" si="110"/>
        <v>183.33333333333334</v>
      </c>
      <c r="I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2.8421709430404007E-13</v>
      </c>
      <c r="O154" s="14">
        <f>N154*VLOOKUP('Données projet'!$B$9,Paramètres!$A$1:$I$89,3,0)*VLOOKUP('Données projet'!$B$9,Paramètres!$A$1:$I$89,5,0)</f>
        <v>1.6626700016786346E-13</v>
      </c>
      <c r="P154" s="14">
        <f t="shared" si="141"/>
        <v>2.3542701735863119E-12</v>
      </c>
      <c r="Q154" s="22">
        <f t="shared" ref="Q154:Q203" si="162">(O154+P154)*0.475*44/12</f>
        <v>4.3899355776218544E-12</v>
      </c>
      <c r="R154" s="62">
        <f t="shared" si="109"/>
        <v>286.80821682326973</v>
      </c>
      <c r="S154" s="62">
        <f ca="1">AVERAGE(OFFSET($R$3,0,0,'Données projet'!$E$9+1,1))-AVERAGE(OFFSET($H$3,0,0,'Données projet'!$E$9+1,1))</f>
        <v>196.48726929442091</v>
      </c>
      <c r="T154" s="62">
        <f t="shared" si="142"/>
        <v>193.28400454669347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9.7496249457876307E-18</v>
      </c>
      <c r="AC154" s="24">
        <f t="shared" ref="AC154:AC203" si="163">SUM(Z154:AB154)</f>
        <v>9.7496249457876307E-18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-3.979039320256561E-13</v>
      </c>
      <c r="AJ154" s="14">
        <f>AI154*VLOOKUP('Données projet'!$B$10,Paramètres!$A$1:$I$89,3,0)*VLOOKUP('Données projet'!$B$10,Paramètres!$A$1:$I$89,5,0)</f>
        <v>-4.0347458707401528E-13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414.29294334114661</v>
      </c>
      <c r="AO154" s="62">
        <f t="shared" si="144"/>
        <v>178.72086185623849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-3.979039320256561E-13</v>
      </c>
      <c r="BE154" s="14">
        <f>BD154*VLOOKUP('Données projet'!$B$11,Paramètres!$A$1:$I$89,3,0)*VLOOKUP('Données projet'!$B$11,Paramètres!$A$1:$I$89,5,0)</f>
        <v>-4.2830379243241627E-13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434.74983403680108</v>
      </c>
      <c r="BJ154" s="62">
        <f t="shared" si="146"/>
        <v>186.0840067781198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1.1368683772161603E-13</v>
      </c>
      <c r="BZ154" s="14">
        <f>BY154*VLOOKUP('Données projet'!$B$12,Paramètres!$A$1:$I$89,3,0)*VLOOKUP('Données projet'!$B$12,Paramètres!$A$1:$I$89,5,0)</f>
        <v>9.7543306765146564E-14</v>
      </c>
      <c r="CA154" s="14">
        <f t="shared" ref="CA154:CA203" si="170">EXP(-1.0587+0.8836*LN(BZ154)+0.284)</f>
        <v>1.4696264278629426E-12</v>
      </c>
      <c r="CB154" s="22">
        <f t="shared" ref="CB154:CB203" si="171">(BZ154+CA154)*0.475*44/12</f>
        <v>2.7294872878105889E-12</v>
      </c>
      <c r="CC154" s="62">
        <f t="shared" si="119"/>
        <v>286.80821682326808</v>
      </c>
      <c r="CD154" s="62">
        <f ca="1">AVERAGE(OFFSET($CC$3,0,0,'Données projet'!$E$12+1,1))-AVERAGE(OFFSET($H$3,0,0,'Données projet'!$E$12+1,1))</f>
        <v>288.24759203983547</v>
      </c>
      <c r="CE154" s="62">
        <f t="shared" si="148"/>
        <v>188.86613033148794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1.1368683772161603E-13</v>
      </c>
      <c r="CU154" s="18">
        <f>CT154*VLOOKUP('Données projet'!$B$13,Paramètres!$A$1:$I$89,3,0)*VLOOKUP('Données projet'!$B$13,Paramètres!$A$1:$I$89,5,0)</f>
        <v>7.626113074366004E-14</v>
      </c>
      <c r="CV154" s="14">
        <f t="shared" ref="CV154:CV203" si="173">EXP(-1.0587+0.8836*LN(CU154)+0.284)</f>
        <v>1.1823749172251317E-12</v>
      </c>
      <c r="CW154" s="22">
        <f t="shared" ref="CW154:CW203" si="174">(CU154+CV154)*0.475*44/12</f>
        <v>2.1921244502123119E-12</v>
      </c>
      <c r="CX154" s="62">
        <f t="shared" si="122"/>
        <v>286.80821682326757</v>
      </c>
      <c r="CY154" s="62">
        <f ca="1">AVERAGE(OFFSET($CX$3,0,0,'Données projet'!$E$13+1,1))-AVERAGE(OFFSET($H$3,0,0,'Données projet'!$E$13+1,1))</f>
        <v>240.40157928925146</v>
      </c>
      <c r="CZ154" s="62">
        <f t="shared" si="150"/>
        <v>160.5013084380258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-3.979039320256561E-13</v>
      </c>
      <c r="DP154" s="18">
        <f>DO154*VLOOKUP('Données projet'!$B$14,Paramètres!$A$1:$I$89,3,0)*VLOOKUP('Données projet'!$B$14,Paramètres!$A$1:$I$89,5,0)</f>
        <v>-3.8485268305521461E-13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2" t="e">
        <f t="shared" si="125"/>
        <v>#NUM!</v>
      </c>
      <c r="DT154" s="62">
        <f ca="1">AVERAGE(OFFSET($DS$3,0,0,'Données projet'!$E$14+1,1))-AVERAGE(OFFSET($H$3,0,0,'Données projet'!$E$14+1,1))</f>
        <v>398.93296311353788</v>
      </c>
      <c r="DU154" s="62">
        <f t="shared" si="152"/>
        <v>173.19148969173838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-5.6843418860808015E-14</v>
      </c>
      <c r="EK154" s="18">
        <f>EJ154*VLOOKUP('Données projet'!$B$15,Paramètres!$A$1:$I$89,3,0)*VLOOKUP('Données projet'!$B$15,Paramètres!$A$1:$I$89,5,0)</f>
        <v>-4.9658410716801891E-14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2" t="e">
        <f t="shared" si="128"/>
        <v>#NUM!</v>
      </c>
      <c r="EO154" s="62">
        <f ca="1">AVERAGE(OFFSET($EN$3,0,0,'Données projet'!$E$15+1,1))-AVERAGE(OFFSET($H$3,0,0,'Données projet'!$E$15+1,1))</f>
        <v>226.37420733783091</v>
      </c>
      <c r="EP154" s="62">
        <f t="shared" si="154"/>
        <v>204.10961748628714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6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9">
        <f t="shared" si="110"/>
        <v>183.33333333333334</v>
      </c>
      <c r="I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2.8421709430404007E-13</v>
      </c>
      <c r="O155" s="14">
        <f>N155*VLOOKUP('Données projet'!$B$9,Paramètres!$A$1:$I$89,3,0)*VLOOKUP('Données projet'!$B$9,Paramètres!$A$1:$I$89,5,0)</f>
        <v>1.6626700016786346E-13</v>
      </c>
      <c r="P155" s="14">
        <f t="shared" si="141"/>
        <v>2.3542701735863119E-12</v>
      </c>
      <c r="Q155" s="22">
        <f t="shared" si="162"/>
        <v>4.3899355776218544E-12</v>
      </c>
      <c r="R155" s="62">
        <f t="shared" si="109"/>
        <v>286.92141300674427</v>
      </c>
      <c r="S155" s="62">
        <f ca="1">AVERAGE(OFFSET($R$3,0,0,'Données projet'!$E$9+1,1))-AVERAGE(OFFSET($H$3,0,0,'Données projet'!$E$9+1,1))</f>
        <v>196.48726929442091</v>
      </c>
      <c r="T155" s="62">
        <f t="shared" si="142"/>
        <v>193.28400454669347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6.8940259131919596E-18</v>
      </c>
      <c r="AC155" s="24">
        <f t="shared" si="163"/>
        <v>6.8940259131919596E-18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-3.979039320256561E-13</v>
      </c>
      <c r="AJ155" s="14">
        <f>AI155*VLOOKUP('Données projet'!$B$10,Paramètres!$A$1:$I$89,3,0)*VLOOKUP('Données projet'!$B$10,Paramètres!$A$1:$I$89,5,0)</f>
        <v>-4.0347458707401528E-13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414.29294334114661</v>
      </c>
      <c r="AO155" s="62">
        <f t="shared" si="144"/>
        <v>178.72086185623849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-3.979039320256561E-13</v>
      </c>
      <c r="BE155" s="14">
        <f>BD155*VLOOKUP('Données projet'!$B$11,Paramètres!$A$1:$I$89,3,0)*VLOOKUP('Données projet'!$B$11,Paramètres!$A$1:$I$89,5,0)</f>
        <v>-4.2830379243241627E-13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434.74983403680108</v>
      </c>
      <c r="BJ155" s="62">
        <f t="shared" si="146"/>
        <v>186.0840067781198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1.1368683772161603E-13</v>
      </c>
      <c r="BZ155" s="14">
        <f>BY155*VLOOKUP('Données projet'!$B$12,Paramètres!$A$1:$I$89,3,0)*VLOOKUP('Données projet'!$B$12,Paramètres!$A$1:$I$89,5,0)</f>
        <v>9.7543306765146564E-14</v>
      </c>
      <c r="CA155" s="14">
        <f t="shared" si="170"/>
        <v>1.4696264278629426E-12</v>
      </c>
      <c r="CB155" s="22">
        <f t="shared" si="171"/>
        <v>2.7294872878105889E-12</v>
      </c>
      <c r="CC155" s="62">
        <f t="shared" si="119"/>
        <v>286.92141300674263</v>
      </c>
      <c r="CD155" s="62">
        <f ca="1">AVERAGE(OFFSET($CC$3,0,0,'Données projet'!$E$12+1,1))-AVERAGE(OFFSET($H$3,0,0,'Données projet'!$E$12+1,1))</f>
        <v>288.24759203983547</v>
      </c>
      <c r="CE155" s="62">
        <f t="shared" si="148"/>
        <v>188.86613033148794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1.1368683772161603E-13</v>
      </c>
      <c r="CU155" s="18">
        <f>CT155*VLOOKUP('Données projet'!$B$13,Paramètres!$A$1:$I$89,3,0)*VLOOKUP('Données projet'!$B$13,Paramètres!$A$1:$I$89,5,0)</f>
        <v>7.626113074366004E-14</v>
      </c>
      <c r="CV155" s="14">
        <f t="shared" si="173"/>
        <v>1.1823749172251317E-12</v>
      </c>
      <c r="CW155" s="22">
        <f t="shared" si="174"/>
        <v>2.1921244502123119E-12</v>
      </c>
      <c r="CX155" s="62">
        <f t="shared" si="122"/>
        <v>286.92141300674211</v>
      </c>
      <c r="CY155" s="62">
        <f ca="1">AVERAGE(OFFSET($CX$3,0,0,'Données projet'!$E$13+1,1))-AVERAGE(OFFSET($H$3,0,0,'Données projet'!$E$13+1,1))</f>
        <v>240.40157928925146</v>
      </c>
      <c r="CZ155" s="62">
        <f t="shared" si="150"/>
        <v>160.5013084380258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-3.979039320256561E-13</v>
      </c>
      <c r="DP155" s="18">
        <f>DO155*VLOOKUP('Données projet'!$B$14,Paramètres!$A$1:$I$89,3,0)*VLOOKUP('Données projet'!$B$14,Paramètres!$A$1:$I$89,5,0)</f>
        <v>-3.8485268305521461E-13</v>
      </c>
      <c r="DQ155" s="14" t="e">
        <f t="shared" si="176"/>
        <v>#NUM!</v>
      </c>
      <c r="DR155" s="22" t="e">
        <f t="shared" si="177"/>
        <v>#NUM!</v>
      </c>
      <c r="DS155" s="62" t="e">
        <f t="shared" si="125"/>
        <v>#NUM!</v>
      </c>
      <c r="DT155" s="62">
        <f ca="1">AVERAGE(OFFSET($DS$3,0,0,'Données projet'!$E$14+1,1))-AVERAGE(OFFSET($H$3,0,0,'Données projet'!$E$14+1,1))</f>
        <v>398.93296311353788</v>
      </c>
      <c r="DU155" s="62">
        <f t="shared" si="152"/>
        <v>173.19148969173838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-5.6843418860808015E-14</v>
      </c>
      <c r="EK155" s="18">
        <f>EJ155*VLOOKUP('Données projet'!$B$15,Paramètres!$A$1:$I$89,3,0)*VLOOKUP('Données projet'!$B$15,Paramètres!$A$1:$I$89,5,0)</f>
        <v>-4.9658410716801891E-14</v>
      </c>
      <c r="EL155" s="14" t="e">
        <f t="shared" si="179"/>
        <v>#NUM!</v>
      </c>
      <c r="EM155" s="22" t="e">
        <f t="shared" si="180"/>
        <v>#NUM!</v>
      </c>
      <c r="EN155" s="62" t="e">
        <f t="shared" si="128"/>
        <v>#NUM!</v>
      </c>
      <c r="EO155" s="62">
        <f ca="1">AVERAGE(OFFSET($EN$3,0,0,'Données projet'!$E$15+1,1))-AVERAGE(OFFSET($H$3,0,0,'Données projet'!$E$15+1,1))</f>
        <v>226.37420733783091</v>
      </c>
      <c r="EP155" s="62">
        <f t="shared" si="154"/>
        <v>204.10961748628714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6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9">
        <f t="shared" si="110"/>
        <v>183.33333333333334</v>
      </c>
      <c r="I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2.8421709430404007E-13</v>
      </c>
      <c r="O156" s="14">
        <f>N156*VLOOKUP('Données projet'!$B$9,Paramètres!$A$1:$I$89,3,0)*VLOOKUP('Données projet'!$B$9,Paramètres!$A$1:$I$89,5,0)</f>
        <v>1.6626700016786346E-13</v>
      </c>
      <c r="P156" s="14">
        <f t="shared" si="141"/>
        <v>2.3542701735863119E-12</v>
      </c>
      <c r="Q156" s="22">
        <f t="shared" si="162"/>
        <v>4.3899355776218544E-12</v>
      </c>
      <c r="R156" s="62">
        <f t="shared" si="109"/>
        <v>287.03264548950438</v>
      </c>
      <c r="S156" s="62">
        <f ca="1">AVERAGE(OFFSET($R$3,0,0,'Données projet'!$E$9+1,1))-AVERAGE(OFFSET($H$3,0,0,'Données projet'!$E$9+1,1))</f>
        <v>196.48726929442091</v>
      </c>
      <c r="T156" s="62">
        <f t="shared" si="142"/>
        <v>193.28400454669347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4.8748124728938161E-18</v>
      </c>
      <c r="AC156" s="24">
        <f t="shared" si="163"/>
        <v>4.8748124728938161E-18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-3.979039320256561E-13</v>
      </c>
      <c r="AJ156" s="14">
        <f>AI156*VLOOKUP('Données projet'!$B$10,Paramètres!$A$1:$I$89,3,0)*VLOOKUP('Données projet'!$B$10,Paramètres!$A$1:$I$89,5,0)</f>
        <v>-4.0347458707401528E-13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414.29294334114661</v>
      </c>
      <c r="AO156" s="62">
        <f t="shared" si="144"/>
        <v>178.72086185623849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-3.979039320256561E-13</v>
      </c>
      <c r="BE156" s="14">
        <f>BD156*VLOOKUP('Données projet'!$B$11,Paramètres!$A$1:$I$89,3,0)*VLOOKUP('Données projet'!$B$11,Paramètres!$A$1:$I$89,5,0)</f>
        <v>-4.2830379243241627E-13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434.74983403680108</v>
      </c>
      <c r="BJ156" s="62">
        <f t="shared" si="146"/>
        <v>186.0840067781198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1.1368683772161603E-13</v>
      </c>
      <c r="BZ156" s="14">
        <f>BY156*VLOOKUP('Données projet'!$B$12,Paramètres!$A$1:$I$89,3,0)*VLOOKUP('Données projet'!$B$12,Paramètres!$A$1:$I$89,5,0)</f>
        <v>9.7543306765146564E-14</v>
      </c>
      <c r="CA156" s="14">
        <f t="shared" si="170"/>
        <v>1.4696264278629426E-12</v>
      </c>
      <c r="CB156" s="22">
        <f t="shared" si="171"/>
        <v>2.7294872878105889E-12</v>
      </c>
      <c r="CC156" s="62">
        <f t="shared" si="119"/>
        <v>287.03264548950273</v>
      </c>
      <c r="CD156" s="62">
        <f ca="1">AVERAGE(OFFSET($CC$3,0,0,'Données projet'!$E$12+1,1))-AVERAGE(OFFSET($H$3,0,0,'Données projet'!$E$12+1,1))</f>
        <v>288.24759203983547</v>
      </c>
      <c r="CE156" s="62">
        <f t="shared" si="148"/>
        <v>188.86613033148794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1.1368683772161603E-13</v>
      </c>
      <c r="CU156" s="18">
        <f>CT156*VLOOKUP('Données projet'!$B$13,Paramètres!$A$1:$I$89,3,0)*VLOOKUP('Données projet'!$B$13,Paramètres!$A$1:$I$89,5,0)</f>
        <v>7.626113074366004E-14</v>
      </c>
      <c r="CV156" s="14">
        <f t="shared" si="173"/>
        <v>1.1823749172251317E-12</v>
      </c>
      <c r="CW156" s="22">
        <f t="shared" si="174"/>
        <v>2.1921244502123119E-12</v>
      </c>
      <c r="CX156" s="62">
        <f t="shared" si="122"/>
        <v>287.03264548950222</v>
      </c>
      <c r="CY156" s="62">
        <f ca="1">AVERAGE(OFFSET($CX$3,0,0,'Données projet'!$E$13+1,1))-AVERAGE(OFFSET($H$3,0,0,'Données projet'!$E$13+1,1))</f>
        <v>240.40157928925146</v>
      </c>
      <c r="CZ156" s="62">
        <f t="shared" si="150"/>
        <v>160.5013084380258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-3.979039320256561E-13</v>
      </c>
      <c r="DP156" s="18">
        <f>DO156*VLOOKUP('Données projet'!$B$14,Paramètres!$A$1:$I$89,3,0)*VLOOKUP('Données projet'!$B$14,Paramètres!$A$1:$I$89,5,0)</f>
        <v>-3.8485268305521461E-13</v>
      </c>
      <c r="DQ156" s="14" t="e">
        <f t="shared" si="176"/>
        <v>#NUM!</v>
      </c>
      <c r="DR156" s="22" t="e">
        <f t="shared" si="177"/>
        <v>#NUM!</v>
      </c>
      <c r="DS156" s="62" t="e">
        <f t="shared" si="125"/>
        <v>#NUM!</v>
      </c>
      <c r="DT156" s="62">
        <f ca="1">AVERAGE(OFFSET($DS$3,0,0,'Données projet'!$E$14+1,1))-AVERAGE(OFFSET($H$3,0,0,'Données projet'!$E$14+1,1))</f>
        <v>398.93296311353788</v>
      </c>
      <c r="DU156" s="62">
        <f t="shared" si="152"/>
        <v>173.19148969173838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-5.6843418860808015E-14</v>
      </c>
      <c r="EK156" s="18">
        <f>EJ156*VLOOKUP('Données projet'!$B$15,Paramètres!$A$1:$I$89,3,0)*VLOOKUP('Données projet'!$B$15,Paramètres!$A$1:$I$89,5,0)</f>
        <v>-4.9658410716801891E-14</v>
      </c>
      <c r="EL156" s="14" t="e">
        <f t="shared" si="179"/>
        <v>#NUM!</v>
      </c>
      <c r="EM156" s="22" t="e">
        <f t="shared" si="180"/>
        <v>#NUM!</v>
      </c>
      <c r="EN156" s="62" t="e">
        <f t="shared" si="128"/>
        <v>#NUM!</v>
      </c>
      <c r="EO156" s="62">
        <f ca="1">AVERAGE(OFFSET($EN$3,0,0,'Données projet'!$E$15+1,1))-AVERAGE(OFFSET($H$3,0,0,'Données projet'!$E$15+1,1))</f>
        <v>226.37420733783091</v>
      </c>
      <c r="EP156" s="62">
        <f t="shared" si="154"/>
        <v>204.10961748628714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6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9">
        <f t="shared" si="110"/>
        <v>183.33333333333334</v>
      </c>
      <c r="I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2.8421709430404007E-13</v>
      </c>
      <c r="O157" s="14">
        <f>N157*VLOOKUP('Données projet'!$B$9,Paramètres!$A$1:$I$89,3,0)*VLOOKUP('Données projet'!$B$9,Paramètres!$A$1:$I$89,5,0)</f>
        <v>1.6626700016786346E-13</v>
      </c>
      <c r="P157" s="14">
        <f t="shared" si="141"/>
        <v>2.3542701735863119E-12</v>
      </c>
      <c r="Q157" s="22">
        <f t="shared" si="162"/>
        <v>4.3899355776218544E-12</v>
      </c>
      <c r="R157" s="62">
        <f t="shared" si="109"/>
        <v>287.14194833736713</v>
      </c>
      <c r="S157" s="62">
        <f ca="1">AVERAGE(OFFSET($R$3,0,0,'Données projet'!$E$9+1,1))-AVERAGE(OFFSET($H$3,0,0,'Données projet'!$E$9+1,1))</f>
        <v>196.48726929442091</v>
      </c>
      <c r="T157" s="62">
        <f t="shared" si="142"/>
        <v>193.28400454669347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3.4470129565959806E-18</v>
      </c>
      <c r="AC157" s="24">
        <f t="shared" si="163"/>
        <v>3.4470129565959806E-18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-3.979039320256561E-13</v>
      </c>
      <c r="AJ157" s="14">
        <f>AI157*VLOOKUP('Données projet'!$B$10,Paramètres!$A$1:$I$89,3,0)*VLOOKUP('Données projet'!$B$10,Paramètres!$A$1:$I$89,5,0)</f>
        <v>-4.0347458707401528E-13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414.29294334114661</v>
      </c>
      <c r="AO157" s="62">
        <f t="shared" si="144"/>
        <v>178.72086185623849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-3.979039320256561E-13</v>
      </c>
      <c r="BE157" s="14">
        <f>BD157*VLOOKUP('Données projet'!$B$11,Paramètres!$A$1:$I$89,3,0)*VLOOKUP('Données projet'!$B$11,Paramètres!$A$1:$I$89,5,0)</f>
        <v>-4.2830379243241627E-13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434.74983403680108</v>
      </c>
      <c r="BJ157" s="62">
        <f t="shared" si="146"/>
        <v>186.0840067781198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1.1368683772161603E-13</v>
      </c>
      <c r="BZ157" s="14">
        <f>BY157*VLOOKUP('Données projet'!$B$12,Paramètres!$A$1:$I$89,3,0)*VLOOKUP('Données projet'!$B$12,Paramètres!$A$1:$I$89,5,0)</f>
        <v>9.7543306765146564E-14</v>
      </c>
      <c r="CA157" s="14">
        <f t="shared" si="170"/>
        <v>1.4696264278629426E-12</v>
      </c>
      <c r="CB157" s="22">
        <f t="shared" si="171"/>
        <v>2.7294872878105889E-12</v>
      </c>
      <c r="CC157" s="62">
        <f t="shared" si="119"/>
        <v>287.14194833736548</v>
      </c>
      <c r="CD157" s="62">
        <f ca="1">AVERAGE(OFFSET($CC$3,0,0,'Données projet'!$E$12+1,1))-AVERAGE(OFFSET($H$3,0,0,'Données projet'!$E$12+1,1))</f>
        <v>288.24759203983547</v>
      </c>
      <c r="CE157" s="62">
        <f t="shared" si="148"/>
        <v>188.86613033148794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1.1368683772161603E-13</v>
      </c>
      <c r="CU157" s="18">
        <f>CT157*VLOOKUP('Données projet'!$B$13,Paramètres!$A$1:$I$89,3,0)*VLOOKUP('Données projet'!$B$13,Paramètres!$A$1:$I$89,5,0)</f>
        <v>7.626113074366004E-14</v>
      </c>
      <c r="CV157" s="14">
        <f t="shared" si="173"/>
        <v>1.1823749172251317E-12</v>
      </c>
      <c r="CW157" s="22">
        <f t="shared" si="174"/>
        <v>2.1921244502123119E-12</v>
      </c>
      <c r="CX157" s="62">
        <f t="shared" si="122"/>
        <v>287.14194833736497</v>
      </c>
      <c r="CY157" s="62">
        <f ca="1">AVERAGE(OFFSET($CX$3,0,0,'Données projet'!$E$13+1,1))-AVERAGE(OFFSET($H$3,0,0,'Données projet'!$E$13+1,1))</f>
        <v>240.40157928925146</v>
      </c>
      <c r="CZ157" s="62">
        <f t="shared" si="150"/>
        <v>160.5013084380258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-3.979039320256561E-13</v>
      </c>
      <c r="DP157" s="18">
        <f>DO157*VLOOKUP('Données projet'!$B$14,Paramètres!$A$1:$I$89,3,0)*VLOOKUP('Données projet'!$B$14,Paramètres!$A$1:$I$89,5,0)</f>
        <v>-3.8485268305521461E-13</v>
      </c>
      <c r="DQ157" s="14" t="e">
        <f t="shared" si="176"/>
        <v>#NUM!</v>
      </c>
      <c r="DR157" s="22" t="e">
        <f t="shared" si="177"/>
        <v>#NUM!</v>
      </c>
      <c r="DS157" s="62" t="e">
        <f t="shared" si="125"/>
        <v>#NUM!</v>
      </c>
      <c r="DT157" s="62">
        <f ca="1">AVERAGE(OFFSET($DS$3,0,0,'Données projet'!$E$14+1,1))-AVERAGE(OFFSET($H$3,0,0,'Données projet'!$E$14+1,1))</f>
        <v>398.93296311353788</v>
      </c>
      <c r="DU157" s="62">
        <f t="shared" si="152"/>
        <v>173.19148969173838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-5.6843418860808015E-14</v>
      </c>
      <c r="EK157" s="18">
        <f>EJ157*VLOOKUP('Données projet'!$B$15,Paramètres!$A$1:$I$89,3,0)*VLOOKUP('Données projet'!$B$15,Paramètres!$A$1:$I$89,5,0)</f>
        <v>-4.9658410716801891E-14</v>
      </c>
      <c r="EL157" s="14" t="e">
        <f t="shared" si="179"/>
        <v>#NUM!</v>
      </c>
      <c r="EM157" s="22" t="e">
        <f t="shared" si="180"/>
        <v>#NUM!</v>
      </c>
      <c r="EN157" s="62" t="e">
        <f t="shared" si="128"/>
        <v>#NUM!</v>
      </c>
      <c r="EO157" s="62">
        <f ca="1">AVERAGE(OFFSET($EN$3,0,0,'Données projet'!$E$15+1,1))-AVERAGE(OFFSET($H$3,0,0,'Données projet'!$E$15+1,1))</f>
        <v>226.37420733783091</v>
      </c>
      <c r="EP157" s="62">
        <f t="shared" si="154"/>
        <v>204.10961748628714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6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9">
        <f t="shared" si="110"/>
        <v>183.33333333333334</v>
      </c>
      <c r="I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2.8421709430404007E-13</v>
      </c>
      <c r="O158" s="14">
        <f>N158*VLOOKUP('Données projet'!$B$9,Paramètres!$A$1:$I$89,3,0)*VLOOKUP('Données projet'!$B$9,Paramètres!$A$1:$I$89,5,0)</f>
        <v>1.6626700016786346E-13</v>
      </c>
      <c r="P158" s="14">
        <f t="shared" si="141"/>
        <v>2.3542701735863119E-12</v>
      </c>
      <c r="Q158" s="22">
        <f t="shared" si="162"/>
        <v>4.3899355776218544E-12</v>
      </c>
      <c r="R158" s="62">
        <f t="shared" si="109"/>
        <v>287.24935502518406</v>
      </c>
      <c r="S158" s="62">
        <f ca="1">AVERAGE(OFFSET($R$3,0,0,'Données projet'!$E$9+1,1))-AVERAGE(OFFSET($H$3,0,0,'Données projet'!$E$9+1,1))</f>
        <v>196.48726929442091</v>
      </c>
      <c r="T158" s="62">
        <f t="shared" si="142"/>
        <v>193.28400454669347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2.4374062364469084E-18</v>
      </c>
      <c r="AC158" s="24">
        <f t="shared" si="163"/>
        <v>2.4374062364469084E-18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-3.979039320256561E-13</v>
      </c>
      <c r="AJ158" s="14">
        <f>AI158*VLOOKUP('Données projet'!$B$10,Paramètres!$A$1:$I$89,3,0)*VLOOKUP('Données projet'!$B$10,Paramètres!$A$1:$I$89,5,0)</f>
        <v>-4.0347458707401528E-13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414.29294334114661</v>
      </c>
      <c r="AO158" s="62">
        <f t="shared" si="144"/>
        <v>178.72086185623849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-3.979039320256561E-13</v>
      </c>
      <c r="BE158" s="14">
        <f>BD158*VLOOKUP('Données projet'!$B$11,Paramètres!$A$1:$I$89,3,0)*VLOOKUP('Données projet'!$B$11,Paramètres!$A$1:$I$89,5,0)</f>
        <v>-4.2830379243241627E-13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434.74983403680108</v>
      </c>
      <c r="BJ158" s="62">
        <f t="shared" si="146"/>
        <v>186.0840067781198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1.1368683772161603E-13</v>
      </c>
      <c r="BZ158" s="14">
        <f>BY158*VLOOKUP('Données projet'!$B$12,Paramètres!$A$1:$I$89,3,0)*VLOOKUP('Données projet'!$B$12,Paramètres!$A$1:$I$89,5,0)</f>
        <v>9.7543306765146564E-14</v>
      </c>
      <c r="CA158" s="14">
        <f t="shared" si="170"/>
        <v>1.4696264278629426E-12</v>
      </c>
      <c r="CB158" s="22">
        <f t="shared" si="171"/>
        <v>2.7294872878105889E-12</v>
      </c>
      <c r="CC158" s="62">
        <f t="shared" si="119"/>
        <v>287.24935502518241</v>
      </c>
      <c r="CD158" s="62">
        <f ca="1">AVERAGE(OFFSET($CC$3,0,0,'Données projet'!$E$12+1,1))-AVERAGE(OFFSET($H$3,0,0,'Données projet'!$E$12+1,1))</f>
        <v>288.24759203983547</v>
      </c>
      <c r="CE158" s="62">
        <f t="shared" si="148"/>
        <v>188.86613033148794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1.1368683772161603E-13</v>
      </c>
      <c r="CU158" s="18">
        <f>CT158*VLOOKUP('Données projet'!$B$13,Paramètres!$A$1:$I$89,3,0)*VLOOKUP('Données projet'!$B$13,Paramètres!$A$1:$I$89,5,0)</f>
        <v>7.626113074366004E-14</v>
      </c>
      <c r="CV158" s="14">
        <f t="shared" si="173"/>
        <v>1.1823749172251317E-12</v>
      </c>
      <c r="CW158" s="22">
        <f t="shared" si="174"/>
        <v>2.1921244502123119E-12</v>
      </c>
      <c r="CX158" s="62">
        <f t="shared" si="122"/>
        <v>287.2493550251819</v>
      </c>
      <c r="CY158" s="62">
        <f ca="1">AVERAGE(OFFSET($CX$3,0,0,'Données projet'!$E$13+1,1))-AVERAGE(OFFSET($H$3,0,0,'Données projet'!$E$13+1,1))</f>
        <v>240.40157928925146</v>
      </c>
      <c r="CZ158" s="62">
        <f t="shared" si="150"/>
        <v>160.5013084380258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-3.979039320256561E-13</v>
      </c>
      <c r="DP158" s="18">
        <f>DO158*VLOOKUP('Données projet'!$B$14,Paramètres!$A$1:$I$89,3,0)*VLOOKUP('Données projet'!$B$14,Paramètres!$A$1:$I$89,5,0)</f>
        <v>-3.8485268305521461E-13</v>
      </c>
      <c r="DQ158" s="14" t="e">
        <f t="shared" si="176"/>
        <v>#NUM!</v>
      </c>
      <c r="DR158" s="22" t="e">
        <f t="shared" si="177"/>
        <v>#NUM!</v>
      </c>
      <c r="DS158" s="62" t="e">
        <f t="shared" si="125"/>
        <v>#NUM!</v>
      </c>
      <c r="DT158" s="62">
        <f ca="1">AVERAGE(OFFSET($DS$3,0,0,'Données projet'!$E$14+1,1))-AVERAGE(OFFSET($H$3,0,0,'Données projet'!$E$14+1,1))</f>
        <v>398.93296311353788</v>
      </c>
      <c r="DU158" s="62">
        <f t="shared" si="152"/>
        <v>173.19148969173838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-5.6843418860808015E-14</v>
      </c>
      <c r="EK158" s="18">
        <f>EJ158*VLOOKUP('Données projet'!$B$15,Paramètres!$A$1:$I$89,3,0)*VLOOKUP('Données projet'!$B$15,Paramètres!$A$1:$I$89,5,0)</f>
        <v>-4.9658410716801891E-14</v>
      </c>
      <c r="EL158" s="14" t="e">
        <f t="shared" si="179"/>
        <v>#NUM!</v>
      </c>
      <c r="EM158" s="22" t="e">
        <f t="shared" si="180"/>
        <v>#NUM!</v>
      </c>
      <c r="EN158" s="62" t="e">
        <f t="shared" si="128"/>
        <v>#NUM!</v>
      </c>
      <c r="EO158" s="62">
        <f ca="1">AVERAGE(OFFSET($EN$3,0,0,'Données projet'!$E$15+1,1))-AVERAGE(OFFSET($H$3,0,0,'Données projet'!$E$15+1,1))</f>
        <v>226.37420733783091</v>
      </c>
      <c r="EP158" s="62">
        <f t="shared" si="154"/>
        <v>204.10961748628714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6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9">
        <f t="shared" si="110"/>
        <v>183.33333333333334</v>
      </c>
      <c r="I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2.8421709430404007E-13</v>
      </c>
      <c r="O159" s="14">
        <f>N159*VLOOKUP('Données projet'!$B$9,Paramètres!$A$1:$I$89,3,0)*VLOOKUP('Données projet'!$B$9,Paramètres!$A$1:$I$89,5,0)</f>
        <v>1.6626700016786346E-13</v>
      </c>
      <c r="P159" s="14">
        <f t="shared" si="141"/>
        <v>2.3542701735863119E-12</v>
      </c>
      <c r="Q159" s="22">
        <f t="shared" si="162"/>
        <v>4.3899355776218544E-12</v>
      </c>
      <c r="R159" s="62">
        <f t="shared" si="109"/>
        <v>287.35489844709269</v>
      </c>
      <c r="S159" s="62">
        <f ca="1">AVERAGE(OFFSET($R$3,0,0,'Données projet'!$E$9+1,1))-AVERAGE(OFFSET($H$3,0,0,'Données projet'!$E$9+1,1))</f>
        <v>196.48726929442091</v>
      </c>
      <c r="T159" s="62">
        <f t="shared" si="142"/>
        <v>193.28400454669347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1.7235064782979905E-18</v>
      </c>
      <c r="AC159" s="24">
        <f t="shared" si="163"/>
        <v>1.7235064782979905E-18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-3.979039320256561E-13</v>
      </c>
      <c r="AJ159" s="14">
        <f>AI159*VLOOKUP('Données projet'!$B$10,Paramètres!$A$1:$I$89,3,0)*VLOOKUP('Données projet'!$B$10,Paramètres!$A$1:$I$89,5,0)</f>
        <v>-4.0347458707401528E-13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414.29294334114661</v>
      </c>
      <c r="AO159" s="62">
        <f t="shared" si="144"/>
        <v>178.72086185623849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-3.979039320256561E-13</v>
      </c>
      <c r="BE159" s="14">
        <f>BD159*VLOOKUP('Données projet'!$B$11,Paramètres!$A$1:$I$89,3,0)*VLOOKUP('Données projet'!$B$11,Paramètres!$A$1:$I$89,5,0)</f>
        <v>-4.2830379243241627E-13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434.74983403680108</v>
      </c>
      <c r="BJ159" s="62">
        <f t="shared" si="146"/>
        <v>186.0840067781198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1.1368683772161603E-13</v>
      </c>
      <c r="BZ159" s="14">
        <f>BY159*VLOOKUP('Données projet'!$B$12,Paramètres!$A$1:$I$89,3,0)*VLOOKUP('Données projet'!$B$12,Paramètres!$A$1:$I$89,5,0)</f>
        <v>9.7543306765146564E-14</v>
      </c>
      <c r="CA159" s="14">
        <f t="shared" si="170"/>
        <v>1.4696264278629426E-12</v>
      </c>
      <c r="CB159" s="22">
        <f t="shared" si="171"/>
        <v>2.7294872878105889E-12</v>
      </c>
      <c r="CC159" s="62">
        <f t="shared" si="119"/>
        <v>287.35489844709105</v>
      </c>
      <c r="CD159" s="62">
        <f ca="1">AVERAGE(OFFSET($CC$3,0,0,'Données projet'!$E$12+1,1))-AVERAGE(OFFSET($H$3,0,0,'Données projet'!$E$12+1,1))</f>
        <v>288.24759203983547</v>
      </c>
      <c r="CE159" s="62">
        <f t="shared" si="148"/>
        <v>188.86613033148794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1.1368683772161603E-13</v>
      </c>
      <c r="CU159" s="18">
        <f>CT159*VLOOKUP('Données projet'!$B$13,Paramètres!$A$1:$I$89,3,0)*VLOOKUP('Données projet'!$B$13,Paramètres!$A$1:$I$89,5,0)</f>
        <v>7.626113074366004E-14</v>
      </c>
      <c r="CV159" s="14">
        <f t="shared" si="173"/>
        <v>1.1823749172251317E-12</v>
      </c>
      <c r="CW159" s="22">
        <f t="shared" si="174"/>
        <v>2.1921244502123119E-12</v>
      </c>
      <c r="CX159" s="62">
        <f t="shared" si="122"/>
        <v>287.35489844709053</v>
      </c>
      <c r="CY159" s="62">
        <f ca="1">AVERAGE(OFFSET($CX$3,0,0,'Données projet'!$E$13+1,1))-AVERAGE(OFFSET($H$3,0,0,'Données projet'!$E$13+1,1))</f>
        <v>240.40157928925146</v>
      </c>
      <c r="CZ159" s="62">
        <f t="shared" si="150"/>
        <v>160.5013084380258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-3.979039320256561E-13</v>
      </c>
      <c r="DP159" s="18">
        <f>DO159*VLOOKUP('Données projet'!$B$14,Paramètres!$A$1:$I$89,3,0)*VLOOKUP('Données projet'!$B$14,Paramètres!$A$1:$I$89,5,0)</f>
        <v>-3.8485268305521461E-13</v>
      </c>
      <c r="DQ159" s="14" t="e">
        <f t="shared" si="176"/>
        <v>#NUM!</v>
      </c>
      <c r="DR159" s="22" t="e">
        <f t="shared" si="177"/>
        <v>#NUM!</v>
      </c>
      <c r="DS159" s="62" t="e">
        <f t="shared" si="125"/>
        <v>#NUM!</v>
      </c>
      <c r="DT159" s="62">
        <f ca="1">AVERAGE(OFFSET($DS$3,0,0,'Données projet'!$E$14+1,1))-AVERAGE(OFFSET($H$3,0,0,'Données projet'!$E$14+1,1))</f>
        <v>398.93296311353788</v>
      </c>
      <c r="DU159" s="62">
        <f t="shared" si="152"/>
        <v>173.19148969173838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-5.6843418860808015E-14</v>
      </c>
      <c r="EK159" s="18">
        <f>EJ159*VLOOKUP('Données projet'!$B$15,Paramètres!$A$1:$I$89,3,0)*VLOOKUP('Données projet'!$B$15,Paramètres!$A$1:$I$89,5,0)</f>
        <v>-4.9658410716801891E-14</v>
      </c>
      <c r="EL159" s="14" t="e">
        <f t="shared" si="179"/>
        <v>#NUM!</v>
      </c>
      <c r="EM159" s="22" t="e">
        <f t="shared" si="180"/>
        <v>#NUM!</v>
      </c>
      <c r="EN159" s="62" t="e">
        <f t="shared" si="128"/>
        <v>#NUM!</v>
      </c>
      <c r="EO159" s="62">
        <f ca="1">AVERAGE(OFFSET($EN$3,0,0,'Données projet'!$E$15+1,1))-AVERAGE(OFFSET($H$3,0,0,'Données projet'!$E$15+1,1))</f>
        <v>226.37420733783091</v>
      </c>
      <c r="EP159" s="62">
        <f t="shared" si="154"/>
        <v>204.10961748628714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6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9">
        <f t="shared" si="110"/>
        <v>183.33333333333334</v>
      </c>
      <c r="I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2.8421709430404007E-13</v>
      </c>
      <c r="O160" s="14">
        <f>N160*VLOOKUP('Données projet'!$B$9,Paramètres!$A$1:$I$89,3,0)*VLOOKUP('Données projet'!$B$9,Paramètres!$A$1:$I$89,5,0)</f>
        <v>1.6626700016786346E-13</v>
      </c>
      <c r="P160" s="14">
        <f t="shared" si="141"/>
        <v>2.3542701735863119E-12</v>
      </c>
      <c r="Q160" s="22">
        <f t="shared" si="162"/>
        <v>4.3899355776218544E-12</v>
      </c>
      <c r="R160" s="62">
        <f t="shared" si="109"/>
        <v>287.45861092659095</v>
      </c>
      <c r="S160" s="62">
        <f ca="1">AVERAGE(OFFSET($R$3,0,0,'Données projet'!$E$9+1,1))-AVERAGE(OFFSET($H$3,0,0,'Données projet'!$E$9+1,1))</f>
        <v>196.48726929442091</v>
      </c>
      <c r="T160" s="62">
        <f t="shared" si="142"/>
        <v>193.28400454669347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1.2187031182234544E-18</v>
      </c>
      <c r="AC160" s="24">
        <f t="shared" si="163"/>
        <v>1.2187031182234544E-18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-3.979039320256561E-13</v>
      </c>
      <c r="AJ160" s="14">
        <f>AI160*VLOOKUP('Données projet'!$B$10,Paramètres!$A$1:$I$89,3,0)*VLOOKUP('Données projet'!$B$10,Paramètres!$A$1:$I$89,5,0)</f>
        <v>-4.0347458707401528E-13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414.29294334114661</v>
      </c>
      <c r="AO160" s="62">
        <f t="shared" si="144"/>
        <v>178.72086185623849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-3.979039320256561E-13</v>
      </c>
      <c r="BE160" s="14">
        <f>BD160*VLOOKUP('Données projet'!$B$11,Paramètres!$A$1:$I$89,3,0)*VLOOKUP('Données projet'!$B$11,Paramètres!$A$1:$I$89,5,0)</f>
        <v>-4.2830379243241627E-13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434.74983403680108</v>
      </c>
      <c r="BJ160" s="62">
        <f t="shared" si="146"/>
        <v>186.0840067781198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1.1368683772161603E-13</v>
      </c>
      <c r="BZ160" s="14">
        <f>BY160*VLOOKUP('Données projet'!$B$12,Paramètres!$A$1:$I$89,3,0)*VLOOKUP('Données projet'!$B$12,Paramètres!$A$1:$I$89,5,0)</f>
        <v>9.7543306765146564E-14</v>
      </c>
      <c r="CA160" s="14">
        <f t="shared" si="170"/>
        <v>1.4696264278629426E-12</v>
      </c>
      <c r="CB160" s="22">
        <f t="shared" si="171"/>
        <v>2.7294872878105889E-12</v>
      </c>
      <c r="CC160" s="62">
        <f t="shared" si="119"/>
        <v>287.4586109265893</v>
      </c>
      <c r="CD160" s="62">
        <f ca="1">AVERAGE(OFFSET($CC$3,0,0,'Données projet'!$E$12+1,1))-AVERAGE(OFFSET($H$3,0,0,'Données projet'!$E$12+1,1))</f>
        <v>288.24759203983547</v>
      </c>
      <c r="CE160" s="62">
        <f t="shared" si="148"/>
        <v>188.86613033148794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1.1368683772161603E-13</v>
      </c>
      <c r="CU160" s="18">
        <f>CT160*VLOOKUP('Données projet'!$B$13,Paramètres!$A$1:$I$89,3,0)*VLOOKUP('Données projet'!$B$13,Paramètres!$A$1:$I$89,5,0)</f>
        <v>7.626113074366004E-14</v>
      </c>
      <c r="CV160" s="14">
        <f t="shared" si="173"/>
        <v>1.1823749172251317E-12</v>
      </c>
      <c r="CW160" s="22">
        <f t="shared" si="174"/>
        <v>2.1921244502123119E-12</v>
      </c>
      <c r="CX160" s="62">
        <f t="shared" si="122"/>
        <v>287.45861092658879</v>
      </c>
      <c r="CY160" s="62">
        <f ca="1">AVERAGE(OFFSET($CX$3,0,0,'Données projet'!$E$13+1,1))-AVERAGE(OFFSET($H$3,0,0,'Données projet'!$E$13+1,1))</f>
        <v>240.40157928925146</v>
      </c>
      <c r="CZ160" s="62">
        <f t="shared" si="150"/>
        <v>160.5013084380258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-3.979039320256561E-13</v>
      </c>
      <c r="DP160" s="18">
        <f>DO160*VLOOKUP('Données projet'!$B$14,Paramètres!$A$1:$I$89,3,0)*VLOOKUP('Données projet'!$B$14,Paramètres!$A$1:$I$89,5,0)</f>
        <v>-3.8485268305521461E-13</v>
      </c>
      <c r="DQ160" s="14" t="e">
        <f t="shared" si="176"/>
        <v>#NUM!</v>
      </c>
      <c r="DR160" s="22" t="e">
        <f t="shared" si="177"/>
        <v>#NUM!</v>
      </c>
      <c r="DS160" s="62" t="e">
        <f t="shared" si="125"/>
        <v>#NUM!</v>
      </c>
      <c r="DT160" s="62">
        <f ca="1">AVERAGE(OFFSET($DS$3,0,0,'Données projet'!$E$14+1,1))-AVERAGE(OFFSET($H$3,0,0,'Données projet'!$E$14+1,1))</f>
        <v>398.93296311353788</v>
      </c>
      <c r="DU160" s="62">
        <f t="shared" si="152"/>
        <v>173.19148969173838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-5.6843418860808015E-14</v>
      </c>
      <c r="EK160" s="18">
        <f>EJ160*VLOOKUP('Données projet'!$B$15,Paramètres!$A$1:$I$89,3,0)*VLOOKUP('Données projet'!$B$15,Paramètres!$A$1:$I$89,5,0)</f>
        <v>-4.9658410716801891E-14</v>
      </c>
      <c r="EL160" s="14" t="e">
        <f t="shared" si="179"/>
        <v>#NUM!</v>
      </c>
      <c r="EM160" s="22" t="e">
        <f t="shared" si="180"/>
        <v>#NUM!</v>
      </c>
      <c r="EN160" s="62" t="e">
        <f t="shared" si="128"/>
        <v>#NUM!</v>
      </c>
      <c r="EO160" s="62">
        <f ca="1">AVERAGE(OFFSET($EN$3,0,0,'Données projet'!$E$15+1,1))-AVERAGE(OFFSET($H$3,0,0,'Données projet'!$E$15+1,1))</f>
        <v>226.37420733783091</v>
      </c>
      <c r="EP160" s="62">
        <f t="shared" si="154"/>
        <v>204.10961748628714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6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9">
        <f t="shared" si="110"/>
        <v>183.33333333333334</v>
      </c>
      <c r="I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2.8421709430404007E-13</v>
      </c>
      <c r="O161" s="14">
        <f>N161*VLOOKUP('Données projet'!$B$9,Paramètres!$A$1:$I$89,3,0)*VLOOKUP('Données projet'!$B$9,Paramètres!$A$1:$I$89,5,0)</f>
        <v>1.6626700016786346E-13</v>
      </c>
      <c r="P161" s="14">
        <f t="shared" si="141"/>
        <v>2.3542701735863119E-12</v>
      </c>
      <c r="Q161" s="22">
        <f t="shared" si="162"/>
        <v>4.3899355776218544E-12</v>
      </c>
      <c r="R161" s="62">
        <f t="shared" si="109"/>
        <v>287.56052422643637</v>
      </c>
      <c r="S161" s="62">
        <f ca="1">AVERAGE(OFFSET($R$3,0,0,'Données projet'!$E$9+1,1))-AVERAGE(OFFSET($H$3,0,0,'Données projet'!$E$9+1,1))</f>
        <v>196.48726929442091</v>
      </c>
      <c r="T161" s="62">
        <f t="shared" si="142"/>
        <v>193.28400454669347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8.6175323914899543E-19</v>
      </c>
      <c r="AC161" s="24">
        <f t="shared" si="163"/>
        <v>8.6175323914899543E-19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-3.979039320256561E-13</v>
      </c>
      <c r="AJ161" s="14">
        <f>AI161*VLOOKUP('Données projet'!$B$10,Paramètres!$A$1:$I$89,3,0)*VLOOKUP('Données projet'!$B$10,Paramètres!$A$1:$I$89,5,0)</f>
        <v>-4.0347458707401528E-13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414.29294334114661</v>
      </c>
      <c r="AO161" s="62">
        <f t="shared" si="144"/>
        <v>178.72086185623849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-3.979039320256561E-13</v>
      </c>
      <c r="BE161" s="14">
        <f>BD161*VLOOKUP('Données projet'!$B$11,Paramètres!$A$1:$I$89,3,0)*VLOOKUP('Données projet'!$B$11,Paramètres!$A$1:$I$89,5,0)</f>
        <v>-4.2830379243241627E-13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434.74983403680108</v>
      </c>
      <c r="BJ161" s="62">
        <f t="shared" si="146"/>
        <v>186.0840067781198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1.1368683772161603E-13</v>
      </c>
      <c r="BZ161" s="14">
        <f>BY161*VLOOKUP('Données projet'!$B$12,Paramètres!$A$1:$I$89,3,0)*VLOOKUP('Données projet'!$B$12,Paramètres!$A$1:$I$89,5,0)</f>
        <v>9.7543306765146564E-14</v>
      </c>
      <c r="CA161" s="14">
        <f t="shared" si="170"/>
        <v>1.4696264278629426E-12</v>
      </c>
      <c r="CB161" s="22">
        <f t="shared" si="171"/>
        <v>2.7294872878105889E-12</v>
      </c>
      <c r="CC161" s="62">
        <f t="shared" si="119"/>
        <v>287.56052422643472</v>
      </c>
      <c r="CD161" s="62">
        <f ca="1">AVERAGE(OFFSET($CC$3,0,0,'Données projet'!$E$12+1,1))-AVERAGE(OFFSET($H$3,0,0,'Données projet'!$E$12+1,1))</f>
        <v>288.24759203983547</v>
      </c>
      <c r="CE161" s="62">
        <f t="shared" si="148"/>
        <v>188.86613033148794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1.1368683772161603E-13</v>
      </c>
      <c r="CU161" s="18">
        <f>CT161*VLOOKUP('Données projet'!$B$13,Paramètres!$A$1:$I$89,3,0)*VLOOKUP('Données projet'!$B$13,Paramètres!$A$1:$I$89,5,0)</f>
        <v>7.626113074366004E-14</v>
      </c>
      <c r="CV161" s="14">
        <f t="shared" si="173"/>
        <v>1.1823749172251317E-12</v>
      </c>
      <c r="CW161" s="22">
        <f t="shared" si="174"/>
        <v>2.1921244502123119E-12</v>
      </c>
      <c r="CX161" s="62">
        <f t="shared" si="122"/>
        <v>287.56052422643421</v>
      </c>
      <c r="CY161" s="62">
        <f ca="1">AVERAGE(OFFSET($CX$3,0,0,'Données projet'!$E$13+1,1))-AVERAGE(OFFSET($H$3,0,0,'Données projet'!$E$13+1,1))</f>
        <v>240.40157928925146</v>
      </c>
      <c r="CZ161" s="62">
        <f t="shared" si="150"/>
        <v>160.5013084380258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-3.979039320256561E-13</v>
      </c>
      <c r="DP161" s="18">
        <f>DO161*VLOOKUP('Données projet'!$B$14,Paramètres!$A$1:$I$89,3,0)*VLOOKUP('Données projet'!$B$14,Paramètres!$A$1:$I$89,5,0)</f>
        <v>-3.8485268305521461E-13</v>
      </c>
      <c r="DQ161" s="14" t="e">
        <f t="shared" si="176"/>
        <v>#NUM!</v>
      </c>
      <c r="DR161" s="22" t="e">
        <f t="shared" si="177"/>
        <v>#NUM!</v>
      </c>
      <c r="DS161" s="62" t="e">
        <f t="shared" si="125"/>
        <v>#NUM!</v>
      </c>
      <c r="DT161" s="62">
        <f ca="1">AVERAGE(OFFSET($DS$3,0,0,'Données projet'!$E$14+1,1))-AVERAGE(OFFSET($H$3,0,0,'Données projet'!$E$14+1,1))</f>
        <v>398.93296311353788</v>
      </c>
      <c r="DU161" s="62">
        <f t="shared" si="152"/>
        <v>173.19148969173838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-5.6843418860808015E-14</v>
      </c>
      <c r="EK161" s="18">
        <f>EJ161*VLOOKUP('Données projet'!$B$15,Paramètres!$A$1:$I$89,3,0)*VLOOKUP('Données projet'!$B$15,Paramètres!$A$1:$I$89,5,0)</f>
        <v>-4.9658410716801891E-14</v>
      </c>
      <c r="EL161" s="14" t="e">
        <f t="shared" si="179"/>
        <v>#NUM!</v>
      </c>
      <c r="EM161" s="22" t="e">
        <f t="shared" si="180"/>
        <v>#NUM!</v>
      </c>
      <c r="EN161" s="62" t="e">
        <f t="shared" si="128"/>
        <v>#NUM!</v>
      </c>
      <c r="EO161" s="62">
        <f ca="1">AVERAGE(OFFSET($EN$3,0,0,'Données projet'!$E$15+1,1))-AVERAGE(OFFSET($H$3,0,0,'Données projet'!$E$15+1,1))</f>
        <v>226.37420733783091</v>
      </c>
      <c r="EP161" s="62">
        <f t="shared" si="154"/>
        <v>204.10961748628714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6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9">
        <f t="shared" si="110"/>
        <v>183.33333333333334</v>
      </c>
      <c r="I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2.8421709430404007E-13</v>
      </c>
      <c r="O162" s="14">
        <f>N162*VLOOKUP('Données projet'!$B$9,Paramètres!$A$1:$I$89,3,0)*VLOOKUP('Données projet'!$B$9,Paramètres!$A$1:$I$89,5,0)</f>
        <v>1.6626700016786346E-13</v>
      </c>
      <c r="P162" s="14">
        <f t="shared" si="141"/>
        <v>2.3542701735863119E-12</v>
      </c>
      <c r="Q162" s="22">
        <f t="shared" si="162"/>
        <v>4.3899355776218544E-12</v>
      </c>
      <c r="R162" s="62">
        <f t="shared" si="109"/>
        <v>287.66066955837334</v>
      </c>
      <c r="S162" s="62">
        <f ca="1">AVERAGE(OFFSET($R$3,0,0,'Données projet'!$E$9+1,1))-AVERAGE(OFFSET($H$3,0,0,'Données projet'!$E$9+1,1))</f>
        <v>196.48726929442091</v>
      </c>
      <c r="T162" s="62">
        <f t="shared" si="142"/>
        <v>193.28400454669347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6.093515591117273E-19</v>
      </c>
      <c r="AC162" s="24">
        <f t="shared" si="163"/>
        <v>6.093515591117273E-19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-3.979039320256561E-13</v>
      </c>
      <c r="AJ162" s="14">
        <f>AI162*VLOOKUP('Données projet'!$B$10,Paramètres!$A$1:$I$89,3,0)*VLOOKUP('Données projet'!$B$10,Paramètres!$A$1:$I$89,5,0)</f>
        <v>-4.0347458707401528E-13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414.29294334114661</v>
      </c>
      <c r="AO162" s="62">
        <f t="shared" si="144"/>
        <v>178.72086185623849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-3.979039320256561E-13</v>
      </c>
      <c r="BE162" s="14">
        <f>BD162*VLOOKUP('Données projet'!$B$11,Paramètres!$A$1:$I$89,3,0)*VLOOKUP('Données projet'!$B$11,Paramètres!$A$1:$I$89,5,0)</f>
        <v>-4.2830379243241627E-13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434.74983403680108</v>
      </c>
      <c r="BJ162" s="62">
        <f t="shared" si="146"/>
        <v>186.0840067781198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1.1368683772161603E-13</v>
      </c>
      <c r="BZ162" s="14">
        <f>BY162*VLOOKUP('Données projet'!$B$12,Paramètres!$A$1:$I$89,3,0)*VLOOKUP('Données projet'!$B$12,Paramètres!$A$1:$I$89,5,0)</f>
        <v>9.7543306765146564E-14</v>
      </c>
      <c r="CA162" s="14">
        <f t="shared" si="170"/>
        <v>1.4696264278629426E-12</v>
      </c>
      <c r="CB162" s="22">
        <f t="shared" si="171"/>
        <v>2.7294872878105889E-12</v>
      </c>
      <c r="CC162" s="62">
        <f t="shared" si="119"/>
        <v>287.66066955837169</v>
      </c>
      <c r="CD162" s="62">
        <f ca="1">AVERAGE(OFFSET($CC$3,0,0,'Données projet'!$E$12+1,1))-AVERAGE(OFFSET($H$3,0,0,'Données projet'!$E$12+1,1))</f>
        <v>288.24759203983547</v>
      </c>
      <c r="CE162" s="62">
        <f t="shared" si="148"/>
        <v>188.86613033148794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1.1368683772161603E-13</v>
      </c>
      <c r="CU162" s="18">
        <f>CT162*VLOOKUP('Données projet'!$B$13,Paramètres!$A$1:$I$89,3,0)*VLOOKUP('Données projet'!$B$13,Paramètres!$A$1:$I$89,5,0)</f>
        <v>7.626113074366004E-14</v>
      </c>
      <c r="CV162" s="14">
        <f t="shared" si="173"/>
        <v>1.1823749172251317E-12</v>
      </c>
      <c r="CW162" s="22">
        <f t="shared" si="174"/>
        <v>2.1921244502123119E-12</v>
      </c>
      <c r="CX162" s="62">
        <f t="shared" si="122"/>
        <v>287.66066955837118</v>
      </c>
      <c r="CY162" s="62">
        <f ca="1">AVERAGE(OFFSET($CX$3,0,0,'Données projet'!$E$13+1,1))-AVERAGE(OFFSET($H$3,0,0,'Données projet'!$E$13+1,1))</f>
        <v>240.40157928925146</v>
      </c>
      <c r="CZ162" s="62">
        <f t="shared" si="150"/>
        <v>160.5013084380258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-3.979039320256561E-13</v>
      </c>
      <c r="DP162" s="18">
        <f>DO162*VLOOKUP('Données projet'!$B$14,Paramètres!$A$1:$I$89,3,0)*VLOOKUP('Données projet'!$B$14,Paramètres!$A$1:$I$89,5,0)</f>
        <v>-3.8485268305521461E-13</v>
      </c>
      <c r="DQ162" s="14" t="e">
        <f t="shared" si="176"/>
        <v>#NUM!</v>
      </c>
      <c r="DR162" s="22" t="e">
        <f t="shared" si="177"/>
        <v>#NUM!</v>
      </c>
      <c r="DS162" s="62" t="e">
        <f t="shared" si="125"/>
        <v>#NUM!</v>
      </c>
      <c r="DT162" s="62">
        <f ca="1">AVERAGE(OFFSET($DS$3,0,0,'Données projet'!$E$14+1,1))-AVERAGE(OFFSET($H$3,0,0,'Données projet'!$E$14+1,1))</f>
        <v>398.93296311353788</v>
      </c>
      <c r="DU162" s="62">
        <f t="shared" si="152"/>
        <v>173.19148969173838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-5.6843418860808015E-14</v>
      </c>
      <c r="EK162" s="18">
        <f>EJ162*VLOOKUP('Données projet'!$B$15,Paramètres!$A$1:$I$89,3,0)*VLOOKUP('Données projet'!$B$15,Paramètres!$A$1:$I$89,5,0)</f>
        <v>-4.9658410716801891E-14</v>
      </c>
      <c r="EL162" s="14" t="e">
        <f t="shared" si="179"/>
        <v>#NUM!</v>
      </c>
      <c r="EM162" s="22" t="e">
        <f t="shared" si="180"/>
        <v>#NUM!</v>
      </c>
      <c r="EN162" s="62" t="e">
        <f t="shared" si="128"/>
        <v>#NUM!</v>
      </c>
      <c r="EO162" s="62">
        <f ca="1">AVERAGE(OFFSET($EN$3,0,0,'Données projet'!$E$15+1,1))-AVERAGE(OFFSET($H$3,0,0,'Données projet'!$E$15+1,1))</f>
        <v>226.37420733783091</v>
      </c>
      <c r="EP162" s="62">
        <f t="shared" si="154"/>
        <v>204.10961748628714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6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9">
        <f t="shared" si="110"/>
        <v>183.33333333333334</v>
      </c>
      <c r="I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2.8421709430404007E-13</v>
      </c>
      <c r="O163" s="14">
        <f>N163*VLOOKUP('Données projet'!$B$9,Paramètres!$A$1:$I$89,3,0)*VLOOKUP('Données projet'!$B$9,Paramètres!$A$1:$I$89,5,0)</f>
        <v>1.6626700016786346E-13</v>
      </c>
      <c r="P163" s="14">
        <f t="shared" si="141"/>
        <v>2.3542701735863119E-12</v>
      </c>
      <c r="Q163" s="22">
        <f t="shared" si="162"/>
        <v>4.3899355776218544E-12</v>
      </c>
      <c r="R163" s="62">
        <f t="shared" si="109"/>
        <v>287.75907759269273</v>
      </c>
      <c r="S163" s="62">
        <f ca="1">AVERAGE(OFFSET($R$3,0,0,'Données projet'!$E$9+1,1))-AVERAGE(OFFSET($H$3,0,0,'Données projet'!$E$9+1,1))</f>
        <v>196.48726929442091</v>
      </c>
      <c r="T163" s="62">
        <f t="shared" si="142"/>
        <v>193.28400454669347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4.3087661957449776E-19</v>
      </c>
      <c r="AC163" s="24">
        <f t="shared" si="163"/>
        <v>4.3087661957449776E-19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-3.979039320256561E-13</v>
      </c>
      <c r="AJ163" s="14">
        <f>AI163*VLOOKUP('Données projet'!$B$10,Paramètres!$A$1:$I$89,3,0)*VLOOKUP('Données projet'!$B$10,Paramètres!$A$1:$I$89,5,0)</f>
        <v>-4.0347458707401528E-13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414.29294334114661</v>
      </c>
      <c r="AO163" s="62">
        <f t="shared" si="144"/>
        <v>178.72086185623849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-3.979039320256561E-13</v>
      </c>
      <c r="BE163" s="14">
        <f>BD163*VLOOKUP('Données projet'!$B$11,Paramètres!$A$1:$I$89,3,0)*VLOOKUP('Données projet'!$B$11,Paramètres!$A$1:$I$89,5,0)</f>
        <v>-4.2830379243241627E-13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434.74983403680108</v>
      </c>
      <c r="BJ163" s="62">
        <f t="shared" si="146"/>
        <v>186.0840067781198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1.1368683772161603E-13</v>
      </c>
      <c r="BZ163" s="14">
        <f>BY163*VLOOKUP('Données projet'!$B$12,Paramètres!$A$1:$I$89,3,0)*VLOOKUP('Données projet'!$B$12,Paramètres!$A$1:$I$89,5,0)</f>
        <v>9.7543306765146564E-14</v>
      </c>
      <c r="CA163" s="14">
        <f t="shared" si="170"/>
        <v>1.4696264278629426E-12</v>
      </c>
      <c r="CB163" s="22">
        <f t="shared" si="171"/>
        <v>2.7294872878105889E-12</v>
      </c>
      <c r="CC163" s="62">
        <f t="shared" si="119"/>
        <v>287.75907759269109</v>
      </c>
      <c r="CD163" s="62">
        <f ca="1">AVERAGE(OFFSET($CC$3,0,0,'Données projet'!$E$12+1,1))-AVERAGE(OFFSET($H$3,0,0,'Données projet'!$E$12+1,1))</f>
        <v>288.24759203983547</v>
      </c>
      <c r="CE163" s="62">
        <f t="shared" si="148"/>
        <v>188.86613033148794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1.1368683772161603E-13</v>
      </c>
      <c r="CU163" s="18">
        <f>CT163*VLOOKUP('Données projet'!$B$13,Paramètres!$A$1:$I$89,3,0)*VLOOKUP('Données projet'!$B$13,Paramètres!$A$1:$I$89,5,0)</f>
        <v>7.626113074366004E-14</v>
      </c>
      <c r="CV163" s="14">
        <f t="shared" si="173"/>
        <v>1.1823749172251317E-12</v>
      </c>
      <c r="CW163" s="22">
        <f t="shared" si="174"/>
        <v>2.1921244502123119E-12</v>
      </c>
      <c r="CX163" s="62">
        <f t="shared" si="122"/>
        <v>287.75907759269057</v>
      </c>
      <c r="CY163" s="62">
        <f ca="1">AVERAGE(OFFSET($CX$3,0,0,'Données projet'!$E$13+1,1))-AVERAGE(OFFSET($H$3,0,0,'Données projet'!$E$13+1,1))</f>
        <v>240.40157928925146</v>
      </c>
      <c r="CZ163" s="62">
        <f t="shared" si="150"/>
        <v>160.5013084380258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-3.979039320256561E-13</v>
      </c>
      <c r="DP163" s="18">
        <f>DO163*VLOOKUP('Données projet'!$B$14,Paramètres!$A$1:$I$89,3,0)*VLOOKUP('Données projet'!$B$14,Paramètres!$A$1:$I$89,5,0)</f>
        <v>-3.8485268305521461E-13</v>
      </c>
      <c r="DQ163" s="14" t="e">
        <f t="shared" si="176"/>
        <v>#NUM!</v>
      </c>
      <c r="DR163" s="22" t="e">
        <f t="shared" si="177"/>
        <v>#NUM!</v>
      </c>
      <c r="DS163" s="62" t="e">
        <f t="shared" si="125"/>
        <v>#NUM!</v>
      </c>
      <c r="DT163" s="62">
        <f ca="1">AVERAGE(OFFSET($DS$3,0,0,'Données projet'!$E$14+1,1))-AVERAGE(OFFSET($H$3,0,0,'Données projet'!$E$14+1,1))</f>
        <v>398.93296311353788</v>
      </c>
      <c r="DU163" s="62">
        <f t="shared" si="152"/>
        <v>173.19148969173838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-5.6843418860808015E-14</v>
      </c>
      <c r="EK163" s="18">
        <f>EJ163*VLOOKUP('Données projet'!$B$15,Paramètres!$A$1:$I$89,3,0)*VLOOKUP('Données projet'!$B$15,Paramètres!$A$1:$I$89,5,0)</f>
        <v>-4.9658410716801891E-14</v>
      </c>
      <c r="EL163" s="14" t="e">
        <f t="shared" si="179"/>
        <v>#NUM!</v>
      </c>
      <c r="EM163" s="22" t="e">
        <f t="shared" si="180"/>
        <v>#NUM!</v>
      </c>
      <c r="EN163" s="62" t="e">
        <f t="shared" si="128"/>
        <v>#NUM!</v>
      </c>
      <c r="EO163" s="62">
        <f ca="1">AVERAGE(OFFSET($EN$3,0,0,'Données projet'!$E$15+1,1))-AVERAGE(OFFSET($H$3,0,0,'Données projet'!$E$15+1,1))</f>
        <v>226.37420733783091</v>
      </c>
      <c r="EP163" s="62">
        <f t="shared" si="154"/>
        <v>204.10961748628714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6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9">
        <f t="shared" si="110"/>
        <v>183.33333333333334</v>
      </c>
      <c r="I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2.8421709430404007E-13</v>
      </c>
      <c r="O164" s="14">
        <f>N164*VLOOKUP('Données projet'!$B$9,Paramètres!$A$1:$I$89,3,0)*VLOOKUP('Données projet'!$B$9,Paramètres!$A$1:$I$89,5,0)</f>
        <v>1.6626700016786346E-13</v>
      </c>
      <c r="P164" s="14">
        <f t="shared" si="141"/>
        <v>2.3542701735863119E-12</v>
      </c>
      <c r="Q164" s="22">
        <f t="shared" si="162"/>
        <v>4.3899355776218544E-12</v>
      </c>
      <c r="R164" s="62">
        <f t="shared" si="109"/>
        <v>287.85577846762408</v>
      </c>
      <c r="S164" s="62">
        <f ca="1">AVERAGE(OFFSET($R$3,0,0,'Données projet'!$E$9+1,1))-AVERAGE(OFFSET($H$3,0,0,'Données projet'!$E$9+1,1))</f>
        <v>196.48726929442091</v>
      </c>
      <c r="T164" s="62">
        <f t="shared" si="142"/>
        <v>193.28400454669347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3.046757795558637E-19</v>
      </c>
      <c r="AC164" s="24">
        <f t="shared" si="163"/>
        <v>3.046757795558637E-19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-3.979039320256561E-13</v>
      </c>
      <c r="AJ164" s="14">
        <f>AI164*VLOOKUP('Données projet'!$B$10,Paramètres!$A$1:$I$89,3,0)*VLOOKUP('Données projet'!$B$10,Paramètres!$A$1:$I$89,5,0)</f>
        <v>-4.0347458707401528E-13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414.29294334114661</v>
      </c>
      <c r="AO164" s="62">
        <f t="shared" si="144"/>
        <v>178.72086185623849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-3.979039320256561E-13</v>
      </c>
      <c r="BE164" s="14">
        <f>BD164*VLOOKUP('Données projet'!$B$11,Paramètres!$A$1:$I$89,3,0)*VLOOKUP('Données projet'!$B$11,Paramètres!$A$1:$I$89,5,0)</f>
        <v>-4.2830379243241627E-13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434.74983403680108</v>
      </c>
      <c r="BJ164" s="62">
        <f t="shared" si="146"/>
        <v>186.0840067781198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1.1368683772161603E-13</v>
      </c>
      <c r="BZ164" s="14">
        <f>BY164*VLOOKUP('Données projet'!$B$12,Paramètres!$A$1:$I$89,3,0)*VLOOKUP('Données projet'!$B$12,Paramètres!$A$1:$I$89,5,0)</f>
        <v>9.7543306765146564E-14</v>
      </c>
      <c r="CA164" s="14">
        <f t="shared" si="170"/>
        <v>1.4696264278629426E-12</v>
      </c>
      <c r="CB164" s="22">
        <f t="shared" si="171"/>
        <v>2.7294872878105889E-12</v>
      </c>
      <c r="CC164" s="62">
        <f t="shared" si="119"/>
        <v>287.85577846762243</v>
      </c>
      <c r="CD164" s="62">
        <f ca="1">AVERAGE(OFFSET($CC$3,0,0,'Données projet'!$E$12+1,1))-AVERAGE(OFFSET($H$3,0,0,'Données projet'!$E$12+1,1))</f>
        <v>288.24759203983547</v>
      </c>
      <c r="CE164" s="62">
        <f t="shared" si="148"/>
        <v>188.86613033148794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1.1368683772161603E-13</v>
      </c>
      <c r="CU164" s="18">
        <f>CT164*VLOOKUP('Données projet'!$B$13,Paramètres!$A$1:$I$89,3,0)*VLOOKUP('Données projet'!$B$13,Paramètres!$A$1:$I$89,5,0)</f>
        <v>7.626113074366004E-14</v>
      </c>
      <c r="CV164" s="14">
        <f t="shared" si="173"/>
        <v>1.1823749172251317E-12</v>
      </c>
      <c r="CW164" s="22">
        <f t="shared" si="174"/>
        <v>2.1921244502123119E-12</v>
      </c>
      <c r="CX164" s="62">
        <f t="shared" si="122"/>
        <v>287.85577846762192</v>
      </c>
      <c r="CY164" s="62">
        <f ca="1">AVERAGE(OFFSET($CX$3,0,0,'Données projet'!$E$13+1,1))-AVERAGE(OFFSET($H$3,0,0,'Données projet'!$E$13+1,1))</f>
        <v>240.40157928925146</v>
      </c>
      <c r="CZ164" s="62">
        <f t="shared" si="150"/>
        <v>160.5013084380258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-3.979039320256561E-13</v>
      </c>
      <c r="DP164" s="18">
        <f>DO164*VLOOKUP('Données projet'!$B$14,Paramètres!$A$1:$I$89,3,0)*VLOOKUP('Données projet'!$B$14,Paramètres!$A$1:$I$89,5,0)</f>
        <v>-3.8485268305521461E-13</v>
      </c>
      <c r="DQ164" s="14" t="e">
        <f t="shared" si="176"/>
        <v>#NUM!</v>
      </c>
      <c r="DR164" s="22" t="e">
        <f t="shared" si="177"/>
        <v>#NUM!</v>
      </c>
      <c r="DS164" s="62" t="e">
        <f t="shared" si="125"/>
        <v>#NUM!</v>
      </c>
      <c r="DT164" s="62">
        <f ca="1">AVERAGE(OFFSET($DS$3,0,0,'Données projet'!$E$14+1,1))-AVERAGE(OFFSET($H$3,0,0,'Données projet'!$E$14+1,1))</f>
        <v>398.93296311353788</v>
      </c>
      <c r="DU164" s="62">
        <f t="shared" si="152"/>
        <v>173.19148969173838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-5.6843418860808015E-14</v>
      </c>
      <c r="EK164" s="18">
        <f>EJ164*VLOOKUP('Données projet'!$B$15,Paramètres!$A$1:$I$89,3,0)*VLOOKUP('Données projet'!$B$15,Paramètres!$A$1:$I$89,5,0)</f>
        <v>-4.9658410716801891E-14</v>
      </c>
      <c r="EL164" s="14" t="e">
        <f t="shared" si="179"/>
        <v>#NUM!</v>
      </c>
      <c r="EM164" s="22" t="e">
        <f t="shared" si="180"/>
        <v>#NUM!</v>
      </c>
      <c r="EN164" s="62" t="e">
        <f t="shared" si="128"/>
        <v>#NUM!</v>
      </c>
      <c r="EO164" s="62">
        <f ca="1">AVERAGE(OFFSET($EN$3,0,0,'Données projet'!$E$15+1,1))-AVERAGE(OFFSET($H$3,0,0,'Données projet'!$E$15+1,1))</f>
        <v>226.37420733783091</v>
      </c>
      <c r="EP164" s="62">
        <f t="shared" si="154"/>
        <v>204.10961748628714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6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9">
        <f t="shared" si="110"/>
        <v>183.33333333333334</v>
      </c>
      <c r="I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2.8421709430404007E-13</v>
      </c>
      <c r="O165" s="14">
        <f>N165*VLOOKUP('Données projet'!$B$9,Paramètres!$A$1:$I$89,3,0)*VLOOKUP('Données projet'!$B$9,Paramètres!$A$1:$I$89,5,0)</f>
        <v>1.6626700016786346E-13</v>
      </c>
      <c r="P165" s="14">
        <f t="shared" si="141"/>
        <v>2.3542701735863119E-12</v>
      </c>
      <c r="Q165" s="22">
        <f t="shared" si="162"/>
        <v>4.3899355776218544E-12</v>
      </c>
      <c r="R165" s="62">
        <f t="shared" si="109"/>
        <v>287.95080179856609</v>
      </c>
      <c r="S165" s="62">
        <f ca="1">AVERAGE(OFFSET($R$3,0,0,'Données projet'!$E$9+1,1))-AVERAGE(OFFSET($H$3,0,0,'Données projet'!$E$9+1,1))</f>
        <v>196.48726929442091</v>
      </c>
      <c r="T165" s="62">
        <f t="shared" si="142"/>
        <v>193.28400454669347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2.1543830978724893E-19</v>
      </c>
      <c r="AC165" s="24">
        <f t="shared" si="163"/>
        <v>2.1543830978724893E-19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-3.979039320256561E-13</v>
      </c>
      <c r="AJ165" s="14">
        <f>AI165*VLOOKUP('Données projet'!$B$10,Paramètres!$A$1:$I$89,3,0)*VLOOKUP('Données projet'!$B$10,Paramètres!$A$1:$I$89,5,0)</f>
        <v>-4.0347458707401528E-13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414.29294334114661</v>
      </c>
      <c r="AO165" s="62">
        <f t="shared" si="144"/>
        <v>178.72086185623849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-3.979039320256561E-13</v>
      </c>
      <c r="BE165" s="14">
        <f>BD165*VLOOKUP('Données projet'!$B$11,Paramètres!$A$1:$I$89,3,0)*VLOOKUP('Données projet'!$B$11,Paramètres!$A$1:$I$89,5,0)</f>
        <v>-4.2830379243241627E-13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434.74983403680108</v>
      </c>
      <c r="BJ165" s="62">
        <f t="shared" si="146"/>
        <v>186.0840067781198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1.1368683772161603E-13</v>
      </c>
      <c r="BZ165" s="14">
        <f>BY165*VLOOKUP('Données projet'!$B$12,Paramètres!$A$1:$I$89,3,0)*VLOOKUP('Données projet'!$B$12,Paramètres!$A$1:$I$89,5,0)</f>
        <v>9.7543306765146564E-14</v>
      </c>
      <c r="CA165" s="14">
        <f t="shared" si="170"/>
        <v>1.4696264278629426E-12</v>
      </c>
      <c r="CB165" s="22">
        <f t="shared" si="171"/>
        <v>2.7294872878105889E-12</v>
      </c>
      <c r="CC165" s="62">
        <f t="shared" si="119"/>
        <v>287.95080179856444</v>
      </c>
      <c r="CD165" s="62">
        <f ca="1">AVERAGE(OFFSET($CC$3,0,0,'Données projet'!$E$12+1,1))-AVERAGE(OFFSET($H$3,0,0,'Données projet'!$E$12+1,1))</f>
        <v>288.24759203983547</v>
      </c>
      <c r="CE165" s="62">
        <f t="shared" si="148"/>
        <v>188.86613033148794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1.1368683772161603E-13</v>
      </c>
      <c r="CU165" s="18">
        <f>CT165*VLOOKUP('Données projet'!$B$13,Paramètres!$A$1:$I$89,3,0)*VLOOKUP('Données projet'!$B$13,Paramètres!$A$1:$I$89,5,0)</f>
        <v>7.626113074366004E-14</v>
      </c>
      <c r="CV165" s="14">
        <f t="shared" si="173"/>
        <v>1.1823749172251317E-12</v>
      </c>
      <c r="CW165" s="22">
        <f t="shared" si="174"/>
        <v>2.1921244502123119E-12</v>
      </c>
      <c r="CX165" s="62">
        <f t="shared" si="122"/>
        <v>287.95080179856393</v>
      </c>
      <c r="CY165" s="62">
        <f ca="1">AVERAGE(OFFSET($CX$3,0,0,'Données projet'!$E$13+1,1))-AVERAGE(OFFSET($H$3,0,0,'Données projet'!$E$13+1,1))</f>
        <v>240.40157928925146</v>
      </c>
      <c r="CZ165" s="62">
        <f t="shared" si="150"/>
        <v>160.5013084380258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-3.979039320256561E-13</v>
      </c>
      <c r="DP165" s="18">
        <f>DO165*VLOOKUP('Données projet'!$B$14,Paramètres!$A$1:$I$89,3,0)*VLOOKUP('Données projet'!$B$14,Paramètres!$A$1:$I$89,5,0)</f>
        <v>-3.8485268305521461E-13</v>
      </c>
      <c r="DQ165" s="14" t="e">
        <f t="shared" si="176"/>
        <v>#NUM!</v>
      </c>
      <c r="DR165" s="22" t="e">
        <f t="shared" si="177"/>
        <v>#NUM!</v>
      </c>
      <c r="DS165" s="62" t="e">
        <f t="shared" si="125"/>
        <v>#NUM!</v>
      </c>
      <c r="DT165" s="62">
        <f ca="1">AVERAGE(OFFSET($DS$3,0,0,'Données projet'!$E$14+1,1))-AVERAGE(OFFSET($H$3,0,0,'Données projet'!$E$14+1,1))</f>
        <v>398.93296311353788</v>
      </c>
      <c r="DU165" s="62">
        <f t="shared" si="152"/>
        <v>173.19148969173838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-5.6843418860808015E-14</v>
      </c>
      <c r="EK165" s="18">
        <f>EJ165*VLOOKUP('Données projet'!$B$15,Paramètres!$A$1:$I$89,3,0)*VLOOKUP('Données projet'!$B$15,Paramètres!$A$1:$I$89,5,0)</f>
        <v>-4.9658410716801891E-14</v>
      </c>
      <c r="EL165" s="14" t="e">
        <f t="shared" si="179"/>
        <v>#NUM!</v>
      </c>
      <c r="EM165" s="22" t="e">
        <f t="shared" si="180"/>
        <v>#NUM!</v>
      </c>
      <c r="EN165" s="62" t="e">
        <f t="shared" si="128"/>
        <v>#NUM!</v>
      </c>
      <c r="EO165" s="62">
        <f ca="1">AVERAGE(OFFSET($EN$3,0,0,'Données projet'!$E$15+1,1))-AVERAGE(OFFSET($H$3,0,0,'Données projet'!$E$15+1,1))</f>
        <v>226.37420733783091</v>
      </c>
      <c r="EP165" s="62">
        <f t="shared" si="154"/>
        <v>204.10961748628714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6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9">
        <f t="shared" si="110"/>
        <v>183.33333333333334</v>
      </c>
      <c r="I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2.8421709430404007E-13</v>
      </c>
      <c r="O166" s="14">
        <f>N166*VLOOKUP('Données projet'!$B$9,Paramètres!$A$1:$I$89,3,0)*VLOOKUP('Données projet'!$B$9,Paramètres!$A$1:$I$89,5,0)</f>
        <v>1.6626700016786346E-13</v>
      </c>
      <c r="P166" s="14">
        <f t="shared" si="141"/>
        <v>2.3542701735863119E-12</v>
      </c>
      <c r="Q166" s="22">
        <f t="shared" si="162"/>
        <v>4.3899355776218544E-12</v>
      </c>
      <c r="R166" s="62">
        <f t="shared" si="109"/>
        <v>288.04417668715661</v>
      </c>
      <c r="S166" s="62">
        <f ca="1">AVERAGE(OFFSET($R$3,0,0,'Données projet'!$E$9+1,1))-AVERAGE(OFFSET($H$3,0,0,'Données projet'!$E$9+1,1))</f>
        <v>196.48726929442091</v>
      </c>
      <c r="T166" s="62">
        <f t="shared" si="142"/>
        <v>193.28400454669347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1.5233788977793187E-19</v>
      </c>
      <c r="AC166" s="24">
        <f t="shared" si="163"/>
        <v>1.5233788977793187E-19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-3.979039320256561E-13</v>
      </c>
      <c r="AJ166" s="14">
        <f>AI166*VLOOKUP('Données projet'!$B$10,Paramètres!$A$1:$I$89,3,0)*VLOOKUP('Données projet'!$B$10,Paramètres!$A$1:$I$89,5,0)</f>
        <v>-4.0347458707401528E-13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414.29294334114661</v>
      </c>
      <c r="AO166" s="62">
        <f t="shared" si="144"/>
        <v>178.72086185623849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-3.979039320256561E-13</v>
      </c>
      <c r="BE166" s="14">
        <f>BD166*VLOOKUP('Données projet'!$B$11,Paramètres!$A$1:$I$89,3,0)*VLOOKUP('Données projet'!$B$11,Paramètres!$A$1:$I$89,5,0)</f>
        <v>-4.2830379243241627E-13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434.74983403680108</v>
      </c>
      <c r="BJ166" s="62">
        <f t="shared" si="146"/>
        <v>186.0840067781198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1.1368683772161603E-13</v>
      </c>
      <c r="BZ166" s="14">
        <f>BY166*VLOOKUP('Données projet'!$B$12,Paramètres!$A$1:$I$89,3,0)*VLOOKUP('Données projet'!$B$12,Paramètres!$A$1:$I$89,5,0)</f>
        <v>9.7543306765146564E-14</v>
      </c>
      <c r="CA166" s="14">
        <f t="shared" si="170"/>
        <v>1.4696264278629426E-12</v>
      </c>
      <c r="CB166" s="22">
        <f t="shared" si="171"/>
        <v>2.7294872878105889E-12</v>
      </c>
      <c r="CC166" s="62">
        <f t="shared" si="119"/>
        <v>288.04417668715496</v>
      </c>
      <c r="CD166" s="62">
        <f ca="1">AVERAGE(OFFSET($CC$3,0,0,'Données projet'!$E$12+1,1))-AVERAGE(OFFSET($H$3,0,0,'Données projet'!$E$12+1,1))</f>
        <v>288.24759203983547</v>
      </c>
      <c r="CE166" s="62">
        <f t="shared" si="148"/>
        <v>188.86613033148794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1.1368683772161603E-13</v>
      </c>
      <c r="CU166" s="18">
        <f>CT166*VLOOKUP('Données projet'!$B$13,Paramètres!$A$1:$I$89,3,0)*VLOOKUP('Données projet'!$B$13,Paramètres!$A$1:$I$89,5,0)</f>
        <v>7.626113074366004E-14</v>
      </c>
      <c r="CV166" s="14">
        <f t="shared" si="173"/>
        <v>1.1823749172251317E-12</v>
      </c>
      <c r="CW166" s="22">
        <f t="shared" si="174"/>
        <v>2.1921244502123119E-12</v>
      </c>
      <c r="CX166" s="62">
        <f t="shared" si="122"/>
        <v>288.04417668715445</v>
      </c>
      <c r="CY166" s="62">
        <f ca="1">AVERAGE(OFFSET($CX$3,0,0,'Données projet'!$E$13+1,1))-AVERAGE(OFFSET($H$3,0,0,'Données projet'!$E$13+1,1))</f>
        <v>240.40157928925146</v>
      </c>
      <c r="CZ166" s="62">
        <f t="shared" si="150"/>
        <v>160.5013084380258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-3.979039320256561E-13</v>
      </c>
      <c r="DP166" s="18">
        <f>DO166*VLOOKUP('Données projet'!$B$14,Paramètres!$A$1:$I$89,3,0)*VLOOKUP('Données projet'!$B$14,Paramètres!$A$1:$I$89,5,0)</f>
        <v>-3.8485268305521461E-13</v>
      </c>
      <c r="DQ166" s="14" t="e">
        <f t="shared" si="176"/>
        <v>#NUM!</v>
      </c>
      <c r="DR166" s="22" t="e">
        <f t="shared" si="177"/>
        <v>#NUM!</v>
      </c>
      <c r="DS166" s="62" t="e">
        <f t="shared" si="125"/>
        <v>#NUM!</v>
      </c>
      <c r="DT166" s="62">
        <f ca="1">AVERAGE(OFFSET($DS$3,0,0,'Données projet'!$E$14+1,1))-AVERAGE(OFFSET($H$3,0,0,'Données projet'!$E$14+1,1))</f>
        <v>398.93296311353788</v>
      </c>
      <c r="DU166" s="62">
        <f t="shared" si="152"/>
        <v>173.19148969173838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-5.6843418860808015E-14</v>
      </c>
      <c r="EK166" s="18">
        <f>EJ166*VLOOKUP('Données projet'!$B$15,Paramètres!$A$1:$I$89,3,0)*VLOOKUP('Données projet'!$B$15,Paramètres!$A$1:$I$89,5,0)</f>
        <v>-4.9658410716801891E-14</v>
      </c>
      <c r="EL166" s="14" t="e">
        <f t="shared" si="179"/>
        <v>#NUM!</v>
      </c>
      <c r="EM166" s="22" t="e">
        <f t="shared" si="180"/>
        <v>#NUM!</v>
      </c>
      <c r="EN166" s="62" t="e">
        <f t="shared" si="128"/>
        <v>#NUM!</v>
      </c>
      <c r="EO166" s="62">
        <f ca="1">AVERAGE(OFFSET($EN$3,0,0,'Données projet'!$E$15+1,1))-AVERAGE(OFFSET($H$3,0,0,'Données projet'!$E$15+1,1))</f>
        <v>226.37420733783091</v>
      </c>
      <c r="EP166" s="62">
        <f t="shared" si="154"/>
        <v>204.10961748628714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6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9">
        <f t="shared" si="110"/>
        <v>183.33333333333334</v>
      </c>
      <c r="I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2.8421709430404007E-13</v>
      </c>
      <c r="O167" s="14">
        <f>N167*VLOOKUP('Données projet'!$B$9,Paramètres!$A$1:$I$89,3,0)*VLOOKUP('Données projet'!$B$9,Paramètres!$A$1:$I$89,5,0)</f>
        <v>1.6626700016786346E-13</v>
      </c>
      <c r="P167" s="14">
        <f t="shared" si="141"/>
        <v>2.3542701735863119E-12</v>
      </c>
      <c r="Q167" s="22">
        <f t="shared" si="162"/>
        <v>4.3899355776218544E-12</v>
      </c>
      <c r="R167" s="62">
        <f t="shared" si="109"/>
        <v>288.13593173018506</v>
      </c>
      <c r="S167" s="62">
        <f ca="1">AVERAGE(OFFSET($R$3,0,0,'Données projet'!$E$9+1,1))-AVERAGE(OFFSET($H$3,0,0,'Données projet'!$E$9+1,1))</f>
        <v>196.48726929442091</v>
      </c>
      <c r="T167" s="62">
        <f t="shared" si="142"/>
        <v>193.28400454669347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1.0771915489362448E-19</v>
      </c>
      <c r="AC167" s="24">
        <f t="shared" si="163"/>
        <v>1.0771915489362448E-19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-3.979039320256561E-13</v>
      </c>
      <c r="AJ167" s="14">
        <f>AI167*VLOOKUP('Données projet'!$B$10,Paramètres!$A$1:$I$89,3,0)*VLOOKUP('Données projet'!$B$10,Paramètres!$A$1:$I$89,5,0)</f>
        <v>-4.0347458707401528E-13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414.29294334114661</v>
      </c>
      <c r="AO167" s="62">
        <f t="shared" si="144"/>
        <v>178.72086185623849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-3.979039320256561E-13</v>
      </c>
      <c r="BE167" s="14">
        <f>BD167*VLOOKUP('Données projet'!$B$11,Paramètres!$A$1:$I$89,3,0)*VLOOKUP('Données projet'!$B$11,Paramètres!$A$1:$I$89,5,0)</f>
        <v>-4.2830379243241627E-13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434.74983403680108</v>
      </c>
      <c r="BJ167" s="62">
        <f t="shared" si="146"/>
        <v>186.0840067781198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1.1368683772161603E-13</v>
      </c>
      <c r="BZ167" s="14">
        <f>BY167*VLOOKUP('Données projet'!$B$12,Paramètres!$A$1:$I$89,3,0)*VLOOKUP('Données projet'!$B$12,Paramètres!$A$1:$I$89,5,0)</f>
        <v>9.7543306765146564E-14</v>
      </c>
      <c r="CA167" s="14">
        <f t="shared" si="170"/>
        <v>1.4696264278629426E-12</v>
      </c>
      <c r="CB167" s="22">
        <f t="shared" si="171"/>
        <v>2.7294872878105889E-12</v>
      </c>
      <c r="CC167" s="62">
        <f t="shared" si="119"/>
        <v>288.13593173018342</v>
      </c>
      <c r="CD167" s="62">
        <f ca="1">AVERAGE(OFFSET($CC$3,0,0,'Données projet'!$E$12+1,1))-AVERAGE(OFFSET($H$3,0,0,'Données projet'!$E$12+1,1))</f>
        <v>288.24759203983547</v>
      </c>
      <c r="CE167" s="62">
        <f t="shared" si="148"/>
        <v>188.86613033148794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1.1368683772161603E-13</v>
      </c>
      <c r="CU167" s="18">
        <f>CT167*VLOOKUP('Données projet'!$B$13,Paramètres!$A$1:$I$89,3,0)*VLOOKUP('Données projet'!$B$13,Paramètres!$A$1:$I$89,5,0)</f>
        <v>7.626113074366004E-14</v>
      </c>
      <c r="CV167" s="14">
        <f t="shared" si="173"/>
        <v>1.1823749172251317E-12</v>
      </c>
      <c r="CW167" s="22">
        <f t="shared" si="174"/>
        <v>2.1921244502123119E-12</v>
      </c>
      <c r="CX167" s="62">
        <f t="shared" si="122"/>
        <v>288.1359317301829</v>
      </c>
      <c r="CY167" s="62">
        <f ca="1">AVERAGE(OFFSET($CX$3,0,0,'Données projet'!$E$13+1,1))-AVERAGE(OFFSET($H$3,0,0,'Données projet'!$E$13+1,1))</f>
        <v>240.40157928925146</v>
      </c>
      <c r="CZ167" s="62">
        <f t="shared" si="150"/>
        <v>160.5013084380258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-3.979039320256561E-13</v>
      </c>
      <c r="DP167" s="18">
        <f>DO167*VLOOKUP('Données projet'!$B$14,Paramètres!$A$1:$I$89,3,0)*VLOOKUP('Données projet'!$B$14,Paramètres!$A$1:$I$89,5,0)</f>
        <v>-3.8485268305521461E-13</v>
      </c>
      <c r="DQ167" s="14" t="e">
        <f t="shared" si="176"/>
        <v>#NUM!</v>
      </c>
      <c r="DR167" s="22" t="e">
        <f t="shared" si="177"/>
        <v>#NUM!</v>
      </c>
      <c r="DS167" s="62" t="e">
        <f t="shared" si="125"/>
        <v>#NUM!</v>
      </c>
      <c r="DT167" s="62">
        <f ca="1">AVERAGE(OFFSET($DS$3,0,0,'Données projet'!$E$14+1,1))-AVERAGE(OFFSET($H$3,0,0,'Données projet'!$E$14+1,1))</f>
        <v>398.93296311353788</v>
      </c>
      <c r="DU167" s="62">
        <f t="shared" si="152"/>
        <v>173.19148969173838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-5.6843418860808015E-14</v>
      </c>
      <c r="EK167" s="18">
        <f>EJ167*VLOOKUP('Données projet'!$B$15,Paramètres!$A$1:$I$89,3,0)*VLOOKUP('Données projet'!$B$15,Paramètres!$A$1:$I$89,5,0)</f>
        <v>-4.9658410716801891E-14</v>
      </c>
      <c r="EL167" s="14" t="e">
        <f t="shared" si="179"/>
        <v>#NUM!</v>
      </c>
      <c r="EM167" s="22" t="e">
        <f t="shared" si="180"/>
        <v>#NUM!</v>
      </c>
      <c r="EN167" s="62" t="e">
        <f t="shared" si="128"/>
        <v>#NUM!</v>
      </c>
      <c r="EO167" s="62">
        <f ca="1">AVERAGE(OFFSET($EN$3,0,0,'Données projet'!$E$15+1,1))-AVERAGE(OFFSET($H$3,0,0,'Données projet'!$E$15+1,1))</f>
        <v>226.37420733783091</v>
      </c>
      <c r="EP167" s="62">
        <f t="shared" si="154"/>
        <v>204.10961748628714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6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9">
        <f t="shared" si="110"/>
        <v>183.33333333333334</v>
      </c>
      <c r="I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2.8421709430404007E-13</v>
      </c>
      <c r="O168" s="14">
        <f>N168*VLOOKUP('Données projet'!$B$9,Paramètres!$A$1:$I$89,3,0)*VLOOKUP('Données projet'!$B$9,Paramètres!$A$1:$I$89,5,0)</f>
        <v>1.6626700016786346E-13</v>
      </c>
      <c r="P168" s="14">
        <f t="shared" si="141"/>
        <v>2.3542701735863119E-12</v>
      </c>
      <c r="Q168" s="22">
        <f t="shared" si="162"/>
        <v>4.3899355776218544E-12</v>
      </c>
      <c r="R168" s="62">
        <f t="shared" si="109"/>
        <v>288.22609502835053</v>
      </c>
      <c r="S168" s="62">
        <f ca="1">AVERAGE(OFFSET($R$3,0,0,'Données projet'!$E$9+1,1))-AVERAGE(OFFSET($H$3,0,0,'Données projet'!$E$9+1,1))</f>
        <v>196.48726929442091</v>
      </c>
      <c r="T168" s="62">
        <f t="shared" si="142"/>
        <v>193.28400454669347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7.6168944888965949E-20</v>
      </c>
      <c r="AC168" s="24">
        <f t="shared" si="163"/>
        <v>7.6168944888965949E-20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-3.979039320256561E-13</v>
      </c>
      <c r="AJ168" s="14">
        <f>AI168*VLOOKUP('Données projet'!$B$10,Paramètres!$A$1:$I$89,3,0)*VLOOKUP('Données projet'!$B$10,Paramètres!$A$1:$I$89,5,0)</f>
        <v>-4.0347458707401528E-13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414.29294334114661</v>
      </c>
      <c r="AO168" s="62">
        <f t="shared" si="144"/>
        <v>178.72086185623849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-3.979039320256561E-13</v>
      </c>
      <c r="BE168" s="14">
        <f>BD168*VLOOKUP('Données projet'!$B$11,Paramètres!$A$1:$I$89,3,0)*VLOOKUP('Données projet'!$B$11,Paramètres!$A$1:$I$89,5,0)</f>
        <v>-4.2830379243241627E-13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434.74983403680108</v>
      </c>
      <c r="BJ168" s="62">
        <f t="shared" si="146"/>
        <v>186.0840067781198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1.1368683772161603E-13</v>
      </c>
      <c r="BZ168" s="14">
        <f>BY168*VLOOKUP('Données projet'!$B$12,Paramètres!$A$1:$I$89,3,0)*VLOOKUP('Données projet'!$B$12,Paramètres!$A$1:$I$89,5,0)</f>
        <v>9.7543306765146564E-14</v>
      </c>
      <c r="CA168" s="14">
        <f t="shared" si="170"/>
        <v>1.4696264278629426E-12</v>
      </c>
      <c r="CB168" s="22">
        <f t="shared" si="171"/>
        <v>2.7294872878105889E-12</v>
      </c>
      <c r="CC168" s="62">
        <f t="shared" si="119"/>
        <v>288.22609502834888</v>
      </c>
      <c r="CD168" s="62">
        <f ca="1">AVERAGE(OFFSET($CC$3,0,0,'Données projet'!$E$12+1,1))-AVERAGE(OFFSET($H$3,0,0,'Données projet'!$E$12+1,1))</f>
        <v>288.24759203983547</v>
      </c>
      <c r="CE168" s="62">
        <f t="shared" si="148"/>
        <v>188.86613033148794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1.1368683772161603E-13</v>
      </c>
      <c r="CU168" s="18">
        <f>CT168*VLOOKUP('Données projet'!$B$13,Paramètres!$A$1:$I$89,3,0)*VLOOKUP('Données projet'!$B$13,Paramètres!$A$1:$I$89,5,0)</f>
        <v>7.626113074366004E-14</v>
      </c>
      <c r="CV168" s="14">
        <f t="shared" si="173"/>
        <v>1.1823749172251317E-12</v>
      </c>
      <c r="CW168" s="22">
        <f t="shared" si="174"/>
        <v>2.1921244502123119E-12</v>
      </c>
      <c r="CX168" s="62">
        <f t="shared" si="122"/>
        <v>288.22609502834837</v>
      </c>
      <c r="CY168" s="62">
        <f ca="1">AVERAGE(OFFSET($CX$3,0,0,'Données projet'!$E$13+1,1))-AVERAGE(OFFSET($H$3,0,0,'Données projet'!$E$13+1,1))</f>
        <v>240.40157928925146</v>
      </c>
      <c r="CZ168" s="62">
        <f t="shared" si="150"/>
        <v>160.5013084380258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-3.979039320256561E-13</v>
      </c>
      <c r="DP168" s="18">
        <f>DO168*VLOOKUP('Données projet'!$B$14,Paramètres!$A$1:$I$89,3,0)*VLOOKUP('Données projet'!$B$14,Paramètres!$A$1:$I$89,5,0)</f>
        <v>-3.8485268305521461E-13</v>
      </c>
      <c r="DQ168" s="14" t="e">
        <f t="shared" si="176"/>
        <v>#NUM!</v>
      </c>
      <c r="DR168" s="22" t="e">
        <f t="shared" si="177"/>
        <v>#NUM!</v>
      </c>
      <c r="DS168" s="62" t="e">
        <f t="shared" si="125"/>
        <v>#NUM!</v>
      </c>
      <c r="DT168" s="62">
        <f ca="1">AVERAGE(OFFSET($DS$3,0,0,'Données projet'!$E$14+1,1))-AVERAGE(OFFSET($H$3,0,0,'Données projet'!$E$14+1,1))</f>
        <v>398.93296311353788</v>
      </c>
      <c r="DU168" s="62">
        <f t="shared" si="152"/>
        <v>173.19148969173838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-5.6843418860808015E-14</v>
      </c>
      <c r="EK168" s="18">
        <f>EJ168*VLOOKUP('Données projet'!$B$15,Paramètres!$A$1:$I$89,3,0)*VLOOKUP('Données projet'!$B$15,Paramètres!$A$1:$I$89,5,0)</f>
        <v>-4.9658410716801891E-14</v>
      </c>
      <c r="EL168" s="14" t="e">
        <f t="shared" si="179"/>
        <v>#NUM!</v>
      </c>
      <c r="EM168" s="22" t="e">
        <f t="shared" si="180"/>
        <v>#NUM!</v>
      </c>
      <c r="EN168" s="62" t="e">
        <f t="shared" si="128"/>
        <v>#NUM!</v>
      </c>
      <c r="EO168" s="62">
        <f ca="1">AVERAGE(OFFSET($EN$3,0,0,'Données projet'!$E$15+1,1))-AVERAGE(OFFSET($H$3,0,0,'Données projet'!$E$15+1,1))</f>
        <v>226.37420733783091</v>
      </c>
      <c r="EP168" s="62">
        <f t="shared" si="154"/>
        <v>204.10961748628714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6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9">
        <f t="shared" si="110"/>
        <v>183.33333333333334</v>
      </c>
      <c r="I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2.8421709430404007E-13</v>
      </c>
      <c r="O169" s="14">
        <f>N169*VLOOKUP('Données projet'!$B$9,Paramètres!$A$1:$I$89,3,0)*VLOOKUP('Données projet'!$B$9,Paramètres!$A$1:$I$89,5,0)</f>
        <v>1.6626700016786346E-13</v>
      </c>
      <c r="P169" s="14">
        <f t="shared" si="141"/>
        <v>2.3542701735863119E-12</v>
      </c>
      <c r="Q169" s="22">
        <f t="shared" si="162"/>
        <v>4.3899355776218544E-12</v>
      </c>
      <c r="R169" s="62">
        <f t="shared" si="109"/>
        <v>288.3146941948678</v>
      </c>
      <c r="S169" s="62">
        <f ca="1">AVERAGE(OFFSET($R$3,0,0,'Données projet'!$E$9+1,1))-AVERAGE(OFFSET($H$3,0,0,'Données projet'!$E$9+1,1))</f>
        <v>196.48726929442091</v>
      </c>
      <c r="T169" s="62">
        <f t="shared" si="142"/>
        <v>193.28400454669347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5.3859577446812244E-20</v>
      </c>
      <c r="AC169" s="24">
        <f t="shared" si="163"/>
        <v>5.3859577446812244E-20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-3.979039320256561E-13</v>
      </c>
      <c r="AJ169" s="14">
        <f>AI169*VLOOKUP('Données projet'!$B$10,Paramètres!$A$1:$I$89,3,0)*VLOOKUP('Données projet'!$B$10,Paramètres!$A$1:$I$89,5,0)</f>
        <v>-4.0347458707401528E-13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414.29294334114661</v>
      </c>
      <c r="AO169" s="62">
        <f t="shared" si="144"/>
        <v>178.72086185623849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-3.979039320256561E-13</v>
      </c>
      <c r="BE169" s="14">
        <f>BD169*VLOOKUP('Données projet'!$B$11,Paramètres!$A$1:$I$89,3,0)*VLOOKUP('Données projet'!$B$11,Paramètres!$A$1:$I$89,5,0)</f>
        <v>-4.2830379243241627E-13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434.74983403680108</v>
      </c>
      <c r="BJ169" s="62">
        <f t="shared" si="146"/>
        <v>186.0840067781198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1.1368683772161603E-13</v>
      </c>
      <c r="BZ169" s="14">
        <f>BY169*VLOOKUP('Données projet'!$B$12,Paramètres!$A$1:$I$89,3,0)*VLOOKUP('Données projet'!$B$12,Paramètres!$A$1:$I$89,5,0)</f>
        <v>9.7543306765146564E-14</v>
      </c>
      <c r="CA169" s="14">
        <f t="shared" si="170"/>
        <v>1.4696264278629426E-12</v>
      </c>
      <c r="CB169" s="22">
        <f t="shared" si="171"/>
        <v>2.7294872878105889E-12</v>
      </c>
      <c r="CC169" s="62">
        <f t="shared" si="119"/>
        <v>288.31469419486615</v>
      </c>
      <c r="CD169" s="62">
        <f ca="1">AVERAGE(OFFSET($CC$3,0,0,'Données projet'!$E$12+1,1))-AVERAGE(OFFSET($H$3,0,0,'Données projet'!$E$12+1,1))</f>
        <v>288.24759203983547</v>
      </c>
      <c r="CE169" s="62">
        <f t="shared" si="148"/>
        <v>188.86613033148794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1.1368683772161603E-13</v>
      </c>
      <c r="CU169" s="18">
        <f>CT169*VLOOKUP('Données projet'!$B$13,Paramètres!$A$1:$I$89,3,0)*VLOOKUP('Données projet'!$B$13,Paramètres!$A$1:$I$89,5,0)</f>
        <v>7.626113074366004E-14</v>
      </c>
      <c r="CV169" s="14">
        <f t="shared" si="173"/>
        <v>1.1823749172251317E-12</v>
      </c>
      <c r="CW169" s="22">
        <f t="shared" si="174"/>
        <v>2.1921244502123119E-12</v>
      </c>
      <c r="CX169" s="62">
        <f t="shared" si="122"/>
        <v>288.31469419486564</v>
      </c>
      <c r="CY169" s="62">
        <f ca="1">AVERAGE(OFFSET($CX$3,0,0,'Données projet'!$E$13+1,1))-AVERAGE(OFFSET($H$3,0,0,'Données projet'!$E$13+1,1))</f>
        <v>240.40157928925146</v>
      </c>
      <c r="CZ169" s="62">
        <f t="shared" si="150"/>
        <v>160.5013084380258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-3.979039320256561E-13</v>
      </c>
      <c r="DP169" s="18">
        <f>DO169*VLOOKUP('Données projet'!$B$14,Paramètres!$A$1:$I$89,3,0)*VLOOKUP('Données projet'!$B$14,Paramètres!$A$1:$I$89,5,0)</f>
        <v>-3.8485268305521461E-13</v>
      </c>
      <c r="DQ169" s="14" t="e">
        <f t="shared" si="176"/>
        <v>#NUM!</v>
      </c>
      <c r="DR169" s="22" t="e">
        <f t="shared" si="177"/>
        <v>#NUM!</v>
      </c>
      <c r="DS169" s="62" t="e">
        <f t="shared" si="125"/>
        <v>#NUM!</v>
      </c>
      <c r="DT169" s="62">
        <f ca="1">AVERAGE(OFFSET($DS$3,0,0,'Données projet'!$E$14+1,1))-AVERAGE(OFFSET($H$3,0,0,'Données projet'!$E$14+1,1))</f>
        <v>398.93296311353788</v>
      </c>
      <c r="DU169" s="62">
        <f t="shared" si="152"/>
        <v>173.19148969173838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-5.6843418860808015E-14</v>
      </c>
      <c r="EK169" s="18">
        <f>EJ169*VLOOKUP('Données projet'!$B$15,Paramètres!$A$1:$I$89,3,0)*VLOOKUP('Données projet'!$B$15,Paramètres!$A$1:$I$89,5,0)</f>
        <v>-4.9658410716801891E-14</v>
      </c>
      <c r="EL169" s="14" t="e">
        <f t="shared" si="179"/>
        <v>#NUM!</v>
      </c>
      <c r="EM169" s="22" t="e">
        <f t="shared" si="180"/>
        <v>#NUM!</v>
      </c>
      <c r="EN169" s="62" t="e">
        <f t="shared" si="128"/>
        <v>#NUM!</v>
      </c>
      <c r="EO169" s="62">
        <f ca="1">AVERAGE(OFFSET($EN$3,0,0,'Données projet'!$E$15+1,1))-AVERAGE(OFFSET($H$3,0,0,'Données projet'!$E$15+1,1))</f>
        <v>226.37420733783091</v>
      </c>
      <c r="EP169" s="62">
        <f t="shared" si="154"/>
        <v>204.10961748628714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6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9">
        <f t="shared" si="110"/>
        <v>183.33333333333334</v>
      </c>
      <c r="I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2.8421709430404007E-13</v>
      </c>
      <c r="O170" s="14">
        <f>N170*VLOOKUP('Données projet'!$B$9,Paramètres!$A$1:$I$89,3,0)*VLOOKUP('Données projet'!$B$9,Paramètres!$A$1:$I$89,5,0)</f>
        <v>1.6626700016786346E-13</v>
      </c>
      <c r="P170" s="14">
        <f t="shared" si="141"/>
        <v>2.3542701735863119E-12</v>
      </c>
      <c r="Q170" s="22">
        <f t="shared" si="162"/>
        <v>4.3899355776218544E-12</v>
      </c>
      <c r="R170" s="62">
        <f t="shared" si="109"/>
        <v>288.40175636392399</v>
      </c>
      <c r="S170" s="62">
        <f ca="1">AVERAGE(OFFSET($R$3,0,0,'Données projet'!$E$9+1,1))-AVERAGE(OFFSET($H$3,0,0,'Données projet'!$E$9+1,1))</f>
        <v>196.48726929442091</v>
      </c>
      <c r="T170" s="62">
        <f t="shared" si="142"/>
        <v>193.28400454669347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3.8084472444482981E-20</v>
      </c>
      <c r="AC170" s="24">
        <f t="shared" si="163"/>
        <v>3.8084472444482981E-20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-3.979039320256561E-13</v>
      </c>
      <c r="AJ170" s="14">
        <f>AI170*VLOOKUP('Données projet'!$B$10,Paramètres!$A$1:$I$89,3,0)*VLOOKUP('Données projet'!$B$10,Paramètres!$A$1:$I$89,5,0)</f>
        <v>-4.0347458707401528E-13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414.29294334114661</v>
      </c>
      <c r="AO170" s="62">
        <f t="shared" si="144"/>
        <v>178.72086185623849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-3.979039320256561E-13</v>
      </c>
      <c r="BE170" s="14">
        <f>BD170*VLOOKUP('Données projet'!$B$11,Paramètres!$A$1:$I$89,3,0)*VLOOKUP('Données projet'!$B$11,Paramètres!$A$1:$I$89,5,0)</f>
        <v>-4.2830379243241627E-13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434.74983403680108</v>
      </c>
      <c r="BJ170" s="62">
        <f t="shared" si="146"/>
        <v>186.0840067781198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1.1368683772161603E-13</v>
      </c>
      <c r="BZ170" s="14">
        <f>BY170*VLOOKUP('Données projet'!$B$12,Paramètres!$A$1:$I$89,3,0)*VLOOKUP('Données projet'!$B$12,Paramètres!$A$1:$I$89,5,0)</f>
        <v>9.7543306765146564E-14</v>
      </c>
      <c r="CA170" s="14">
        <f t="shared" si="170"/>
        <v>1.4696264278629426E-12</v>
      </c>
      <c r="CB170" s="22">
        <f t="shared" si="171"/>
        <v>2.7294872878105889E-12</v>
      </c>
      <c r="CC170" s="62">
        <f t="shared" si="119"/>
        <v>288.40175636392235</v>
      </c>
      <c r="CD170" s="62">
        <f ca="1">AVERAGE(OFFSET($CC$3,0,0,'Données projet'!$E$12+1,1))-AVERAGE(OFFSET($H$3,0,0,'Données projet'!$E$12+1,1))</f>
        <v>288.24759203983547</v>
      </c>
      <c r="CE170" s="62">
        <f t="shared" si="148"/>
        <v>188.86613033148794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1.1368683772161603E-13</v>
      </c>
      <c r="CU170" s="18">
        <f>CT170*VLOOKUP('Données projet'!$B$13,Paramètres!$A$1:$I$89,3,0)*VLOOKUP('Données projet'!$B$13,Paramètres!$A$1:$I$89,5,0)</f>
        <v>7.626113074366004E-14</v>
      </c>
      <c r="CV170" s="14">
        <f t="shared" si="173"/>
        <v>1.1823749172251317E-12</v>
      </c>
      <c r="CW170" s="22">
        <f t="shared" si="174"/>
        <v>2.1921244502123119E-12</v>
      </c>
      <c r="CX170" s="62">
        <f t="shared" si="122"/>
        <v>288.40175636392183</v>
      </c>
      <c r="CY170" s="62">
        <f ca="1">AVERAGE(OFFSET($CX$3,0,0,'Données projet'!$E$13+1,1))-AVERAGE(OFFSET($H$3,0,0,'Données projet'!$E$13+1,1))</f>
        <v>240.40157928925146</v>
      </c>
      <c r="CZ170" s="62">
        <f t="shared" si="150"/>
        <v>160.5013084380258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-3.979039320256561E-13</v>
      </c>
      <c r="DP170" s="18">
        <f>DO170*VLOOKUP('Données projet'!$B$14,Paramètres!$A$1:$I$89,3,0)*VLOOKUP('Données projet'!$B$14,Paramètres!$A$1:$I$89,5,0)</f>
        <v>-3.8485268305521461E-13</v>
      </c>
      <c r="DQ170" s="14" t="e">
        <f t="shared" si="176"/>
        <v>#NUM!</v>
      </c>
      <c r="DR170" s="22" t="e">
        <f t="shared" si="177"/>
        <v>#NUM!</v>
      </c>
      <c r="DS170" s="62" t="e">
        <f t="shared" si="125"/>
        <v>#NUM!</v>
      </c>
      <c r="DT170" s="62">
        <f ca="1">AVERAGE(OFFSET($DS$3,0,0,'Données projet'!$E$14+1,1))-AVERAGE(OFFSET($H$3,0,0,'Données projet'!$E$14+1,1))</f>
        <v>398.93296311353788</v>
      </c>
      <c r="DU170" s="62">
        <f t="shared" si="152"/>
        <v>173.19148969173838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-5.6843418860808015E-14</v>
      </c>
      <c r="EK170" s="18">
        <f>EJ170*VLOOKUP('Données projet'!$B$15,Paramètres!$A$1:$I$89,3,0)*VLOOKUP('Données projet'!$B$15,Paramètres!$A$1:$I$89,5,0)</f>
        <v>-4.9658410716801891E-14</v>
      </c>
      <c r="EL170" s="14" t="e">
        <f t="shared" si="179"/>
        <v>#NUM!</v>
      </c>
      <c r="EM170" s="22" t="e">
        <f t="shared" si="180"/>
        <v>#NUM!</v>
      </c>
      <c r="EN170" s="62" t="e">
        <f t="shared" si="128"/>
        <v>#NUM!</v>
      </c>
      <c r="EO170" s="62">
        <f ca="1">AVERAGE(OFFSET($EN$3,0,0,'Données projet'!$E$15+1,1))-AVERAGE(OFFSET($H$3,0,0,'Données projet'!$E$15+1,1))</f>
        <v>226.37420733783091</v>
      </c>
      <c r="EP170" s="62">
        <f t="shared" si="154"/>
        <v>204.10961748628714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6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9">
        <f t="shared" si="110"/>
        <v>183.33333333333334</v>
      </c>
      <c r="I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2.8421709430404007E-13</v>
      </c>
      <c r="O171" s="14">
        <f>N171*VLOOKUP('Données projet'!$B$9,Paramètres!$A$1:$I$89,3,0)*VLOOKUP('Données projet'!$B$9,Paramètres!$A$1:$I$89,5,0)</f>
        <v>1.6626700016786346E-13</v>
      </c>
      <c r="P171" s="14">
        <f t="shared" si="141"/>
        <v>2.3542701735863119E-12</v>
      </c>
      <c r="Q171" s="22">
        <f t="shared" si="162"/>
        <v>4.3899355776218544E-12</v>
      </c>
      <c r="R171" s="62">
        <f t="shared" si="109"/>
        <v>288.4873081989889</v>
      </c>
      <c r="S171" s="62">
        <f ca="1">AVERAGE(OFFSET($R$3,0,0,'Données projet'!$E$9+1,1))-AVERAGE(OFFSET($H$3,0,0,'Données projet'!$E$9+1,1))</f>
        <v>196.48726929442091</v>
      </c>
      <c r="T171" s="62">
        <f t="shared" si="142"/>
        <v>193.28400454669347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2.6929788723406128E-20</v>
      </c>
      <c r="AC171" s="24">
        <f t="shared" si="163"/>
        <v>2.6929788723406128E-20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-3.979039320256561E-13</v>
      </c>
      <c r="AJ171" s="14">
        <f>AI171*VLOOKUP('Données projet'!$B$10,Paramètres!$A$1:$I$89,3,0)*VLOOKUP('Données projet'!$B$10,Paramètres!$A$1:$I$89,5,0)</f>
        <v>-4.0347458707401528E-13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414.29294334114661</v>
      </c>
      <c r="AO171" s="62">
        <f t="shared" si="144"/>
        <v>178.72086185623849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-3.979039320256561E-13</v>
      </c>
      <c r="BE171" s="14">
        <f>BD171*VLOOKUP('Données projet'!$B$11,Paramètres!$A$1:$I$89,3,0)*VLOOKUP('Données projet'!$B$11,Paramètres!$A$1:$I$89,5,0)</f>
        <v>-4.2830379243241627E-13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434.74983403680108</v>
      </c>
      <c r="BJ171" s="62">
        <f t="shared" si="146"/>
        <v>186.0840067781198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1.1368683772161603E-13</v>
      </c>
      <c r="BZ171" s="14">
        <f>BY171*VLOOKUP('Données projet'!$B$12,Paramètres!$A$1:$I$89,3,0)*VLOOKUP('Données projet'!$B$12,Paramètres!$A$1:$I$89,5,0)</f>
        <v>9.7543306765146564E-14</v>
      </c>
      <c r="CA171" s="14">
        <f t="shared" si="170"/>
        <v>1.4696264278629426E-12</v>
      </c>
      <c r="CB171" s="22">
        <f t="shared" si="171"/>
        <v>2.7294872878105889E-12</v>
      </c>
      <c r="CC171" s="62">
        <f t="shared" si="119"/>
        <v>288.48730819898725</v>
      </c>
      <c r="CD171" s="62">
        <f ca="1">AVERAGE(OFFSET($CC$3,0,0,'Données projet'!$E$12+1,1))-AVERAGE(OFFSET($H$3,0,0,'Données projet'!$E$12+1,1))</f>
        <v>288.24759203983547</v>
      </c>
      <c r="CE171" s="62">
        <f t="shared" si="148"/>
        <v>188.86613033148794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1.1368683772161603E-13</v>
      </c>
      <c r="CU171" s="18">
        <f>CT171*VLOOKUP('Données projet'!$B$13,Paramètres!$A$1:$I$89,3,0)*VLOOKUP('Données projet'!$B$13,Paramètres!$A$1:$I$89,5,0)</f>
        <v>7.626113074366004E-14</v>
      </c>
      <c r="CV171" s="14">
        <f t="shared" si="173"/>
        <v>1.1823749172251317E-12</v>
      </c>
      <c r="CW171" s="22">
        <f t="shared" si="174"/>
        <v>2.1921244502123119E-12</v>
      </c>
      <c r="CX171" s="62">
        <f t="shared" si="122"/>
        <v>288.48730819898674</v>
      </c>
      <c r="CY171" s="62">
        <f ca="1">AVERAGE(OFFSET($CX$3,0,0,'Données projet'!$E$13+1,1))-AVERAGE(OFFSET($H$3,0,0,'Données projet'!$E$13+1,1))</f>
        <v>240.40157928925146</v>
      </c>
      <c r="CZ171" s="62">
        <f t="shared" si="150"/>
        <v>160.5013084380258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-3.979039320256561E-13</v>
      </c>
      <c r="DP171" s="18">
        <f>DO171*VLOOKUP('Données projet'!$B$14,Paramètres!$A$1:$I$89,3,0)*VLOOKUP('Données projet'!$B$14,Paramètres!$A$1:$I$89,5,0)</f>
        <v>-3.8485268305521461E-13</v>
      </c>
      <c r="DQ171" s="14" t="e">
        <f t="shared" si="176"/>
        <v>#NUM!</v>
      </c>
      <c r="DR171" s="22" t="e">
        <f t="shared" si="177"/>
        <v>#NUM!</v>
      </c>
      <c r="DS171" s="62" t="e">
        <f t="shared" si="125"/>
        <v>#NUM!</v>
      </c>
      <c r="DT171" s="62">
        <f ca="1">AVERAGE(OFFSET($DS$3,0,0,'Données projet'!$E$14+1,1))-AVERAGE(OFFSET($H$3,0,0,'Données projet'!$E$14+1,1))</f>
        <v>398.93296311353788</v>
      </c>
      <c r="DU171" s="62">
        <f t="shared" si="152"/>
        <v>173.19148969173838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-5.6843418860808015E-14</v>
      </c>
      <c r="EK171" s="18">
        <f>EJ171*VLOOKUP('Données projet'!$B$15,Paramètres!$A$1:$I$89,3,0)*VLOOKUP('Données projet'!$B$15,Paramètres!$A$1:$I$89,5,0)</f>
        <v>-4.9658410716801891E-14</v>
      </c>
      <c r="EL171" s="14" t="e">
        <f t="shared" si="179"/>
        <v>#NUM!</v>
      </c>
      <c r="EM171" s="22" t="e">
        <f t="shared" si="180"/>
        <v>#NUM!</v>
      </c>
      <c r="EN171" s="62" t="e">
        <f t="shared" si="128"/>
        <v>#NUM!</v>
      </c>
      <c r="EO171" s="62">
        <f ca="1">AVERAGE(OFFSET($EN$3,0,0,'Données projet'!$E$15+1,1))-AVERAGE(OFFSET($H$3,0,0,'Données projet'!$E$15+1,1))</f>
        <v>226.37420733783091</v>
      </c>
      <c r="EP171" s="62">
        <f t="shared" si="154"/>
        <v>204.10961748628714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6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9">
        <f t="shared" si="110"/>
        <v>183.33333333333334</v>
      </c>
      <c r="I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2.8421709430404007E-13</v>
      </c>
      <c r="O172" s="14">
        <f>N172*VLOOKUP('Données projet'!$B$9,Paramètres!$A$1:$I$89,3,0)*VLOOKUP('Données projet'!$B$9,Paramètres!$A$1:$I$89,5,0)</f>
        <v>1.6626700016786346E-13</v>
      </c>
      <c r="P172" s="14">
        <f t="shared" si="141"/>
        <v>2.3542701735863119E-12</v>
      </c>
      <c r="Q172" s="22">
        <f t="shared" si="162"/>
        <v>4.3899355776218544E-12</v>
      </c>
      <c r="R172" s="62">
        <f t="shared" si="109"/>
        <v>288.5713759009808</v>
      </c>
      <c r="S172" s="62">
        <f ca="1">AVERAGE(OFFSET($R$3,0,0,'Données projet'!$E$9+1,1))-AVERAGE(OFFSET($H$3,0,0,'Données projet'!$E$9+1,1))</f>
        <v>196.48726929442091</v>
      </c>
      <c r="T172" s="62">
        <f t="shared" si="142"/>
        <v>193.28400454669347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1.9042236222241493E-20</v>
      </c>
      <c r="AC172" s="24">
        <f t="shared" si="163"/>
        <v>1.9042236222241493E-20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-3.979039320256561E-13</v>
      </c>
      <c r="AJ172" s="14">
        <f>AI172*VLOOKUP('Données projet'!$B$10,Paramètres!$A$1:$I$89,3,0)*VLOOKUP('Données projet'!$B$10,Paramètres!$A$1:$I$89,5,0)</f>
        <v>-4.0347458707401528E-13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414.29294334114661</v>
      </c>
      <c r="AO172" s="62">
        <f t="shared" si="144"/>
        <v>178.72086185623849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-3.979039320256561E-13</v>
      </c>
      <c r="BE172" s="14">
        <f>BD172*VLOOKUP('Données projet'!$B$11,Paramètres!$A$1:$I$89,3,0)*VLOOKUP('Données projet'!$B$11,Paramètres!$A$1:$I$89,5,0)</f>
        <v>-4.2830379243241627E-13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434.74983403680108</v>
      </c>
      <c r="BJ172" s="62">
        <f t="shared" si="146"/>
        <v>186.0840067781198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1.1368683772161603E-13</v>
      </c>
      <c r="BZ172" s="14">
        <f>BY172*VLOOKUP('Données projet'!$B$12,Paramètres!$A$1:$I$89,3,0)*VLOOKUP('Données projet'!$B$12,Paramètres!$A$1:$I$89,5,0)</f>
        <v>9.7543306765146564E-14</v>
      </c>
      <c r="CA172" s="14">
        <f t="shared" si="170"/>
        <v>1.4696264278629426E-12</v>
      </c>
      <c r="CB172" s="22">
        <f t="shared" si="171"/>
        <v>2.7294872878105889E-12</v>
      </c>
      <c r="CC172" s="62">
        <f t="shared" si="119"/>
        <v>288.57137590097915</v>
      </c>
      <c r="CD172" s="62">
        <f ca="1">AVERAGE(OFFSET($CC$3,0,0,'Données projet'!$E$12+1,1))-AVERAGE(OFFSET($H$3,0,0,'Données projet'!$E$12+1,1))</f>
        <v>288.24759203983547</v>
      </c>
      <c r="CE172" s="62">
        <f t="shared" si="148"/>
        <v>188.86613033148794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1.1368683772161603E-13</v>
      </c>
      <c r="CU172" s="18">
        <f>CT172*VLOOKUP('Données projet'!$B$13,Paramètres!$A$1:$I$89,3,0)*VLOOKUP('Données projet'!$B$13,Paramètres!$A$1:$I$89,5,0)</f>
        <v>7.626113074366004E-14</v>
      </c>
      <c r="CV172" s="14">
        <f t="shared" si="173"/>
        <v>1.1823749172251317E-12</v>
      </c>
      <c r="CW172" s="22">
        <f t="shared" si="174"/>
        <v>2.1921244502123119E-12</v>
      </c>
      <c r="CX172" s="62">
        <f t="shared" si="122"/>
        <v>288.57137590097864</v>
      </c>
      <c r="CY172" s="62">
        <f ca="1">AVERAGE(OFFSET($CX$3,0,0,'Données projet'!$E$13+1,1))-AVERAGE(OFFSET($H$3,0,0,'Données projet'!$E$13+1,1))</f>
        <v>240.40157928925146</v>
      </c>
      <c r="CZ172" s="62">
        <f t="shared" si="150"/>
        <v>160.5013084380258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-3.979039320256561E-13</v>
      </c>
      <c r="DP172" s="18">
        <f>DO172*VLOOKUP('Données projet'!$B$14,Paramètres!$A$1:$I$89,3,0)*VLOOKUP('Données projet'!$B$14,Paramètres!$A$1:$I$89,5,0)</f>
        <v>-3.8485268305521461E-13</v>
      </c>
      <c r="DQ172" s="14" t="e">
        <f t="shared" si="176"/>
        <v>#NUM!</v>
      </c>
      <c r="DR172" s="22" t="e">
        <f t="shared" si="177"/>
        <v>#NUM!</v>
      </c>
      <c r="DS172" s="62" t="e">
        <f t="shared" si="125"/>
        <v>#NUM!</v>
      </c>
      <c r="DT172" s="62">
        <f ca="1">AVERAGE(OFFSET($DS$3,0,0,'Données projet'!$E$14+1,1))-AVERAGE(OFFSET($H$3,0,0,'Données projet'!$E$14+1,1))</f>
        <v>398.93296311353788</v>
      </c>
      <c r="DU172" s="62">
        <f t="shared" si="152"/>
        <v>173.19148969173838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-5.6843418860808015E-14</v>
      </c>
      <c r="EK172" s="18">
        <f>EJ172*VLOOKUP('Données projet'!$B$15,Paramètres!$A$1:$I$89,3,0)*VLOOKUP('Données projet'!$B$15,Paramètres!$A$1:$I$89,5,0)</f>
        <v>-4.9658410716801891E-14</v>
      </c>
      <c r="EL172" s="14" t="e">
        <f t="shared" si="179"/>
        <v>#NUM!</v>
      </c>
      <c r="EM172" s="22" t="e">
        <f t="shared" si="180"/>
        <v>#NUM!</v>
      </c>
      <c r="EN172" s="62" t="e">
        <f t="shared" si="128"/>
        <v>#NUM!</v>
      </c>
      <c r="EO172" s="62">
        <f ca="1">AVERAGE(OFFSET($EN$3,0,0,'Données projet'!$E$15+1,1))-AVERAGE(OFFSET($H$3,0,0,'Données projet'!$E$15+1,1))</f>
        <v>226.37420733783091</v>
      </c>
      <c r="EP172" s="62">
        <f t="shared" si="154"/>
        <v>204.10961748628714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6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9">
        <f t="shared" si="110"/>
        <v>183.33333333333334</v>
      </c>
      <c r="I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2.8421709430404007E-13</v>
      </c>
      <c r="O173" s="14">
        <f>N173*VLOOKUP('Données projet'!$B$9,Paramètres!$A$1:$I$89,3,0)*VLOOKUP('Données projet'!$B$9,Paramètres!$A$1:$I$89,5,0)</f>
        <v>1.6626700016786346E-13</v>
      </c>
      <c r="P173" s="14">
        <f t="shared" si="141"/>
        <v>2.3542701735863119E-12</v>
      </c>
      <c r="Q173" s="22">
        <f t="shared" si="162"/>
        <v>4.3899355776218544E-12</v>
      </c>
      <c r="R173" s="62">
        <f t="shared" si="109"/>
        <v>288.65398521629027</v>
      </c>
      <c r="S173" s="62">
        <f ca="1">AVERAGE(OFFSET($R$3,0,0,'Données projet'!$E$9+1,1))-AVERAGE(OFFSET($H$3,0,0,'Données projet'!$E$9+1,1))</f>
        <v>196.48726929442091</v>
      </c>
      <c r="T173" s="62">
        <f t="shared" si="142"/>
        <v>193.28400454669347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1.3464894361703066E-20</v>
      </c>
      <c r="AC173" s="24">
        <f t="shared" si="163"/>
        <v>1.3464894361703066E-20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-3.979039320256561E-13</v>
      </c>
      <c r="AJ173" s="14">
        <f>AI173*VLOOKUP('Données projet'!$B$10,Paramètres!$A$1:$I$89,3,0)*VLOOKUP('Données projet'!$B$10,Paramètres!$A$1:$I$89,5,0)</f>
        <v>-4.0347458707401528E-13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414.29294334114661</v>
      </c>
      <c r="AO173" s="62">
        <f t="shared" si="144"/>
        <v>178.72086185623849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-3.979039320256561E-13</v>
      </c>
      <c r="BE173" s="14">
        <f>BD173*VLOOKUP('Données projet'!$B$11,Paramètres!$A$1:$I$89,3,0)*VLOOKUP('Données projet'!$B$11,Paramètres!$A$1:$I$89,5,0)</f>
        <v>-4.2830379243241627E-13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434.74983403680108</v>
      </c>
      <c r="BJ173" s="62">
        <f t="shared" si="146"/>
        <v>186.0840067781198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1.1368683772161603E-13</v>
      </c>
      <c r="BZ173" s="14">
        <f>BY173*VLOOKUP('Données projet'!$B$12,Paramètres!$A$1:$I$89,3,0)*VLOOKUP('Données projet'!$B$12,Paramètres!$A$1:$I$89,5,0)</f>
        <v>9.7543306765146564E-14</v>
      </c>
      <c r="CA173" s="14">
        <f t="shared" si="170"/>
        <v>1.4696264278629426E-12</v>
      </c>
      <c r="CB173" s="22">
        <f t="shared" si="171"/>
        <v>2.7294872878105889E-12</v>
      </c>
      <c r="CC173" s="62">
        <f t="shared" si="119"/>
        <v>288.65398521628862</v>
      </c>
      <c r="CD173" s="62">
        <f ca="1">AVERAGE(OFFSET($CC$3,0,0,'Données projet'!$E$12+1,1))-AVERAGE(OFFSET($H$3,0,0,'Données projet'!$E$12+1,1))</f>
        <v>288.24759203983547</v>
      </c>
      <c r="CE173" s="62">
        <f t="shared" si="148"/>
        <v>188.86613033148794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1.1368683772161603E-13</v>
      </c>
      <c r="CU173" s="18">
        <f>CT173*VLOOKUP('Données projet'!$B$13,Paramètres!$A$1:$I$89,3,0)*VLOOKUP('Données projet'!$B$13,Paramètres!$A$1:$I$89,5,0)</f>
        <v>7.626113074366004E-14</v>
      </c>
      <c r="CV173" s="14">
        <f t="shared" si="173"/>
        <v>1.1823749172251317E-12</v>
      </c>
      <c r="CW173" s="22">
        <f t="shared" si="174"/>
        <v>2.1921244502123119E-12</v>
      </c>
      <c r="CX173" s="62">
        <f t="shared" si="122"/>
        <v>288.65398521628811</v>
      </c>
      <c r="CY173" s="62">
        <f ca="1">AVERAGE(OFFSET($CX$3,0,0,'Données projet'!$E$13+1,1))-AVERAGE(OFFSET($H$3,0,0,'Données projet'!$E$13+1,1))</f>
        <v>240.40157928925146</v>
      </c>
      <c r="CZ173" s="62">
        <f t="shared" si="150"/>
        <v>160.5013084380258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-3.979039320256561E-13</v>
      </c>
      <c r="DP173" s="18">
        <f>DO173*VLOOKUP('Données projet'!$B$14,Paramètres!$A$1:$I$89,3,0)*VLOOKUP('Données projet'!$B$14,Paramètres!$A$1:$I$89,5,0)</f>
        <v>-3.8485268305521461E-13</v>
      </c>
      <c r="DQ173" s="14" t="e">
        <f t="shared" si="176"/>
        <v>#NUM!</v>
      </c>
      <c r="DR173" s="22" t="e">
        <f t="shared" si="177"/>
        <v>#NUM!</v>
      </c>
      <c r="DS173" s="62" t="e">
        <f t="shared" si="125"/>
        <v>#NUM!</v>
      </c>
      <c r="DT173" s="62">
        <f ca="1">AVERAGE(OFFSET($DS$3,0,0,'Données projet'!$E$14+1,1))-AVERAGE(OFFSET($H$3,0,0,'Données projet'!$E$14+1,1))</f>
        <v>398.93296311353788</v>
      </c>
      <c r="DU173" s="62">
        <f t="shared" si="152"/>
        <v>173.19148969173838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-5.6843418860808015E-14</v>
      </c>
      <c r="EK173" s="18">
        <f>EJ173*VLOOKUP('Données projet'!$B$15,Paramètres!$A$1:$I$89,3,0)*VLOOKUP('Données projet'!$B$15,Paramètres!$A$1:$I$89,5,0)</f>
        <v>-4.9658410716801891E-14</v>
      </c>
      <c r="EL173" s="14" t="e">
        <f t="shared" si="179"/>
        <v>#NUM!</v>
      </c>
      <c r="EM173" s="22" t="e">
        <f t="shared" si="180"/>
        <v>#NUM!</v>
      </c>
      <c r="EN173" s="62" t="e">
        <f t="shared" si="128"/>
        <v>#NUM!</v>
      </c>
      <c r="EO173" s="62">
        <f ca="1">AVERAGE(OFFSET($EN$3,0,0,'Données projet'!$E$15+1,1))-AVERAGE(OFFSET($H$3,0,0,'Données projet'!$E$15+1,1))</f>
        <v>226.37420733783091</v>
      </c>
      <c r="EP173" s="62">
        <f t="shared" si="154"/>
        <v>204.10961748628714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6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9">
        <f t="shared" si="110"/>
        <v>183.33333333333334</v>
      </c>
      <c r="I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2.8421709430404007E-13</v>
      </c>
      <c r="O174" s="14">
        <f>N174*VLOOKUP('Données projet'!$B$9,Paramètres!$A$1:$I$89,3,0)*VLOOKUP('Données projet'!$B$9,Paramètres!$A$1:$I$89,5,0)</f>
        <v>1.6626700016786346E-13</v>
      </c>
      <c r="P174" s="14">
        <f t="shared" si="141"/>
        <v>2.3542701735863119E-12</v>
      </c>
      <c r="Q174" s="22">
        <f t="shared" si="162"/>
        <v>4.3899355776218544E-12</v>
      </c>
      <c r="R174" s="62">
        <f t="shared" si="109"/>
        <v>288.73516144466589</v>
      </c>
      <c r="S174" s="62">
        <f ca="1">AVERAGE(OFFSET($R$3,0,0,'Données projet'!$E$9+1,1))-AVERAGE(OFFSET($H$3,0,0,'Données projet'!$E$9+1,1))</f>
        <v>196.48726929442091</v>
      </c>
      <c r="T174" s="62">
        <f t="shared" si="142"/>
        <v>193.28400454669347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9.5211181111207482E-21</v>
      </c>
      <c r="AC174" s="24">
        <f t="shared" si="163"/>
        <v>9.5211181111207482E-21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-3.979039320256561E-13</v>
      </c>
      <c r="AJ174" s="14">
        <f>AI174*VLOOKUP('Données projet'!$B$10,Paramètres!$A$1:$I$89,3,0)*VLOOKUP('Données projet'!$B$10,Paramètres!$A$1:$I$89,5,0)</f>
        <v>-4.0347458707401528E-13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414.29294334114661</v>
      </c>
      <c r="AO174" s="62">
        <f t="shared" si="144"/>
        <v>178.72086185623849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-3.979039320256561E-13</v>
      </c>
      <c r="BE174" s="14">
        <f>BD174*VLOOKUP('Données projet'!$B$11,Paramètres!$A$1:$I$89,3,0)*VLOOKUP('Données projet'!$B$11,Paramètres!$A$1:$I$89,5,0)</f>
        <v>-4.2830379243241627E-13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434.74983403680108</v>
      </c>
      <c r="BJ174" s="62">
        <f t="shared" si="146"/>
        <v>186.0840067781198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1.1368683772161603E-13</v>
      </c>
      <c r="BZ174" s="14">
        <f>BY174*VLOOKUP('Données projet'!$B$12,Paramètres!$A$1:$I$89,3,0)*VLOOKUP('Données projet'!$B$12,Paramètres!$A$1:$I$89,5,0)</f>
        <v>9.7543306765146564E-14</v>
      </c>
      <c r="CA174" s="14">
        <f t="shared" si="170"/>
        <v>1.4696264278629426E-12</v>
      </c>
      <c r="CB174" s="22">
        <f t="shared" si="171"/>
        <v>2.7294872878105889E-12</v>
      </c>
      <c r="CC174" s="62">
        <f t="shared" si="119"/>
        <v>288.73516144466424</v>
      </c>
      <c r="CD174" s="62">
        <f ca="1">AVERAGE(OFFSET($CC$3,0,0,'Données projet'!$E$12+1,1))-AVERAGE(OFFSET($H$3,0,0,'Données projet'!$E$12+1,1))</f>
        <v>288.24759203983547</v>
      </c>
      <c r="CE174" s="62">
        <f t="shared" si="148"/>
        <v>188.86613033148794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1.1368683772161603E-13</v>
      </c>
      <c r="CU174" s="18">
        <f>CT174*VLOOKUP('Données projet'!$B$13,Paramètres!$A$1:$I$89,3,0)*VLOOKUP('Données projet'!$B$13,Paramètres!$A$1:$I$89,5,0)</f>
        <v>7.626113074366004E-14</v>
      </c>
      <c r="CV174" s="14">
        <f t="shared" si="173"/>
        <v>1.1823749172251317E-12</v>
      </c>
      <c r="CW174" s="22">
        <f t="shared" si="174"/>
        <v>2.1921244502123119E-12</v>
      </c>
      <c r="CX174" s="62">
        <f t="shared" si="122"/>
        <v>288.73516144466373</v>
      </c>
      <c r="CY174" s="62">
        <f ca="1">AVERAGE(OFFSET($CX$3,0,0,'Données projet'!$E$13+1,1))-AVERAGE(OFFSET($H$3,0,0,'Données projet'!$E$13+1,1))</f>
        <v>240.40157928925146</v>
      </c>
      <c r="CZ174" s="62">
        <f t="shared" si="150"/>
        <v>160.5013084380258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-3.979039320256561E-13</v>
      </c>
      <c r="DP174" s="18">
        <f>DO174*VLOOKUP('Données projet'!$B$14,Paramètres!$A$1:$I$89,3,0)*VLOOKUP('Données projet'!$B$14,Paramètres!$A$1:$I$89,5,0)</f>
        <v>-3.8485268305521461E-13</v>
      </c>
      <c r="DQ174" s="14" t="e">
        <f t="shared" si="176"/>
        <v>#NUM!</v>
      </c>
      <c r="DR174" s="22" t="e">
        <f t="shared" si="177"/>
        <v>#NUM!</v>
      </c>
      <c r="DS174" s="62" t="e">
        <f t="shared" si="125"/>
        <v>#NUM!</v>
      </c>
      <c r="DT174" s="62">
        <f ca="1">AVERAGE(OFFSET($DS$3,0,0,'Données projet'!$E$14+1,1))-AVERAGE(OFFSET($H$3,0,0,'Données projet'!$E$14+1,1))</f>
        <v>398.93296311353788</v>
      </c>
      <c r="DU174" s="62">
        <f t="shared" si="152"/>
        <v>173.19148969173838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-5.6843418860808015E-14</v>
      </c>
      <c r="EK174" s="18">
        <f>EJ174*VLOOKUP('Données projet'!$B$15,Paramètres!$A$1:$I$89,3,0)*VLOOKUP('Données projet'!$B$15,Paramètres!$A$1:$I$89,5,0)</f>
        <v>-4.9658410716801891E-14</v>
      </c>
      <c r="EL174" s="14" t="e">
        <f t="shared" si="179"/>
        <v>#NUM!</v>
      </c>
      <c r="EM174" s="22" t="e">
        <f t="shared" si="180"/>
        <v>#NUM!</v>
      </c>
      <c r="EN174" s="62" t="e">
        <f t="shared" si="128"/>
        <v>#NUM!</v>
      </c>
      <c r="EO174" s="62">
        <f ca="1">AVERAGE(OFFSET($EN$3,0,0,'Données projet'!$E$15+1,1))-AVERAGE(OFFSET($H$3,0,0,'Données projet'!$E$15+1,1))</f>
        <v>226.37420733783091</v>
      </c>
      <c r="EP174" s="62">
        <f t="shared" si="154"/>
        <v>204.10961748628714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6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9">
        <f t="shared" si="110"/>
        <v>183.33333333333334</v>
      </c>
      <c r="I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2.8421709430404007E-13</v>
      </c>
      <c r="O175" s="14">
        <f>N175*VLOOKUP('Données projet'!$B$9,Paramètres!$A$1:$I$89,3,0)*VLOOKUP('Données projet'!$B$9,Paramètres!$A$1:$I$89,5,0)</f>
        <v>1.6626700016786346E-13</v>
      </c>
      <c r="P175" s="14">
        <f t="shared" si="141"/>
        <v>2.3542701735863119E-12</v>
      </c>
      <c r="Q175" s="22">
        <f t="shared" si="162"/>
        <v>4.3899355776218544E-12</v>
      </c>
      <c r="R175" s="62">
        <f t="shared" si="109"/>
        <v>288.81492944696203</v>
      </c>
      <c r="S175" s="62">
        <f ca="1">AVERAGE(OFFSET($R$3,0,0,'Données projet'!$E$9+1,1))-AVERAGE(OFFSET($H$3,0,0,'Données projet'!$E$9+1,1))</f>
        <v>196.48726929442091</v>
      </c>
      <c r="T175" s="62">
        <f t="shared" si="142"/>
        <v>193.28400454669347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6.7324471808515343E-21</v>
      </c>
      <c r="AC175" s="24">
        <f t="shared" si="163"/>
        <v>6.7324471808515343E-21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-3.979039320256561E-13</v>
      </c>
      <c r="AJ175" s="14">
        <f>AI175*VLOOKUP('Données projet'!$B$10,Paramètres!$A$1:$I$89,3,0)*VLOOKUP('Données projet'!$B$10,Paramètres!$A$1:$I$89,5,0)</f>
        <v>-4.0347458707401528E-13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414.29294334114661</v>
      </c>
      <c r="AO175" s="62">
        <f t="shared" si="144"/>
        <v>178.72086185623849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-3.979039320256561E-13</v>
      </c>
      <c r="BE175" s="14">
        <f>BD175*VLOOKUP('Données projet'!$B$11,Paramètres!$A$1:$I$89,3,0)*VLOOKUP('Données projet'!$B$11,Paramètres!$A$1:$I$89,5,0)</f>
        <v>-4.2830379243241627E-13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434.74983403680108</v>
      </c>
      <c r="BJ175" s="62">
        <f t="shared" si="146"/>
        <v>186.0840067781198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1.1368683772161603E-13</v>
      </c>
      <c r="BZ175" s="14">
        <f>BY175*VLOOKUP('Données projet'!$B$12,Paramètres!$A$1:$I$89,3,0)*VLOOKUP('Données projet'!$B$12,Paramètres!$A$1:$I$89,5,0)</f>
        <v>9.7543306765146564E-14</v>
      </c>
      <c r="CA175" s="14">
        <f t="shared" si="170"/>
        <v>1.4696264278629426E-12</v>
      </c>
      <c r="CB175" s="22">
        <f t="shared" si="171"/>
        <v>2.7294872878105889E-12</v>
      </c>
      <c r="CC175" s="62">
        <f t="shared" si="119"/>
        <v>288.81492944696038</v>
      </c>
      <c r="CD175" s="62">
        <f ca="1">AVERAGE(OFFSET($CC$3,0,0,'Données projet'!$E$12+1,1))-AVERAGE(OFFSET($H$3,0,0,'Données projet'!$E$12+1,1))</f>
        <v>288.24759203983547</v>
      </c>
      <c r="CE175" s="62">
        <f t="shared" si="148"/>
        <v>188.86613033148794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1.1368683772161603E-13</v>
      </c>
      <c r="CU175" s="18">
        <f>CT175*VLOOKUP('Données projet'!$B$13,Paramètres!$A$1:$I$89,3,0)*VLOOKUP('Données projet'!$B$13,Paramètres!$A$1:$I$89,5,0)</f>
        <v>7.626113074366004E-14</v>
      </c>
      <c r="CV175" s="14">
        <f t="shared" si="173"/>
        <v>1.1823749172251317E-12</v>
      </c>
      <c r="CW175" s="22">
        <f t="shared" si="174"/>
        <v>2.1921244502123119E-12</v>
      </c>
      <c r="CX175" s="62">
        <f t="shared" si="122"/>
        <v>288.81492944695987</v>
      </c>
      <c r="CY175" s="62">
        <f ca="1">AVERAGE(OFFSET($CX$3,0,0,'Données projet'!$E$13+1,1))-AVERAGE(OFFSET($H$3,0,0,'Données projet'!$E$13+1,1))</f>
        <v>240.40157928925146</v>
      </c>
      <c r="CZ175" s="62">
        <f t="shared" si="150"/>
        <v>160.5013084380258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-3.979039320256561E-13</v>
      </c>
      <c r="DP175" s="18">
        <f>DO175*VLOOKUP('Données projet'!$B$14,Paramètres!$A$1:$I$89,3,0)*VLOOKUP('Données projet'!$B$14,Paramètres!$A$1:$I$89,5,0)</f>
        <v>-3.8485268305521461E-13</v>
      </c>
      <c r="DQ175" s="14" t="e">
        <f t="shared" si="176"/>
        <v>#NUM!</v>
      </c>
      <c r="DR175" s="22" t="e">
        <f t="shared" si="177"/>
        <v>#NUM!</v>
      </c>
      <c r="DS175" s="62" t="e">
        <f t="shared" si="125"/>
        <v>#NUM!</v>
      </c>
      <c r="DT175" s="62">
        <f ca="1">AVERAGE(OFFSET($DS$3,0,0,'Données projet'!$E$14+1,1))-AVERAGE(OFFSET($H$3,0,0,'Données projet'!$E$14+1,1))</f>
        <v>398.93296311353788</v>
      </c>
      <c r="DU175" s="62">
        <f t="shared" si="152"/>
        <v>173.19148969173838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-5.6843418860808015E-14</v>
      </c>
      <c r="EK175" s="18">
        <f>EJ175*VLOOKUP('Données projet'!$B$15,Paramètres!$A$1:$I$89,3,0)*VLOOKUP('Données projet'!$B$15,Paramètres!$A$1:$I$89,5,0)</f>
        <v>-4.9658410716801891E-14</v>
      </c>
      <c r="EL175" s="14" t="e">
        <f t="shared" si="179"/>
        <v>#NUM!</v>
      </c>
      <c r="EM175" s="22" t="e">
        <f t="shared" si="180"/>
        <v>#NUM!</v>
      </c>
      <c r="EN175" s="62" t="e">
        <f t="shared" si="128"/>
        <v>#NUM!</v>
      </c>
      <c r="EO175" s="62">
        <f ca="1">AVERAGE(OFFSET($EN$3,0,0,'Données projet'!$E$15+1,1))-AVERAGE(OFFSET($H$3,0,0,'Données projet'!$E$15+1,1))</f>
        <v>226.37420733783091</v>
      </c>
      <c r="EP175" s="62">
        <f t="shared" si="154"/>
        <v>204.10961748628714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6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9">
        <f t="shared" si="110"/>
        <v>183.33333333333334</v>
      </c>
      <c r="I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2.8421709430404007E-13</v>
      </c>
      <c r="O176" s="14">
        <f>N176*VLOOKUP('Données projet'!$B$9,Paramètres!$A$1:$I$89,3,0)*VLOOKUP('Données projet'!$B$9,Paramètres!$A$1:$I$89,5,0)</f>
        <v>1.6626700016786346E-13</v>
      </c>
      <c r="P176" s="14">
        <f t="shared" si="141"/>
        <v>2.3542701735863119E-12</v>
      </c>
      <c r="Q176" s="22">
        <f t="shared" si="162"/>
        <v>4.3899355776218544E-12</v>
      </c>
      <c r="R176" s="62">
        <f t="shared" si="109"/>
        <v>288.89331365275285</v>
      </c>
      <c r="S176" s="62">
        <f ca="1">AVERAGE(OFFSET($R$3,0,0,'Données projet'!$E$9+1,1))-AVERAGE(OFFSET($H$3,0,0,'Données projet'!$E$9+1,1))</f>
        <v>196.48726929442091</v>
      </c>
      <c r="T176" s="62">
        <f t="shared" si="142"/>
        <v>193.28400454669347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4.7605590555603748E-21</v>
      </c>
      <c r="AC176" s="24">
        <f t="shared" si="163"/>
        <v>4.7605590555603748E-21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-3.979039320256561E-13</v>
      </c>
      <c r="AJ176" s="14">
        <f>AI176*VLOOKUP('Données projet'!$B$10,Paramètres!$A$1:$I$89,3,0)*VLOOKUP('Données projet'!$B$10,Paramètres!$A$1:$I$89,5,0)</f>
        <v>-4.0347458707401528E-13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414.29294334114661</v>
      </c>
      <c r="AO176" s="62">
        <f t="shared" si="144"/>
        <v>178.72086185623849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-3.979039320256561E-13</v>
      </c>
      <c r="BE176" s="14">
        <f>BD176*VLOOKUP('Données projet'!$B$11,Paramètres!$A$1:$I$89,3,0)*VLOOKUP('Données projet'!$B$11,Paramètres!$A$1:$I$89,5,0)</f>
        <v>-4.2830379243241627E-13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434.74983403680108</v>
      </c>
      <c r="BJ176" s="62">
        <f t="shared" si="146"/>
        <v>186.0840067781198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1.1368683772161603E-13</v>
      </c>
      <c r="BZ176" s="14">
        <f>BY176*VLOOKUP('Données projet'!$B$12,Paramètres!$A$1:$I$89,3,0)*VLOOKUP('Données projet'!$B$12,Paramètres!$A$1:$I$89,5,0)</f>
        <v>9.7543306765146564E-14</v>
      </c>
      <c r="CA176" s="14">
        <f t="shared" si="170"/>
        <v>1.4696264278629426E-12</v>
      </c>
      <c r="CB176" s="22">
        <f t="shared" si="171"/>
        <v>2.7294872878105889E-12</v>
      </c>
      <c r="CC176" s="62">
        <f t="shared" si="119"/>
        <v>288.8933136527512</v>
      </c>
      <c r="CD176" s="62">
        <f ca="1">AVERAGE(OFFSET($CC$3,0,0,'Données projet'!$E$12+1,1))-AVERAGE(OFFSET($H$3,0,0,'Données projet'!$E$12+1,1))</f>
        <v>288.24759203983547</v>
      </c>
      <c r="CE176" s="62">
        <f t="shared" si="148"/>
        <v>188.86613033148794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1.1368683772161603E-13</v>
      </c>
      <c r="CU176" s="18">
        <f>CT176*VLOOKUP('Données projet'!$B$13,Paramètres!$A$1:$I$89,3,0)*VLOOKUP('Données projet'!$B$13,Paramètres!$A$1:$I$89,5,0)</f>
        <v>7.626113074366004E-14</v>
      </c>
      <c r="CV176" s="14">
        <f t="shared" si="173"/>
        <v>1.1823749172251317E-12</v>
      </c>
      <c r="CW176" s="22">
        <f t="shared" si="174"/>
        <v>2.1921244502123119E-12</v>
      </c>
      <c r="CX176" s="62">
        <f t="shared" si="122"/>
        <v>288.89331365275069</v>
      </c>
      <c r="CY176" s="62">
        <f ca="1">AVERAGE(OFFSET($CX$3,0,0,'Données projet'!$E$13+1,1))-AVERAGE(OFFSET($H$3,0,0,'Données projet'!$E$13+1,1))</f>
        <v>240.40157928925146</v>
      </c>
      <c r="CZ176" s="62">
        <f t="shared" si="150"/>
        <v>160.5013084380258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-3.979039320256561E-13</v>
      </c>
      <c r="DP176" s="18">
        <f>DO176*VLOOKUP('Données projet'!$B$14,Paramètres!$A$1:$I$89,3,0)*VLOOKUP('Données projet'!$B$14,Paramètres!$A$1:$I$89,5,0)</f>
        <v>-3.8485268305521461E-13</v>
      </c>
      <c r="DQ176" s="14" t="e">
        <f t="shared" si="176"/>
        <v>#NUM!</v>
      </c>
      <c r="DR176" s="22" t="e">
        <f t="shared" si="177"/>
        <v>#NUM!</v>
      </c>
      <c r="DS176" s="62" t="e">
        <f t="shared" si="125"/>
        <v>#NUM!</v>
      </c>
      <c r="DT176" s="62">
        <f ca="1">AVERAGE(OFFSET($DS$3,0,0,'Données projet'!$E$14+1,1))-AVERAGE(OFFSET($H$3,0,0,'Données projet'!$E$14+1,1))</f>
        <v>398.93296311353788</v>
      </c>
      <c r="DU176" s="62">
        <f t="shared" si="152"/>
        <v>173.19148969173838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-5.6843418860808015E-14</v>
      </c>
      <c r="EK176" s="18">
        <f>EJ176*VLOOKUP('Données projet'!$B$15,Paramètres!$A$1:$I$89,3,0)*VLOOKUP('Données projet'!$B$15,Paramètres!$A$1:$I$89,5,0)</f>
        <v>-4.9658410716801891E-14</v>
      </c>
      <c r="EL176" s="14" t="e">
        <f t="shared" si="179"/>
        <v>#NUM!</v>
      </c>
      <c r="EM176" s="22" t="e">
        <f t="shared" si="180"/>
        <v>#NUM!</v>
      </c>
      <c r="EN176" s="62" t="e">
        <f t="shared" si="128"/>
        <v>#NUM!</v>
      </c>
      <c r="EO176" s="62">
        <f ca="1">AVERAGE(OFFSET($EN$3,0,0,'Données projet'!$E$15+1,1))-AVERAGE(OFFSET($H$3,0,0,'Données projet'!$E$15+1,1))</f>
        <v>226.37420733783091</v>
      </c>
      <c r="EP176" s="62">
        <f t="shared" si="154"/>
        <v>204.10961748628714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6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9">
        <f t="shared" si="110"/>
        <v>183.33333333333334</v>
      </c>
      <c r="I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2.8421709430404007E-13</v>
      </c>
      <c r="O177" s="14">
        <f>N177*VLOOKUP('Données projet'!$B$9,Paramètres!$A$1:$I$89,3,0)*VLOOKUP('Données projet'!$B$9,Paramètres!$A$1:$I$89,5,0)</f>
        <v>1.6626700016786346E-13</v>
      </c>
      <c r="P177" s="14">
        <f t="shared" si="141"/>
        <v>2.3542701735863119E-12</v>
      </c>
      <c r="Q177" s="22">
        <f t="shared" si="162"/>
        <v>4.3899355776218544E-12</v>
      </c>
      <c r="R177" s="62">
        <f t="shared" si="109"/>
        <v>288.97033806781411</v>
      </c>
      <c r="S177" s="62">
        <f ca="1">AVERAGE(OFFSET($R$3,0,0,'Données projet'!$E$9+1,1))-AVERAGE(OFFSET($H$3,0,0,'Données projet'!$E$9+1,1))</f>
        <v>196.48726929442091</v>
      </c>
      <c r="T177" s="62">
        <f t="shared" si="142"/>
        <v>193.28400454669347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3.3662235904257675E-21</v>
      </c>
      <c r="AC177" s="24">
        <f t="shared" si="163"/>
        <v>3.3662235904257675E-21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-3.979039320256561E-13</v>
      </c>
      <c r="AJ177" s="14">
        <f>AI177*VLOOKUP('Données projet'!$B$10,Paramètres!$A$1:$I$89,3,0)*VLOOKUP('Données projet'!$B$10,Paramètres!$A$1:$I$89,5,0)</f>
        <v>-4.0347458707401528E-13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414.29294334114661</v>
      </c>
      <c r="AO177" s="62">
        <f t="shared" si="144"/>
        <v>178.72086185623849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-3.979039320256561E-13</v>
      </c>
      <c r="BE177" s="14">
        <f>BD177*VLOOKUP('Données projet'!$B$11,Paramètres!$A$1:$I$89,3,0)*VLOOKUP('Données projet'!$B$11,Paramètres!$A$1:$I$89,5,0)</f>
        <v>-4.2830379243241627E-13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434.74983403680108</v>
      </c>
      <c r="BJ177" s="62">
        <f t="shared" si="146"/>
        <v>186.0840067781198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1.1368683772161603E-13</v>
      </c>
      <c r="BZ177" s="14">
        <f>BY177*VLOOKUP('Données projet'!$B$12,Paramètres!$A$1:$I$89,3,0)*VLOOKUP('Données projet'!$B$12,Paramètres!$A$1:$I$89,5,0)</f>
        <v>9.7543306765146564E-14</v>
      </c>
      <c r="CA177" s="14">
        <f t="shared" si="170"/>
        <v>1.4696264278629426E-12</v>
      </c>
      <c r="CB177" s="22">
        <f t="shared" si="171"/>
        <v>2.7294872878105889E-12</v>
      </c>
      <c r="CC177" s="62">
        <f t="shared" si="119"/>
        <v>288.97033806781246</v>
      </c>
      <c r="CD177" s="62">
        <f ca="1">AVERAGE(OFFSET($CC$3,0,0,'Données projet'!$E$12+1,1))-AVERAGE(OFFSET($H$3,0,0,'Données projet'!$E$12+1,1))</f>
        <v>288.24759203983547</v>
      </c>
      <c r="CE177" s="62">
        <f t="shared" si="148"/>
        <v>188.86613033148794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1.1368683772161603E-13</v>
      </c>
      <c r="CU177" s="18">
        <f>CT177*VLOOKUP('Données projet'!$B$13,Paramètres!$A$1:$I$89,3,0)*VLOOKUP('Données projet'!$B$13,Paramètres!$A$1:$I$89,5,0)</f>
        <v>7.626113074366004E-14</v>
      </c>
      <c r="CV177" s="14">
        <f t="shared" si="173"/>
        <v>1.1823749172251317E-12</v>
      </c>
      <c r="CW177" s="22">
        <f t="shared" si="174"/>
        <v>2.1921244502123119E-12</v>
      </c>
      <c r="CX177" s="62">
        <f t="shared" si="122"/>
        <v>288.97033806781195</v>
      </c>
      <c r="CY177" s="62">
        <f ca="1">AVERAGE(OFFSET($CX$3,0,0,'Données projet'!$E$13+1,1))-AVERAGE(OFFSET($H$3,0,0,'Données projet'!$E$13+1,1))</f>
        <v>240.40157928925146</v>
      </c>
      <c r="CZ177" s="62">
        <f t="shared" si="150"/>
        <v>160.5013084380258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-3.979039320256561E-13</v>
      </c>
      <c r="DP177" s="18">
        <f>DO177*VLOOKUP('Données projet'!$B$14,Paramètres!$A$1:$I$89,3,0)*VLOOKUP('Données projet'!$B$14,Paramètres!$A$1:$I$89,5,0)</f>
        <v>-3.8485268305521461E-13</v>
      </c>
      <c r="DQ177" s="14" t="e">
        <f t="shared" si="176"/>
        <v>#NUM!</v>
      </c>
      <c r="DR177" s="22" t="e">
        <f t="shared" si="177"/>
        <v>#NUM!</v>
      </c>
      <c r="DS177" s="62" t="e">
        <f t="shared" si="125"/>
        <v>#NUM!</v>
      </c>
      <c r="DT177" s="62">
        <f ca="1">AVERAGE(OFFSET($DS$3,0,0,'Données projet'!$E$14+1,1))-AVERAGE(OFFSET($H$3,0,0,'Données projet'!$E$14+1,1))</f>
        <v>398.93296311353788</v>
      </c>
      <c r="DU177" s="62">
        <f t="shared" si="152"/>
        <v>173.19148969173838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-5.6843418860808015E-14</v>
      </c>
      <c r="EK177" s="18">
        <f>EJ177*VLOOKUP('Données projet'!$B$15,Paramètres!$A$1:$I$89,3,0)*VLOOKUP('Données projet'!$B$15,Paramètres!$A$1:$I$89,5,0)</f>
        <v>-4.9658410716801891E-14</v>
      </c>
      <c r="EL177" s="14" t="e">
        <f t="shared" si="179"/>
        <v>#NUM!</v>
      </c>
      <c r="EM177" s="22" t="e">
        <f t="shared" si="180"/>
        <v>#NUM!</v>
      </c>
      <c r="EN177" s="62" t="e">
        <f t="shared" si="128"/>
        <v>#NUM!</v>
      </c>
      <c r="EO177" s="62">
        <f ca="1">AVERAGE(OFFSET($EN$3,0,0,'Données projet'!$E$15+1,1))-AVERAGE(OFFSET($H$3,0,0,'Données projet'!$E$15+1,1))</f>
        <v>226.37420733783091</v>
      </c>
      <c r="EP177" s="62">
        <f t="shared" si="154"/>
        <v>204.10961748628714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6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9">
        <f t="shared" si="110"/>
        <v>183.33333333333334</v>
      </c>
      <c r="I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2.8421709430404007E-13</v>
      </c>
      <c r="O178" s="14">
        <f>N178*VLOOKUP('Données projet'!$B$9,Paramètres!$A$1:$I$89,3,0)*VLOOKUP('Données projet'!$B$9,Paramètres!$A$1:$I$89,5,0)</f>
        <v>1.6626700016786346E-13</v>
      </c>
      <c r="P178" s="14">
        <f t="shared" si="141"/>
        <v>2.3542701735863119E-12</v>
      </c>
      <c r="Q178" s="22">
        <f t="shared" si="162"/>
        <v>4.3899355776218544E-12</v>
      </c>
      <c r="R178" s="62">
        <f t="shared" si="109"/>
        <v>289.04602628147478</v>
      </c>
      <c r="S178" s="62">
        <f ca="1">AVERAGE(OFFSET($R$3,0,0,'Données projet'!$E$9+1,1))-AVERAGE(OFFSET($H$3,0,0,'Données projet'!$E$9+1,1))</f>
        <v>196.48726929442091</v>
      </c>
      <c r="T178" s="62">
        <f t="shared" si="142"/>
        <v>193.28400454669347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2.3802795277801878E-21</v>
      </c>
      <c r="AC178" s="24">
        <f t="shared" si="163"/>
        <v>2.3802795277801878E-21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-3.979039320256561E-13</v>
      </c>
      <c r="AJ178" s="14">
        <f>AI178*VLOOKUP('Données projet'!$B$10,Paramètres!$A$1:$I$89,3,0)*VLOOKUP('Données projet'!$B$10,Paramètres!$A$1:$I$89,5,0)</f>
        <v>-4.0347458707401528E-13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414.29294334114661</v>
      </c>
      <c r="AO178" s="62">
        <f t="shared" si="144"/>
        <v>178.72086185623849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-3.979039320256561E-13</v>
      </c>
      <c r="BE178" s="14">
        <f>BD178*VLOOKUP('Données projet'!$B$11,Paramètres!$A$1:$I$89,3,0)*VLOOKUP('Données projet'!$B$11,Paramètres!$A$1:$I$89,5,0)</f>
        <v>-4.2830379243241627E-13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434.74983403680108</v>
      </c>
      <c r="BJ178" s="62">
        <f t="shared" si="146"/>
        <v>186.0840067781198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1.1368683772161603E-13</v>
      </c>
      <c r="BZ178" s="14">
        <f>BY178*VLOOKUP('Données projet'!$B$12,Paramètres!$A$1:$I$89,3,0)*VLOOKUP('Données projet'!$B$12,Paramètres!$A$1:$I$89,5,0)</f>
        <v>9.7543306765146564E-14</v>
      </c>
      <c r="CA178" s="14">
        <f t="shared" si="170"/>
        <v>1.4696264278629426E-12</v>
      </c>
      <c r="CB178" s="22">
        <f t="shared" si="171"/>
        <v>2.7294872878105889E-12</v>
      </c>
      <c r="CC178" s="62">
        <f t="shared" si="119"/>
        <v>289.04602628147313</v>
      </c>
      <c r="CD178" s="62">
        <f ca="1">AVERAGE(OFFSET($CC$3,0,0,'Données projet'!$E$12+1,1))-AVERAGE(OFFSET($H$3,0,0,'Données projet'!$E$12+1,1))</f>
        <v>288.24759203983547</v>
      </c>
      <c r="CE178" s="62">
        <f t="shared" si="148"/>
        <v>188.86613033148794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1.1368683772161603E-13</v>
      </c>
      <c r="CU178" s="18">
        <f>CT178*VLOOKUP('Données projet'!$B$13,Paramètres!$A$1:$I$89,3,0)*VLOOKUP('Données projet'!$B$13,Paramètres!$A$1:$I$89,5,0)</f>
        <v>7.626113074366004E-14</v>
      </c>
      <c r="CV178" s="14">
        <f t="shared" si="173"/>
        <v>1.1823749172251317E-12</v>
      </c>
      <c r="CW178" s="22">
        <f t="shared" si="174"/>
        <v>2.1921244502123119E-12</v>
      </c>
      <c r="CX178" s="62">
        <f t="shared" si="122"/>
        <v>289.04602628147262</v>
      </c>
      <c r="CY178" s="62">
        <f ca="1">AVERAGE(OFFSET($CX$3,0,0,'Données projet'!$E$13+1,1))-AVERAGE(OFFSET($H$3,0,0,'Données projet'!$E$13+1,1))</f>
        <v>240.40157928925146</v>
      </c>
      <c r="CZ178" s="62">
        <f t="shared" si="150"/>
        <v>160.5013084380258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-3.979039320256561E-13</v>
      </c>
      <c r="DP178" s="18">
        <f>DO178*VLOOKUP('Données projet'!$B$14,Paramètres!$A$1:$I$89,3,0)*VLOOKUP('Données projet'!$B$14,Paramètres!$A$1:$I$89,5,0)</f>
        <v>-3.8485268305521461E-13</v>
      </c>
      <c r="DQ178" s="14" t="e">
        <f t="shared" si="176"/>
        <v>#NUM!</v>
      </c>
      <c r="DR178" s="22" t="e">
        <f t="shared" si="177"/>
        <v>#NUM!</v>
      </c>
      <c r="DS178" s="62" t="e">
        <f t="shared" si="125"/>
        <v>#NUM!</v>
      </c>
      <c r="DT178" s="62">
        <f ca="1">AVERAGE(OFFSET($DS$3,0,0,'Données projet'!$E$14+1,1))-AVERAGE(OFFSET($H$3,0,0,'Données projet'!$E$14+1,1))</f>
        <v>398.93296311353788</v>
      </c>
      <c r="DU178" s="62">
        <f t="shared" si="152"/>
        <v>173.19148969173838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-5.6843418860808015E-14</v>
      </c>
      <c r="EK178" s="18">
        <f>EJ178*VLOOKUP('Données projet'!$B$15,Paramètres!$A$1:$I$89,3,0)*VLOOKUP('Données projet'!$B$15,Paramètres!$A$1:$I$89,5,0)</f>
        <v>-4.9658410716801891E-14</v>
      </c>
      <c r="EL178" s="14" t="e">
        <f t="shared" si="179"/>
        <v>#NUM!</v>
      </c>
      <c r="EM178" s="22" t="e">
        <f t="shared" si="180"/>
        <v>#NUM!</v>
      </c>
      <c r="EN178" s="62" t="e">
        <f t="shared" si="128"/>
        <v>#NUM!</v>
      </c>
      <c r="EO178" s="62">
        <f ca="1">AVERAGE(OFFSET($EN$3,0,0,'Données projet'!$E$15+1,1))-AVERAGE(OFFSET($H$3,0,0,'Données projet'!$E$15+1,1))</f>
        <v>226.37420733783091</v>
      </c>
      <c r="EP178" s="62">
        <f t="shared" si="154"/>
        <v>204.10961748628714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6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9">
        <f t="shared" si="110"/>
        <v>183.33333333333334</v>
      </c>
      <c r="I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2.8421709430404007E-13</v>
      </c>
      <c r="O179" s="14">
        <f>N179*VLOOKUP('Données projet'!$B$9,Paramètres!$A$1:$I$89,3,0)*VLOOKUP('Données projet'!$B$9,Paramètres!$A$1:$I$89,5,0)</f>
        <v>1.6626700016786346E-13</v>
      </c>
      <c r="P179" s="14">
        <f t="shared" si="141"/>
        <v>2.3542701735863119E-12</v>
      </c>
      <c r="Q179" s="22">
        <f t="shared" si="162"/>
        <v>4.3899355776218544E-12</v>
      </c>
      <c r="R179" s="62">
        <f t="shared" si="109"/>
        <v>289.12040147384198</v>
      </c>
      <c r="S179" s="62">
        <f ca="1">AVERAGE(OFFSET($R$3,0,0,'Données projet'!$E$9+1,1))-AVERAGE(OFFSET($H$3,0,0,'Données projet'!$E$9+1,1))</f>
        <v>196.48726929442091</v>
      </c>
      <c r="T179" s="62">
        <f t="shared" si="142"/>
        <v>193.28400454669347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1.683111795212884E-21</v>
      </c>
      <c r="AC179" s="24">
        <f t="shared" si="163"/>
        <v>1.683111795212884E-21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-3.979039320256561E-13</v>
      </c>
      <c r="AJ179" s="14">
        <f>AI179*VLOOKUP('Données projet'!$B$10,Paramètres!$A$1:$I$89,3,0)*VLOOKUP('Données projet'!$B$10,Paramètres!$A$1:$I$89,5,0)</f>
        <v>-4.0347458707401528E-13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414.29294334114661</v>
      </c>
      <c r="AO179" s="62">
        <f t="shared" si="144"/>
        <v>178.72086185623849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-3.979039320256561E-13</v>
      </c>
      <c r="BE179" s="14">
        <f>BD179*VLOOKUP('Données projet'!$B$11,Paramètres!$A$1:$I$89,3,0)*VLOOKUP('Données projet'!$B$11,Paramètres!$A$1:$I$89,5,0)</f>
        <v>-4.2830379243241627E-13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434.74983403680108</v>
      </c>
      <c r="BJ179" s="62">
        <f t="shared" si="146"/>
        <v>186.0840067781198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1.1368683772161603E-13</v>
      </c>
      <c r="BZ179" s="14">
        <f>BY179*VLOOKUP('Données projet'!$B$12,Paramètres!$A$1:$I$89,3,0)*VLOOKUP('Données projet'!$B$12,Paramètres!$A$1:$I$89,5,0)</f>
        <v>9.7543306765146564E-14</v>
      </c>
      <c r="CA179" s="14">
        <f t="shared" si="170"/>
        <v>1.4696264278629426E-12</v>
      </c>
      <c r="CB179" s="22">
        <f t="shared" si="171"/>
        <v>2.7294872878105889E-12</v>
      </c>
      <c r="CC179" s="62">
        <f t="shared" si="119"/>
        <v>289.12040147384033</v>
      </c>
      <c r="CD179" s="62">
        <f ca="1">AVERAGE(OFFSET($CC$3,0,0,'Données projet'!$E$12+1,1))-AVERAGE(OFFSET($H$3,0,0,'Données projet'!$E$12+1,1))</f>
        <v>288.24759203983547</v>
      </c>
      <c r="CE179" s="62">
        <f t="shared" si="148"/>
        <v>188.86613033148794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1.1368683772161603E-13</v>
      </c>
      <c r="CU179" s="18">
        <f>CT179*VLOOKUP('Données projet'!$B$13,Paramètres!$A$1:$I$89,3,0)*VLOOKUP('Données projet'!$B$13,Paramètres!$A$1:$I$89,5,0)</f>
        <v>7.626113074366004E-14</v>
      </c>
      <c r="CV179" s="14">
        <f t="shared" si="173"/>
        <v>1.1823749172251317E-12</v>
      </c>
      <c r="CW179" s="22">
        <f t="shared" si="174"/>
        <v>2.1921244502123119E-12</v>
      </c>
      <c r="CX179" s="62">
        <f t="shared" si="122"/>
        <v>289.12040147383982</v>
      </c>
      <c r="CY179" s="62">
        <f ca="1">AVERAGE(OFFSET($CX$3,0,0,'Données projet'!$E$13+1,1))-AVERAGE(OFFSET($H$3,0,0,'Données projet'!$E$13+1,1))</f>
        <v>240.40157928925146</v>
      </c>
      <c r="CZ179" s="62">
        <f t="shared" si="150"/>
        <v>160.5013084380258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-3.979039320256561E-13</v>
      </c>
      <c r="DP179" s="18">
        <f>DO179*VLOOKUP('Données projet'!$B$14,Paramètres!$A$1:$I$89,3,0)*VLOOKUP('Données projet'!$B$14,Paramètres!$A$1:$I$89,5,0)</f>
        <v>-3.8485268305521461E-13</v>
      </c>
      <c r="DQ179" s="14" t="e">
        <f t="shared" si="176"/>
        <v>#NUM!</v>
      </c>
      <c r="DR179" s="22" t="e">
        <f t="shared" si="177"/>
        <v>#NUM!</v>
      </c>
      <c r="DS179" s="62" t="e">
        <f t="shared" si="125"/>
        <v>#NUM!</v>
      </c>
      <c r="DT179" s="62">
        <f ca="1">AVERAGE(OFFSET($DS$3,0,0,'Données projet'!$E$14+1,1))-AVERAGE(OFFSET($H$3,0,0,'Données projet'!$E$14+1,1))</f>
        <v>398.93296311353788</v>
      </c>
      <c r="DU179" s="62">
        <f t="shared" si="152"/>
        <v>173.19148969173838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-5.6843418860808015E-14</v>
      </c>
      <c r="EK179" s="18">
        <f>EJ179*VLOOKUP('Données projet'!$B$15,Paramètres!$A$1:$I$89,3,0)*VLOOKUP('Données projet'!$B$15,Paramètres!$A$1:$I$89,5,0)</f>
        <v>-4.9658410716801891E-14</v>
      </c>
      <c r="EL179" s="14" t="e">
        <f t="shared" si="179"/>
        <v>#NUM!</v>
      </c>
      <c r="EM179" s="22" t="e">
        <f t="shared" si="180"/>
        <v>#NUM!</v>
      </c>
      <c r="EN179" s="62" t="e">
        <f t="shared" si="128"/>
        <v>#NUM!</v>
      </c>
      <c r="EO179" s="62">
        <f ca="1">AVERAGE(OFFSET($EN$3,0,0,'Données projet'!$E$15+1,1))-AVERAGE(OFFSET($H$3,0,0,'Données projet'!$E$15+1,1))</f>
        <v>226.37420733783091</v>
      </c>
      <c r="EP179" s="62">
        <f t="shared" si="154"/>
        <v>204.10961748628714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6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9">
        <f t="shared" si="110"/>
        <v>183.33333333333334</v>
      </c>
      <c r="I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2.8421709430404007E-13</v>
      </c>
      <c r="O180" s="14">
        <f>N180*VLOOKUP('Données projet'!$B$9,Paramètres!$A$1:$I$89,3,0)*VLOOKUP('Données projet'!$B$9,Paramètres!$A$1:$I$89,5,0)</f>
        <v>1.6626700016786346E-13</v>
      </c>
      <c r="P180" s="14">
        <f t="shared" si="141"/>
        <v>2.3542701735863119E-12</v>
      </c>
      <c r="Q180" s="22">
        <f t="shared" si="162"/>
        <v>4.3899355776218544E-12</v>
      </c>
      <c r="R180" s="62">
        <f t="shared" si="109"/>
        <v>289.19348642289964</v>
      </c>
      <c r="S180" s="62">
        <f ca="1">AVERAGE(OFFSET($R$3,0,0,'Données projet'!$E$9+1,1))-AVERAGE(OFFSET($H$3,0,0,'Données projet'!$E$9+1,1))</f>
        <v>196.48726929442091</v>
      </c>
      <c r="T180" s="62">
        <f t="shared" si="142"/>
        <v>193.28400454669347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1.1901397638900941E-21</v>
      </c>
      <c r="AC180" s="24">
        <f t="shared" si="163"/>
        <v>1.1901397638900941E-21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-3.979039320256561E-13</v>
      </c>
      <c r="AJ180" s="14">
        <f>AI180*VLOOKUP('Données projet'!$B$10,Paramètres!$A$1:$I$89,3,0)*VLOOKUP('Données projet'!$B$10,Paramètres!$A$1:$I$89,5,0)</f>
        <v>-4.0347458707401528E-13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414.29294334114661</v>
      </c>
      <c r="AO180" s="62">
        <f t="shared" si="144"/>
        <v>178.72086185623849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-3.979039320256561E-13</v>
      </c>
      <c r="BE180" s="14">
        <f>BD180*VLOOKUP('Données projet'!$B$11,Paramètres!$A$1:$I$89,3,0)*VLOOKUP('Données projet'!$B$11,Paramètres!$A$1:$I$89,5,0)</f>
        <v>-4.2830379243241627E-13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434.74983403680108</v>
      </c>
      <c r="BJ180" s="62">
        <f t="shared" si="146"/>
        <v>186.0840067781198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1.1368683772161603E-13</v>
      </c>
      <c r="BZ180" s="14">
        <f>BY180*VLOOKUP('Données projet'!$B$12,Paramètres!$A$1:$I$89,3,0)*VLOOKUP('Données projet'!$B$12,Paramètres!$A$1:$I$89,5,0)</f>
        <v>9.7543306765146564E-14</v>
      </c>
      <c r="CA180" s="14">
        <f t="shared" si="170"/>
        <v>1.4696264278629426E-12</v>
      </c>
      <c r="CB180" s="22">
        <f t="shared" si="171"/>
        <v>2.7294872878105889E-12</v>
      </c>
      <c r="CC180" s="62">
        <f t="shared" si="119"/>
        <v>289.19348642289799</v>
      </c>
      <c r="CD180" s="62">
        <f ca="1">AVERAGE(OFFSET($CC$3,0,0,'Données projet'!$E$12+1,1))-AVERAGE(OFFSET($H$3,0,0,'Données projet'!$E$12+1,1))</f>
        <v>288.24759203983547</v>
      </c>
      <c r="CE180" s="62">
        <f t="shared" si="148"/>
        <v>188.86613033148794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1.1368683772161603E-13</v>
      </c>
      <c r="CU180" s="18">
        <f>CT180*VLOOKUP('Données projet'!$B$13,Paramètres!$A$1:$I$89,3,0)*VLOOKUP('Données projet'!$B$13,Paramètres!$A$1:$I$89,5,0)</f>
        <v>7.626113074366004E-14</v>
      </c>
      <c r="CV180" s="14">
        <f t="shared" si="173"/>
        <v>1.1823749172251317E-12</v>
      </c>
      <c r="CW180" s="22">
        <f t="shared" si="174"/>
        <v>2.1921244502123119E-12</v>
      </c>
      <c r="CX180" s="62">
        <f t="shared" si="122"/>
        <v>289.19348642289748</v>
      </c>
      <c r="CY180" s="62">
        <f ca="1">AVERAGE(OFFSET($CX$3,0,0,'Données projet'!$E$13+1,1))-AVERAGE(OFFSET($H$3,0,0,'Données projet'!$E$13+1,1))</f>
        <v>240.40157928925146</v>
      </c>
      <c r="CZ180" s="62">
        <f t="shared" si="150"/>
        <v>160.5013084380258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-3.979039320256561E-13</v>
      </c>
      <c r="DP180" s="18">
        <f>DO180*VLOOKUP('Données projet'!$B$14,Paramètres!$A$1:$I$89,3,0)*VLOOKUP('Données projet'!$B$14,Paramètres!$A$1:$I$89,5,0)</f>
        <v>-3.8485268305521461E-13</v>
      </c>
      <c r="DQ180" s="14" t="e">
        <f t="shared" si="176"/>
        <v>#NUM!</v>
      </c>
      <c r="DR180" s="22" t="e">
        <f t="shared" si="177"/>
        <v>#NUM!</v>
      </c>
      <c r="DS180" s="62" t="e">
        <f t="shared" si="125"/>
        <v>#NUM!</v>
      </c>
      <c r="DT180" s="62">
        <f ca="1">AVERAGE(OFFSET($DS$3,0,0,'Données projet'!$E$14+1,1))-AVERAGE(OFFSET($H$3,0,0,'Données projet'!$E$14+1,1))</f>
        <v>398.93296311353788</v>
      </c>
      <c r="DU180" s="62">
        <f t="shared" si="152"/>
        <v>173.19148969173838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-5.6843418860808015E-14</v>
      </c>
      <c r="EK180" s="18">
        <f>EJ180*VLOOKUP('Données projet'!$B$15,Paramètres!$A$1:$I$89,3,0)*VLOOKUP('Données projet'!$B$15,Paramètres!$A$1:$I$89,5,0)</f>
        <v>-4.9658410716801891E-14</v>
      </c>
      <c r="EL180" s="14" t="e">
        <f t="shared" si="179"/>
        <v>#NUM!</v>
      </c>
      <c r="EM180" s="22" t="e">
        <f t="shared" si="180"/>
        <v>#NUM!</v>
      </c>
      <c r="EN180" s="62" t="e">
        <f t="shared" si="128"/>
        <v>#NUM!</v>
      </c>
      <c r="EO180" s="62">
        <f ca="1">AVERAGE(OFFSET($EN$3,0,0,'Données projet'!$E$15+1,1))-AVERAGE(OFFSET($H$3,0,0,'Données projet'!$E$15+1,1))</f>
        <v>226.37420733783091</v>
      </c>
      <c r="EP180" s="62">
        <f t="shared" si="154"/>
        <v>204.10961748628714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6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9">
        <f t="shared" si="110"/>
        <v>183.33333333333334</v>
      </c>
      <c r="I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2.8421709430404007E-13</v>
      </c>
      <c r="O181" s="14">
        <f>N181*VLOOKUP('Données projet'!$B$9,Paramètres!$A$1:$I$89,3,0)*VLOOKUP('Données projet'!$B$9,Paramètres!$A$1:$I$89,5,0)</f>
        <v>1.6626700016786346E-13</v>
      </c>
      <c r="P181" s="14">
        <f t="shared" si="141"/>
        <v>2.3542701735863119E-12</v>
      </c>
      <c r="Q181" s="22">
        <f t="shared" si="162"/>
        <v>4.3899355776218544E-12</v>
      </c>
      <c r="R181" s="62">
        <f t="shared" si="109"/>
        <v>289.26530351148455</v>
      </c>
      <c r="S181" s="62">
        <f ca="1">AVERAGE(OFFSET($R$3,0,0,'Données projet'!$E$9+1,1))-AVERAGE(OFFSET($H$3,0,0,'Données projet'!$E$9+1,1))</f>
        <v>196.48726929442091</v>
      </c>
      <c r="T181" s="62">
        <f t="shared" si="142"/>
        <v>193.28400454669347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8.4155589760644216E-22</v>
      </c>
      <c r="AC181" s="24">
        <f t="shared" si="163"/>
        <v>8.4155589760644216E-22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-3.979039320256561E-13</v>
      </c>
      <c r="AJ181" s="14">
        <f>AI181*VLOOKUP('Données projet'!$B$10,Paramètres!$A$1:$I$89,3,0)*VLOOKUP('Données projet'!$B$10,Paramètres!$A$1:$I$89,5,0)</f>
        <v>-4.0347458707401528E-13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414.29294334114661</v>
      </c>
      <c r="AO181" s="62">
        <f t="shared" si="144"/>
        <v>178.72086185623849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-3.979039320256561E-13</v>
      </c>
      <c r="BE181" s="14">
        <f>BD181*VLOOKUP('Données projet'!$B$11,Paramètres!$A$1:$I$89,3,0)*VLOOKUP('Données projet'!$B$11,Paramètres!$A$1:$I$89,5,0)</f>
        <v>-4.2830379243241627E-13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434.74983403680108</v>
      </c>
      <c r="BJ181" s="62">
        <f t="shared" si="146"/>
        <v>186.0840067781198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1.1368683772161603E-13</v>
      </c>
      <c r="BZ181" s="14">
        <f>BY181*VLOOKUP('Données projet'!$B$12,Paramètres!$A$1:$I$89,3,0)*VLOOKUP('Données projet'!$B$12,Paramètres!$A$1:$I$89,5,0)</f>
        <v>9.7543306765146564E-14</v>
      </c>
      <c r="CA181" s="14">
        <f t="shared" si="170"/>
        <v>1.4696264278629426E-12</v>
      </c>
      <c r="CB181" s="22">
        <f t="shared" si="171"/>
        <v>2.7294872878105889E-12</v>
      </c>
      <c r="CC181" s="62">
        <f t="shared" si="119"/>
        <v>289.2653035114829</v>
      </c>
      <c r="CD181" s="62">
        <f ca="1">AVERAGE(OFFSET($CC$3,0,0,'Données projet'!$E$12+1,1))-AVERAGE(OFFSET($H$3,0,0,'Données projet'!$E$12+1,1))</f>
        <v>288.24759203983547</v>
      </c>
      <c r="CE181" s="62">
        <f t="shared" si="148"/>
        <v>188.86613033148794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1.1368683772161603E-13</v>
      </c>
      <c r="CU181" s="18">
        <f>CT181*VLOOKUP('Données projet'!$B$13,Paramètres!$A$1:$I$89,3,0)*VLOOKUP('Données projet'!$B$13,Paramètres!$A$1:$I$89,5,0)</f>
        <v>7.626113074366004E-14</v>
      </c>
      <c r="CV181" s="14">
        <f t="shared" si="173"/>
        <v>1.1823749172251317E-12</v>
      </c>
      <c r="CW181" s="22">
        <f t="shared" si="174"/>
        <v>2.1921244502123119E-12</v>
      </c>
      <c r="CX181" s="62">
        <f t="shared" si="122"/>
        <v>289.26530351148239</v>
      </c>
      <c r="CY181" s="62">
        <f ca="1">AVERAGE(OFFSET($CX$3,0,0,'Données projet'!$E$13+1,1))-AVERAGE(OFFSET($H$3,0,0,'Données projet'!$E$13+1,1))</f>
        <v>240.40157928925146</v>
      </c>
      <c r="CZ181" s="62">
        <f t="shared" si="150"/>
        <v>160.5013084380258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-3.979039320256561E-13</v>
      </c>
      <c r="DP181" s="18">
        <f>DO181*VLOOKUP('Données projet'!$B$14,Paramètres!$A$1:$I$89,3,0)*VLOOKUP('Données projet'!$B$14,Paramètres!$A$1:$I$89,5,0)</f>
        <v>-3.8485268305521461E-13</v>
      </c>
      <c r="DQ181" s="14" t="e">
        <f t="shared" si="176"/>
        <v>#NUM!</v>
      </c>
      <c r="DR181" s="22" t="e">
        <f t="shared" si="177"/>
        <v>#NUM!</v>
      </c>
      <c r="DS181" s="62" t="e">
        <f t="shared" si="125"/>
        <v>#NUM!</v>
      </c>
      <c r="DT181" s="62">
        <f ca="1">AVERAGE(OFFSET($DS$3,0,0,'Données projet'!$E$14+1,1))-AVERAGE(OFFSET($H$3,0,0,'Données projet'!$E$14+1,1))</f>
        <v>398.93296311353788</v>
      </c>
      <c r="DU181" s="62">
        <f t="shared" si="152"/>
        <v>173.19148969173838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-5.6843418860808015E-14</v>
      </c>
      <c r="EK181" s="18">
        <f>EJ181*VLOOKUP('Données projet'!$B$15,Paramètres!$A$1:$I$89,3,0)*VLOOKUP('Données projet'!$B$15,Paramètres!$A$1:$I$89,5,0)</f>
        <v>-4.9658410716801891E-14</v>
      </c>
      <c r="EL181" s="14" t="e">
        <f t="shared" si="179"/>
        <v>#NUM!</v>
      </c>
      <c r="EM181" s="22" t="e">
        <f t="shared" si="180"/>
        <v>#NUM!</v>
      </c>
      <c r="EN181" s="62" t="e">
        <f t="shared" si="128"/>
        <v>#NUM!</v>
      </c>
      <c r="EO181" s="62">
        <f ca="1">AVERAGE(OFFSET($EN$3,0,0,'Données projet'!$E$15+1,1))-AVERAGE(OFFSET($H$3,0,0,'Données projet'!$E$15+1,1))</f>
        <v>226.37420733783091</v>
      </c>
      <c r="EP181" s="62">
        <f t="shared" si="154"/>
        <v>204.10961748628714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6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9">
        <f t="shared" si="110"/>
        <v>183.33333333333334</v>
      </c>
      <c r="I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2.8421709430404007E-13</v>
      </c>
      <c r="O182" s="14">
        <f>N182*VLOOKUP('Données projet'!$B$9,Paramètres!$A$1:$I$89,3,0)*VLOOKUP('Données projet'!$B$9,Paramètres!$A$1:$I$89,5,0)</f>
        <v>1.6626700016786346E-13</v>
      </c>
      <c r="P182" s="14">
        <f t="shared" si="141"/>
        <v>2.3542701735863119E-12</v>
      </c>
      <c r="Q182" s="22">
        <f t="shared" si="162"/>
        <v>4.3899355776218544E-12</v>
      </c>
      <c r="R182" s="62">
        <f t="shared" si="109"/>
        <v>289.3358747341415</v>
      </c>
      <c r="S182" s="62">
        <f ca="1">AVERAGE(OFFSET($R$3,0,0,'Données projet'!$E$9+1,1))-AVERAGE(OFFSET($H$3,0,0,'Données projet'!$E$9+1,1))</f>
        <v>196.48726929442091</v>
      </c>
      <c r="T182" s="62">
        <f t="shared" si="142"/>
        <v>193.28400454669347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5.9506988194504714E-22</v>
      </c>
      <c r="AC182" s="24">
        <f t="shared" si="163"/>
        <v>5.9506988194504714E-22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-3.979039320256561E-13</v>
      </c>
      <c r="AJ182" s="14">
        <f>AI182*VLOOKUP('Données projet'!$B$10,Paramètres!$A$1:$I$89,3,0)*VLOOKUP('Données projet'!$B$10,Paramètres!$A$1:$I$89,5,0)</f>
        <v>-4.0347458707401528E-13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414.29294334114661</v>
      </c>
      <c r="AO182" s="62">
        <f t="shared" si="144"/>
        <v>178.72086185623849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-3.979039320256561E-13</v>
      </c>
      <c r="BE182" s="14">
        <f>BD182*VLOOKUP('Données projet'!$B$11,Paramètres!$A$1:$I$89,3,0)*VLOOKUP('Données projet'!$B$11,Paramètres!$A$1:$I$89,5,0)</f>
        <v>-4.2830379243241627E-13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434.74983403680108</v>
      </c>
      <c r="BJ182" s="62">
        <f t="shared" si="146"/>
        <v>186.0840067781198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1.1368683772161603E-13</v>
      </c>
      <c r="BZ182" s="14">
        <f>BY182*VLOOKUP('Données projet'!$B$12,Paramètres!$A$1:$I$89,3,0)*VLOOKUP('Données projet'!$B$12,Paramètres!$A$1:$I$89,5,0)</f>
        <v>9.7543306765146564E-14</v>
      </c>
      <c r="CA182" s="14">
        <f t="shared" si="170"/>
        <v>1.4696264278629426E-12</v>
      </c>
      <c r="CB182" s="22">
        <f t="shared" si="171"/>
        <v>2.7294872878105889E-12</v>
      </c>
      <c r="CC182" s="62">
        <f t="shared" si="119"/>
        <v>289.33587473413985</v>
      </c>
      <c r="CD182" s="62">
        <f ca="1">AVERAGE(OFFSET($CC$3,0,0,'Données projet'!$E$12+1,1))-AVERAGE(OFFSET($H$3,0,0,'Données projet'!$E$12+1,1))</f>
        <v>288.24759203983547</v>
      </c>
      <c r="CE182" s="62">
        <f t="shared" si="148"/>
        <v>188.86613033148794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1.1368683772161603E-13</v>
      </c>
      <c r="CU182" s="18">
        <f>CT182*VLOOKUP('Données projet'!$B$13,Paramètres!$A$1:$I$89,3,0)*VLOOKUP('Données projet'!$B$13,Paramètres!$A$1:$I$89,5,0)</f>
        <v>7.626113074366004E-14</v>
      </c>
      <c r="CV182" s="14">
        <f t="shared" si="173"/>
        <v>1.1823749172251317E-12</v>
      </c>
      <c r="CW182" s="22">
        <f t="shared" si="174"/>
        <v>2.1921244502123119E-12</v>
      </c>
      <c r="CX182" s="62">
        <f t="shared" si="122"/>
        <v>289.33587473413934</v>
      </c>
      <c r="CY182" s="62">
        <f ca="1">AVERAGE(OFFSET($CX$3,0,0,'Données projet'!$E$13+1,1))-AVERAGE(OFFSET($H$3,0,0,'Données projet'!$E$13+1,1))</f>
        <v>240.40157928925146</v>
      </c>
      <c r="CZ182" s="62">
        <f t="shared" si="150"/>
        <v>160.5013084380258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-3.979039320256561E-13</v>
      </c>
      <c r="DP182" s="18">
        <f>DO182*VLOOKUP('Données projet'!$B$14,Paramètres!$A$1:$I$89,3,0)*VLOOKUP('Données projet'!$B$14,Paramètres!$A$1:$I$89,5,0)</f>
        <v>-3.8485268305521461E-13</v>
      </c>
      <c r="DQ182" s="14" t="e">
        <f t="shared" si="176"/>
        <v>#NUM!</v>
      </c>
      <c r="DR182" s="22" t="e">
        <f t="shared" si="177"/>
        <v>#NUM!</v>
      </c>
      <c r="DS182" s="62" t="e">
        <f t="shared" si="125"/>
        <v>#NUM!</v>
      </c>
      <c r="DT182" s="62">
        <f ca="1">AVERAGE(OFFSET($DS$3,0,0,'Données projet'!$E$14+1,1))-AVERAGE(OFFSET($H$3,0,0,'Données projet'!$E$14+1,1))</f>
        <v>398.93296311353788</v>
      </c>
      <c r="DU182" s="62">
        <f t="shared" si="152"/>
        <v>173.19148969173838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-5.6843418860808015E-14</v>
      </c>
      <c r="EK182" s="18">
        <f>EJ182*VLOOKUP('Données projet'!$B$15,Paramètres!$A$1:$I$89,3,0)*VLOOKUP('Données projet'!$B$15,Paramètres!$A$1:$I$89,5,0)</f>
        <v>-4.9658410716801891E-14</v>
      </c>
      <c r="EL182" s="14" t="e">
        <f t="shared" si="179"/>
        <v>#NUM!</v>
      </c>
      <c r="EM182" s="22" t="e">
        <f t="shared" si="180"/>
        <v>#NUM!</v>
      </c>
      <c r="EN182" s="62" t="e">
        <f t="shared" si="128"/>
        <v>#NUM!</v>
      </c>
      <c r="EO182" s="62">
        <f ca="1">AVERAGE(OFFSET($EN$3,0,0,'Données projet'!$E$15+1,1))-AVERAGE(OFFSET($H$3,0,0,'Données projet'!$E$15+1,1))</f>
        <v>226.37420733783091</v>
      </c>
      <c r="EP182" s="62">
        <f t="shared" si="154"/>
        <v>204.10961748628714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6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9">
        <f t="shared" si="110"/>
        <v>183.33333333333334</v>
      </c>
      <c r="I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2.8421709430404007E-13</v>
      </c>
      <c r="O183" s="14">
        <f>N183*VLOOKUP('Données projet'!$B$9,Paramètres!$A$1:$I$89,3,0)*VLOOKUP('Données projet'!$B$9,Paramètres!$A$1:$I$89,5,0)</f>
        <v>1.6626700016786346E-13</v>
      </c>
      <c r="P183" s="14">
        <f t="shared" si="141"/>
        <v>2.3542701735863119E-12</v>
      </c>
      <c r="Q183" s="22">
        <f t="shared" si="162"/>
        <v>4.3899355776218544E-12</v>
      </c>
      <c r="R183" s="62">
        <f t="shared" si="109"/>
        <v>289.40522170385901</v>
      </c>
      <c r="S183" s="62">
        <f ca="1">AVERAGE(OFFSET($R$3,0,0,'Données projet'!$E$9+1,1))-AVERAGE(OFFSET($H$3,0,0,'Données projet'!$E$9+1,1))</f>
        <v>196.48726929442091</v>
      </c>
      <c r="T183" s="62">
        <f t="shared" si="142"/>
        <v>193.28400454669347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4.2077794880322113E-22</v>
      </c>
      <c r="AC183" s="24">
        <f t="shared" si="163"/>
        <v>4.2077794880322113E-22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-3.979039320256561E-13</v>
      </c>
      <c r="AJ183" s="14">
        <f>AI183*VLOOKUP('Données projet'!$B$10,Paramètres!$A$1:$I$89,3,0)*VLOOKUP('Données projet'!$B$10,Paramètres!$A$1:$I$89,5,0)</f>
        <v>-4.0347458707401528E-13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414.29294334114661</v>
      </c>
      <c r="AO183" s="62">
        <f t="shared" si="144"/>
        <v>178.72086185623849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-3.979039320256561E-13</v>
      </c>
      <c r="BE183" s="14">
        <f>BD183*VLOOKUP('Données projet'!$B$11,Paramètres!$A$1:$I$89,3,0)*VLOOKUP('Données projet'!$B$11,Paramètres!$A$1:$I$89,5,0)</f>
        <v>-4.2830379243241627E-13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434.74983403680108</v>
      </c>
      <c r="BJ183" s="62">
        <f t="shared" si="146"/>
        <v>186.0840067781198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1.1368683772161603E-13</v>
      </c>
      <c r="BZ183" s="14">
        <f>BY183*VLOOKUP('Données projet'!$B$12,Paramètres!$A$1:$I$89,3,0)*VLOOKUP('Données projet'!$B$12,Paramètres!$A$1:$I$89,5,0)</f>
        <v>9.7543306765146564E-14</v>
      </c>
      <c r="CA183" s="14">
        <f t="shared" si="170"/>
        <v>1.4696264278629426E-12</v>
      </c>
      <c r="CB183" s="22">
        <f t="shared" si="171"/>
        <v>2.7294872878105889E-12</v>
      </c>
      <c r="CC183" s="62">
        <f t="shared" si="119"/>
        <v>289.40522170385736</v>
      </c>
      <c r="CD183" s="62">
        <f ca="1">AVERAGE(OFFSET($CC$3,0,0,'Données projet'!$E$12+1,1))-AVERAGE(OFFSET($H$3,0,0,'Données projet'!$E$12+1,1))</f>
        <v>288.24759203983547</v>
      </c>
      <c r="CE183" s="62">
        <f t="shared" si="148"/>
        <v>188.86613033148794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1.1368683772161603E-13</v>
      </c>
      <c r="CU183" s="18">
        <f>CT183*VLOOKUP('Données projet'!$B$13,Paramètres!$A$1:$I$89,3,0)*VLOOKUP('Données projet'!$B$13,Paramètres!$A$1:$I$89,5,0)</f>
        <v>7.626113074366004E-14</v>
      </c>
      <c r="CV183" s="14">
        <f t="shared" si="173"/>
        <v>1.1823749172251317E-12</v>
      </c>
      <c r="CW183" s="22">
        <f t="shared" si="174"/>
        <v>2.1921244502123119E-12</v>
      </c>
      <c r="CX183" s="62">
        <f t="shared" si="122"/>
        <v>289.40522170385685</v>
      </c>
      <c r="CY183" s="62">
        <f ca="1">AVERAGE(OFFSET($CX$3,0,0,'Données projet'!$E$13+1,1))-AVERAGE(OFFSET($H$3,0,0,'Données projet'!$E$13+1,1))</f>
        <v>240.40157928925146</v>
      </c>
      <c r="CZ183" s="62">
        <f t="shared" si="150"/>
        <v>160.5013084380258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-3.979039320256561E-13</v>
      </c>
      <c r="DP183" s="18">
        <f>DO183*VLOOKUP('Données projet'!$B$14,Paramètres!$A$1:$I$89,3,0)*VLOOKUP('Données projet'!$B$14,Paramètres!$A$1:$I$89,5,0)</f>
        <v>-3.8485268305521461E-13</v>
      </c>
      <c r="DQ183" s="14" t="e">
        <f t="shared" si="176"/>
        <v>#NUM!</v>
      </c>
      <c r="DR183" s="22" t="e">
        <f t="shared" si="177"/>
        <v>#NUM!</v>
      </c>
      <c r="DS183" s="62" t="e">
        <f t="shared" si="125"/>
        <v>#NUM!</v>
      </c>
      <c r="DT183" s="62">
        <f ca="1">AVERAGE(OFFSET($DS$3,0,0,'Données projet'!$E$14+1,1))-AVERAGE(OFFSET($H$3,0,0,'Données projet'!$E$14+1,1))</f>
        <v>398.93296311353788</v>
      </c>
      <c r="DU183" s="62">
        <f t="shared" si="152"/>
        <v>173.19148969173838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-5.6843418860808015E-14</v>
      </c>
      <c r="EK183" s="18">
        <f>EJ183*VLOOKUP('Données projet'!$B$15,Paramètres!$A$1:$I$89,3,0)*VLOOKUP('Données projet'!$B$15,Paramètres!$A$1:$I$89,5,0)</f>
        <v>-4.9658410716801891E-14</v>
      </c>
      <c r="EL183" s="14" t="e">
        <f t="shared" si="179"/>
        <v>#NUM!</v>
      </c>
      <c r="EM183" s="22" t="e">
        <f t="shared" si="180"/>
        <v>#NUM!</v>
      </c>
      <c r="EN183" s="62" t="e">
        <f t="shared" si="128"/>
        <v>#NUM!</v>
      </c>
      <c r="EO183" s="62">
        <f ca="1">AVERAGE(OFFSET($EN$3,0,0,'Données projet'!$E$15+1,1))-AVERAGE(OFFSET($H$3,0,0,'Données projet'!$E$15+1,1))</f>
        <v>226.37420733783091</v>
      </c>
      <c r="EP183" s="62">
        <f t="shared" si="154"/>
        <v>204.10961748628714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6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9">
        <f t="shared" si="110"/>
        <v>183.33333333333334</v>
      </c>
      <c r="I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2.8421709430404007E-13</v>
      </c>
      <c r="O184" s="14">
        <f>N184*VLOOKUP('Données projet'!$B$9,Paramètres!$A$1:$I$89,3,0)*VLOOKUP('Données projet'!$B$9,Paramètres!$A$1:$I$89,5,0)</f>
        <v>1.6626700016786346E-13</v>
      </c>
      <c r="P184" s="14">
        <f t="shared" si="141"/>
        <v>2.3542701735863119E-12</v>
      </c>
      <c r="Q184" s="22">
        <f t="shared" si="162"/>
        <v>4.3899355776218544E-12</v>
      </c>
      <c r="R184" s="62">
        <f t="shared" si="109"/>
        <v>289.47336565868846</v>
      </c>
      <c r="S184" s="62">
        <f ca="1">AVERAGE(OFFSET($R$3,0,0,'Données projet'!$E$9+1,1))-AVERAGE(OFFSET($H$3,0,0,'Données projet'!$E$9+1,1))</f>
        <v>196.48726929442091</v>
      </c>
      <c r="T184" s="62">
        <f t="shared" si="142"/>
        <v>193.28400454669347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2.9753494097252361E-22</v>
      </c>
      <c r="AC184" s="24">
        <f t="shared" si="163"/>
        <v>2.9753494097252361E-22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-3.979039320256561E-13</v>
      </c>
      <c r="AJ184" s="14">
        <f>AI184*VLOOKUP('Données projet'!$B$10,Paramètres!$A$1:$I$89,3,0)*VLOOKUP('Données projet'!$B$10,Paramètres!$A$1:$I$89,5,0)</f>
        <v>-4.0347458707401528E-13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414.29294334114661</v>
      </c>
      <c r="AO184" s="62">
        <f t="shared" si="144"/>
        <v>178.72086185623849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-3.979039320256561E-13</v>
      </c>
      <c r="BE184" s="14">
        <f>BD184*VLOOKUP('Données projet'!$B$11,Paramètres!$A$1:$I$89,3,0)*VLOOKUP('Données projet'!$B$11,Paramètres!$A$1:$I$89,5,0)</f>
        <v>-4.2830379243241627E-13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434.74983403680108</v>
      </c>
      <c r="BJ184" s="62">
        <f t="shared" si="146"/>
        <v>186.0840067781198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1.1368683772161603E-13</v>
      </c>
      <c r="BZ184" s="14">
        <f>BY184*VLOOKUP('Données projet'!$B$12,Paramètres!$A$1:$I$89,3,0)*VLOOKUP('Données projet'!$B$12,Paramètres!$A$1:$I$89,5,0)</f>
        <v>9.7543306765146564E-14</v>
      </c>
      <c r="CA184" s="14">
        <f t="shared" si="170"/>
        <v>1.4696264278629426E-12</v>
      </c>
      <c r="CB184" s="22">
        <f t="shared" si="171"/>
        <v>2.7294872878105889E-12</v>
      </c>
      <c r="CC184" s="62">
        <f t="shared" si="119"/>
        <v>289.47336565868682</v>
      </c>
      <c r="CD184" s="62">
        <f ca="1">AVERAGE(OFFSET($CC$3,0,0,'Données projet'!$E$12+1,1))-AVERAGE(OFFSET($H$3,0,0,'Données projet'!$E$12+1,1))</f>
        <v>288.24759203983547</v>
      </c>
      <c r="CE184" s="62">
        <f t="shared" si="148"/>
        <v>188.86613033148794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1.1368683772161603E-13</v>
      </c>
      <c r="CU184" s="18">
        <f>CT184*VLOOKUP('Données projet'!$B$13,Paramètres!$A$1:$I$89,3,0)*VLOOKUP('Données projet'!$B$13,Paramètres!$A$1:$I$89,5,0)</f>
        <v>7.626113074366004E-14</v>
      </c>
      <c r="CV184" s="14">
        <f t="shared" si="173"/>
        <v>1.1823749172251317E-12</v>
      </c>
      <c r="CW184" s="22">
        <f t="shared" si="174"/>
        <v>2.1921244502123119E-12</v>
      </c>
      <c r="CX184" s="62">
        <f t="shared" si="122"/>
        <v>289.4733656586863</v>
      </c>
      <c r="CY184" s="62">
        <f ca="1">AVERAGE(OFFSET($CX$3,0,0,'Données projet'!$E$13+1,1))-AVERAGE(OFFSET($H$3,0,0,'Données projet'!$E$13+1,1))</f>
        <v>240.40157928925146</v>
      </c>
      <c r="CZ184" s="62">
        <f t="shared" si="150"/>
        <v>160.5013084380258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-3.979039320256561E-13</v>
      </c>
      <c r="DP184" s="18">
        <f>DO184*VLOOKUP('Données projet'!$B$14,Paramètres!$A$1:$I$89,3,0)*VLOOKUP('Données projet'!$B$14,Paramètres!$A$1:$I$89,5,0)</f>
        <v>-3.8485268305521461E-13</v>
      </c>
      <c r="DQ184" s="14" t="e">
        <f t="shared" si="176"/>
        <v>#NUM!</v>
      </c>
      <c r="DR184" s="22" t="e">
        <f t="shared" si="177"/>
        <v>#NUM!</v>
      </c>
      <c r="DS184" s="62" t="e">
        <f t="shared" si="125"/>
        <v>#NUM!</v>
      </c>
      <c r="DT184" s="62">
        <f ca="1">AVERAGE(OFFSET($DS$3,0,0,'Données projet'!$E$14+1,1))-AVERAGE(OFFSET($H$3,0,0,'Données projet'!$E$14+1,1))</f>
        <v>398.93296311353788</v>
      </c>
      <c r="DU184" s="62">
        <f t="shared" si="152"/>
        <v>173.19148969173838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-5.6843418860808015E-14</v>
      </c>
      <c r="EK184" s="18">
        <f>EJ184*VLOOKUP('Données projet'!$B$15,Paramètres!$A$1:$I$89,3,0)*VLOOKUP('Données projet'!$B$15,Paramètres!$A$1:$I$89,5,0)</f>
        <v>-4.9658410716801891E-14</v>
      </c>
      <c r="EL184" s="14" t="e">
        <f t="shared" si="179"/>
        <v>#NUM!</v>
      </c>
      <c r="EM184" s="22" t="e">
        <f t="shared" si="180"/>
        <v>#NUM!</v>
      </c>
      <c r="EN184" s="62" t="e">
        <f t="shared" si="128"/>
        <v>#NUM!</v>
      </c>
      <c r="EO184" s="62">
        <f ca="1">AVERAGE(OFFSET($EN$3,0,0,'Données projet'!$E$15+1,1))-AVERAGE(OFFSET($H$3,0,0,'Données projet'!$E$15+1,1))</f>
        <v>226.37420733783091</v>
      </c>
      <c r="EP184" s="62">
        <f t="shared" si="154"/>
        <v>204.10961748628714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6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9">
        <f t="shared" si="110"/>
        <v>183.33333333333334</v>
      </c>
      <c r="I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2.8421709430404007E-13</v>
      </c>
      <c r="O185" s="14">
        <f>N185*VLOOKUP('Données projet'!$B$9,Paramètres!$A$1:$I$89,3,0)*VLOOKUP('Données projet'!$B$9,Paramètres!$A$1:$I$89,5,0)</f>
        <v>1.6626700016786346E-13</v>
      </c>
      <c r="P185" s="14">
        <f t="shared" si="141"/>
        <v>2.3542701735863119E-12</v>
      </c>
      <c r="Q185" s="22">
        <f t="shared" si="162"/>
        <v>4.3899355776218544E-12</v>
      </c>
      <c r="R185" s="62">
        <f t="shared" si="109"/>
        <v>289.54032746824879</v>
      </c>
      <c r="S185" s="62">
        <f ca="1">AVERAGE(OFFSET($R$3,0,0,'Données projet'!$E$9+1,1))-AVERAGE(OFFSET($H$3,0,0,'Données projet'!$E$9+1,1))</f>
        <v>196.48726929442091</v>
      </c>
      <c r="T185" s="62">
        <f t="shared" si="142"/>
        <v>193.28400454669347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2.1038897440161061E-22</v>
      </c>
      <c r="AC185" s="24">
        <f t="shared" si="163"/>
        <v>2.1038897440161061E-22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-3.979039320256561E-13</v>
      </c>
      <c r="AJ185" s="14">
        <f>AI185*VLOOKUP('Données projet'!$B$10,Paramètres!$A$1:$I$89,3,0)*VLOOKUP('Données projet'!$B$10,Paramètres!$A$1:$I$89,5,0)</f>
        <v>-4.0347458707401528E-13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414.29294334114661</v>
      </c>
      <c r="AO185" s="62">
        <f t="shared" si="144"/>
        <v>178.72086185623849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-3.979039320256561E-13</v>
      </c>
      <c r="BE185" s="14">
        <f>BD185*VLOOKUP('Données projet'!$B$11,Paramètres!$A$1:$I$89,3,0)*VLOOKUP('Données projet'!$B$11,Paramètres!$A$1:$I$89,5,0)</f>
        <v>-4.2830379243241627E-13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434.74983403680108</v>
      </c>
      <c r="BJ185" s="62">
        <f t="shared" si="146"/>
        <v>186.0840067781198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1.1368683772161603E-13</v>
      </c>
      <c r="BZ185" s="14">
        <f>BY185*VLOOKUP('Données projet'!$B$12,Paramètres!$A$1:$I$89,3,0)*VLOOKUP('Données projet'!$B$12,Paramètres!$A$1:$I$89,5,0)</f>
        <v>9.7543306765146564E-14</v>
      </c>
      <c r="CA185" s="14">
        <f t="shared" si="170"/>
        <v>1.4696264278629426E-12</v>
      </c>
      <c r="CB185" s="22">
        <f t="shared" si="171"/>
        <v>2.7294872878105889E-12</v>
      </c>
      <c r="CC185" s="62">
        <f t="shared" si="119"/>
        <v>289.54032746824714</v>
      </c>
      <c r="CD185" s="62">
        <f ca="1">AVERAGE(OFFSET($CC$3,0,0,'Données projet'!$E$12+1,1))-AVERAGE(OFFSET($H$3,0,0,'Données projet'!$E$12+1,1))</f>
        <v>288.24759203983547</v>
      </c>
      <c r="CE185" s="62">
        <f t="shared" si="148"/>
        <v>188.86613033148794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1.1368683772161603E-13</v>
      </c>
      <c r="CU185" s="18">
        <f>CT185*VLOOKUP('Données projet'!$B$13,Paramètres!$A$1:$I$89,3,0)*VLOOKUP('Données projet'!$B$13,Paramètres!$A$1:$I$89,5,0)</f>
        <v>7.626113074366004E-14</v>
      </c>
      <c r="CV185" s="14">
        <f t="shared" si="173"/>
        <v>1.1823749172251317E-12</v>
      </c>
      <c r="CW185" s="22">
        <f t="shared" si="174"/>
        <v>2.1921244502123119E-12</v>
      </c>
      <c r="CX185" s="62">
        <f t="shared" si="122"/>
        <v>289.54032746824663</v>
      </c>
      <c r="CY185" s="62">
        <f ca="1">AVERAGE(OFFSET($CX$3,0,0,'Données projet'!$E$13+1,1))-AVERAGE(OFFSET($H$3,0,0,'Données projet'!$E$13+1,1))</f>
        <v>240.40157928925146</v>
      </c>
      <c r="CZ185" s="62">
        <f t="shared" si="150"/>
        <v>160.5013084380258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-3.979039320256561E-13</v>
      </c>
      <c r="DP185" s="18">
        <f>DO185*VLOOKUP('Données projet'!$B$14,Paramètres!$A$1:$I$89,3,0)*VLOOKUP('Données projet'!$B$14,Paramètres!$A$1:$I$89,5,0)</f>
        <v>-3.8485268305521461E-13</v>
      </c>
      <c r="DQ185" s="14" t="e">
        <f t="shared" si="176"/>
        <v>#NUM!</v>
      </c>
      <c r="DR185" s="22" t="e">
        <f t="shared" si="177"/>
        <v>#NUM!</v>
      </c>
      <c r="DS185" s="62" t="e">
        <f t="shared" si="125"/>
        <v>#NUM!</v>
      </c>
      <c r="DT185" s="62">
        <f ca="1">AVERAGE(OFFSET($DS$3,0,0,'Données projet'!$E$14+1,1))-AVERAGE(OFFSET($H$3,0,0,'Données projet'!$E$14+1,1))</f>
        <v>398.93296311353788</v>
      </c>
      <c r="DU185" s="62">
        <f t="shared" si="152"/>
        <v>173.19148969173838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-5.6843418860808015E-14</v>
      </c>
      <c r="EK185" s="18">
        <f>EJ185*VLOOKUP('Données projet'!$B$15,Paramètres!$A$1:$I$89,3,0)*VLOOKUP('Données projet'!$B$15,Paramètres!$A$1:$I$89,5,0)</f>
        <v>-4.9658410716801891E-14</v>
      </c>
      <c r="EL185" s="14" t="e">
        <f t="shared" si="179"/>
        <v>#NUM!</v>
      </c>
      <c r="EM185" s="22" t="e">
        <f t="shared" si="180"/>
        <v>#NUM!</v>
      </c>
      <c r="EN185" s="62" t="e">
        <f t="shared" si="128"/>
        <v>#NUM!</v>
      </c>
      <c r="EO185" s="62">
        <f ca="1">AVERAGE(OFFSET($EN$3,0,0,'Données projet'!$E$15+1,1))-AVERAGE(OFFSET($H$3,0,0,'Données projet'!$E$15+1,1))</f>
        <v>226.37420733783091</v>
      </c>
      <c r="EP185" s="62">
        <f t="shared" si="154"/>
        <v>204.10961748628714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6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9">
        <f t="shared" si="110"/>
        <v>183.33333333333334</v>
      </c>
      <c r="I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2.8421709430404007E-13</v>
      </c>
      <c r="O186" s="14">
        <f>N186*VLOOKUP('Données projet'!$B$9,Paramètres!$A$1:$I$89,3,0)*VLOOKUP('Données projet'!$B$9,Paramètres!$A$1:$I$89,5,0)</f>
        <v>1.6626700016786346E-13</v>
      </c>
      <c r="P186" s="14">
        <f t="shared" si="141"/>
        <v>2.3542701735863119E-12</v>
      </c>
      <c r="Q186" s="22">
        <f t="shared" si="162"/>
        <v>4.3899355776218544E-12</v>
      </c>
      <c r="R186" s="62">
        <f t="shared" si="109"/>
        <v>289.60612764011734</v>
      </c>
      <c r="S186" s="62">
        <f ca="1">AVERAGE(OFFSET($R$3,0,0,'Données projet'!$E$9+1,1))-AVERAGE(OFFSET($H$3,0,0,'Données projet'!$E$9+1,1))</f>
        <v>196.48726929442091</v>
      </c>
      <c r="T186" s="62">
        <f t="shared" si="142"/>
        <v>193.28400454669347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1.4876747048626183E-22</v>
      </c>
      <c r="AC186" s="24">
        <f t="shared" si="163"/>
        <v>1.4876747048626183E-22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-3.979039320256561E-13</v>
      </c>
      <c r="AJ186" s="14">
        <f>AI186*VLOOKUP('Données projet'!$B$10,Paramètres!$A$1:$I$89,3,0)*VLOOKUP('Données projet'!$B$10,Paramètres!$A$1:$I$89,5,0)</f>
        <v>-4.0347458707401528E-13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414.29294334114661</v>
      </c>
      <c r="AO186" s="62">
        <f t="shared" si="144"/>
        <v>178.72086185623849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-3.979039320256561E-13</v>
      </c>
      <c r="BE186" s="14">
        <f>BD186*VLOOKUP('Données projet'!$B$11,Paramètres!$A$1:$I$89,3,0)*VLOOKUP('Données projet'!$B$11,Paramètres!$A$1:$I$89,5,0)</f>
        <v>-4.2830379243241627E-13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434.74983403680108</v>
      </c>
      <c r="BJ186" s="62">
        <f t="shared" si="146"/>
        <v>186.0840067781198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1.1368683772161603E-13</v>
      </c>
      <c r="BZ186" s="14">
        <f>BY186*VLOOKUP('Données projet'!$B$12,Paramètres!$A$1:$I$89,3,0)*VLOOKUP('Données projet'!$B$12,Paramètres!$A$1:$I$89,5,0)</f>
        <v>9.7543306765146564E-14</v>
      </c>
      <c r="CA186" s="14">
        <f t="shared" si="170"/>
        <v>1.4696264278629426E-12</v>
      </c>
      <c r="CB186" s="22">
        <f t="shared" si="171"/>
        <v>2.7294872878105889E-12</v>
      </c>
      <c r="CC186" s="62">
        <f t="shared" si="119"/>
        <v>289.60612764011569</v>
      </c>
      <c r="CD186" s="62">
        <f ca="1">AVERAGE(OFFSET($CC$3,0,0,'Données projet'!$E$12+1,1))-AVERAGE(OFFSET($H$3,0,0,'Données projet'!$E$12+1,1))</f>
        <v>288.24759203983547</v>
      </c>
      <c r="CE186" s="62">
        <f t="shared" si="148"/>
        <v>188.86613033148794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1.1368683772161603E-13</v>
      </c>
      <c r="CU186" s="18">
        <f>CT186*VLOOKUP('Données projet'!$B$13,Paramètres!$A$1:$I$89,3,0)*VLOOKUP('Données projet'!$B$13,Paramètres!$A$1:$I$89,5,0)</f>
        <v>7.626113074366004E-14</v>
      </c>
      <c r="CV186" s="14">
        <f t="shared" si="173"/>
        <v>1.1823749172251317E-12</v>
      </c>
      <c r="CW186" s="22">
        <f t="shared" si="174"/>
        <v>2.1921244502123119E-12</v>
      </c>
      <c r="CX186" s="62">
        <f t="shared" si="122"/>
        <v>289.60612764011518</v>
      </c>
      <c r="CY186" s="62">
        <f ca="1">AVERAGE(OFFSET($CX$3,0,0,'Données projet'!$E$13+1,1))-AVERAGE(OFFSET($H$3,0,0,'Données projet'!$E$13+1,1))</f>
        <v>240.40157928925146</v>
      </c>
      <c r="CZ186" s="62">
        <f t="shared" si="150"/>
        <v>160.5013084380258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-3.979039320256561E-13</v>
      </c>
      <c r="DP186" s="18">
        <f>DO186*VLOOKUP('Données projet'!$B$14,Paramètres!$A$1:$I$89,3,0)*VLOOKUP('Données projet'!$B$14,Paramètres!$A$1:$I$89,5,0)</f>
        <v>-3.8485268305521461E-13</v>
      </c>
      <c r="DQ186" s="14" t="e">
        <f t="shared" si="176"/>
        <v>#NUM!</v>
      </c>
      <c r="DR186" s="22" t="e">
        <f t="shared" si="177"/>
        <v>#NUM!</v>
      </c>
      <c r="DS186" s="62" t="e">
        <f t="shared" si="125"/>
        <v>#NUM!</v>
      </c>
      <c r="DT186" s="62">
        <f ca="1">AVERAGE(OFFSET($DS$3,0,0,'Données projet'!$E$14+1,1))-AVERAGE(OFFSET($H$3,0,0,'Données projet'!$E$14+1,1))</f>
        <v>398.93296311353788</v>
      </c>
      <c r="DU186" s="62">
        <f t="shared" si="152"/>
        <v>173.19148969173838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-5.6843418860808015E-14</v>
      </c>
      <c r="EK186" s="18">
        <f>EJ186*VLOOKUP('Données projet'!$B$15,Paramètres!$A$1:$I$89,3,0)*VLOOKUP('Données projet'!$B$15,Paramètres!$A$1:$I$89,5,0)</f>
        <v>-4.9658410716801891E-14</v>
      </c>
      <c r="EL186" s="14" t="e">
        <f t="shared" si="179"/>
        <v>#NUM!</v>
      </c>
      <c r="EM186" s="22" t="e">
        <f t="shared" si="180"/>
        <v>#NUM!</v>
      </c>
      <c r="EN186" s="62" t="e">
        <f t="shared" si="128"/>
        <v>#NUM!</v>
      </c>
      <c r="EO186" s="62">
        <f ca="1">AVERAGE(OFFSET($EN$3,0,0,'Données projet'!$E$15+1,1))-AVERAGE(OFFSET($H$3,0,0,'Données projet'!$E$15+1,1))</f>
        <v>226.37420733783091</v>
      </c>
      <c r="EP186" s="62">
        <f t="shared" si="154"/>
        <v>204.10961748628714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6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9">
        <f t="shared" si="110"/>
        <v>183.33333333333334</v>
      </c>
      <c r="I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2.8421709430404007E-13</v>
      </c>
      <c r="O187" s="14">
        <f>N187*VLOOKUP('Données projet'!$B$9,Paramètres!$A$1:$I$89,3,0)*VLOOKUP('Données projet'!$B$9,Paramètres!$A$1:$I$89,5,0)</f>
        <v>1.6626700016786346E-13</v>
      </c>
      <c r="P187" s="14">
        <f t="shared" si="141"/>
        <v>2.3542701735863119E-12</v>
      </c>
      <c r="Q187" s="22">
        <f t="shared" si="162"/>
        <v>4.3899355776218544E-12</v>
      </c>
      <c r="R187" s="62">
        <f t="shared" si="109"/>
        <v>289.67078632611111</v>
      </c>
      <c r="S187" s="62">
        <f ca="1">AVERAGE(OFFSET($R$3,0,0,'Données projet'!$E$9+1,1))-AVERAGE(OFFSET($H$3,0,0,'Données projet'!$E$9+1,1))</f>
        <v>196.48726929442091</v>
      </c>
      <c r="T187" s="62">
        <f t="shared" si="142"/>
        <v>193.28400454669347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1.0519448720080532E-22</v>
      </c>
      <c r="AC187" s="24">
        <f t="shared" si="163"/>
        <v>1.0519448720080532E-22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-3.979039320256561E-13</v>
      </c>
      <c r="AJ187" s="14">
        <f>AI187*VLOOKUP('Données projet'!$B$10,Paramètres!$A$1:$I$89,3,0)*VLOOKUP('Données projet'!$B$10,Paramètres!$A$1:$I$89,5,0)</f>
        <v>-4.0347458707401528E-13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414.29294334114661</v>
      </c>
      <c r="AO187" s="62">
        <f t="shared" si="144"/>
        <v>178.72086185623849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-3.979039320256561E-13</v>
      </c>
      <c r="BE187" s="14">
        <f>BD187*VLOOKUP('Données projet'!$B$11,Paramètres!$A$1:$I$89,3,0)*VLOOKUP('Données projet'!$B$11,Paramètres!$A$1:$I$89,5,0)</f>
        <v>-4.2830379243241627E-13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434.74983403680108</v>
      </c>
      <c r="BJ187" s="62">
        <f t="shared" si="146"/>
        <v>186.0840067781198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1.1368683772161603E-13</v>
      </c>
      <c r="BZ187" s="14">
        <f>BY187*VLOOKUP('Données projet'!$B$12,Paramètres!$A$1:$I$89,3,0)*VLOOKUP('Données projet'!$B$12,Paramètres!$A$1:$I$89,5,0)</f>
        <v>9.7543306765146564E-14</v>
      </c>
      <c r="CA187" s="14">
        <f t="shared" si="170"/>
        <v>1.4696264278629426E-12</v>
      </c>
      <c r="CB187" s="22">
        <f t="shared" si="171"/>
        <v>2.7294872878105889E-12</v>
      </c>
      <c r="CC187" s="62">
        <f t="shared" si="119"/>
        <v>289.67078632610946</v>
      </c>
      <c r="CD187" s="62">
        <f ca="1">AVERAGE(OFFSET($CC$3,0,0,'Données projet'!$E$12+1,1))-AVERAGE(OFFSET($H$3,0,0,'Données projet'!$E$12+1,1))</f>
        <v>288.24759203983547</v>
      </c>
      <c r="CE187" s="62">
        <f t="shared" si="148"/>
        <v>188.86613033148794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1.1368683772161603E-13</v>
      </c>
      <c r="CU187" s="18">
        <f>CT187*VLOOKUP('Données projet'!$B$13,Paramètres!$A$1:$I$89,3,0)*VLOOKUP('Données projet'!$B$13,Paramètres!$A$1:$I$89,5,0)</f>
        <v>7.626113074366004E-14</v>
      </c>
      <c r="CV187" s="14">
        <f t="shared" si="173"/>
        <v>1.1823749172251317E-12</v>
      </c>
      <c r="CW187" s="22">
        <f t="shared" si="174"/>
        <v>2.1921244502123119E-12</v>
      </c>
      <c r="CX187" s="62">
        <f t="shared" si="122"/>
        <v>289.67078632610895</v>
      </c>
      <c r="CY187" s="62">
        <f ca="1">AVERAGE(OFFSET($CX$3,0,0,'Données projet'!$E$13+1,1))-AVERAGE(OFFSET($H$3,0,0,'Données projet'!$E$13+1,1))</f>
        <v>240.40157928925146</v>
      </c>
      <c r="CZ187" s="62">
        <f t="shared" si="150"/>
        <v>160.5013084380258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-3.979039320256561E-13</v>
      </c>
      <c r="DP187" s="18">
        <f>DO187*VLOOKUP('Données projet'!$B$14,Paramètres!$A$1:$I$89,3,0)*VLOOKUP('Données projet'!$B$14,Paramètres!$A$1:$I$89,5,0)</f>
        <v>-3.8485268305521461E-13</v>
      </c>
      <c r="DQ187" s="14" t="e">
        <f t="shared" si="176"/>
        <v>#NUM!</v>
      </c>
      <c r="DR187" s="22" t="e">
        <f t="shared" si="177"/>
        <v>#NUM!</v>
      </c>
      <c r="DS187" s="62" t="e">
        <f t="shared" si="125"/>
        <v>#NUM!</v>
      </c>
      <c r="DT187" s="62">
        <f ca="1">AVERAGE(OFFSET($DS$3,0,0,'Données projet'!$E$14+1,1))-AVERAGE(OFFSET($H$3,0,0,'Données projet'!$E$14+1,1))</f>
        <v>398.93296311353788</v>
      </c>
      <c r="DU187" s="62">
        <f t="shared" si="152"/>
        <v>173.19148969173838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-5.6843418860808015E-14</v>
      </c>
      <c r="EK187" s="18">
        <f>EJ187*VLOOKUP('Données projet'!$B$15,Paramètres!$A$1:$I$89,3,0)*VLOOKUP('Données projet'!$B$15,Paramètres!$A$1:$I$89,5,0)</f>
        <v>-4.9658410716801891E-14</v>
      </c>
      <c r="EL187" s="14" t="e">
        <f t="shared" si="179"/>
        <v>#NUM!</v>
      </c>
      <c r="EM187" s="22" t="e">
        <f t="shared" si="180"/>
        <v>#NUM!</v>
      </c>
      <c r="EN187" s="62" t="e">
        <f t="shared" si="128"/>
        <v>#NUM!</v>
      </c>
      <c r="EO187" s="62">
        <f ca="1">AVERAGE(OFFSET($EN$3,0,0,'Données projet'!$E$15+1,1))-AVERAGE(OFFSET($H$3,0,0,'Données projet'!$E$15+1,1))</f>
        <v>226.37420733783091</v>
      </c>
      <c r="EP187" s="62">
        <f t="shared" si="154"/>
        <v>204.10961748628714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6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9">
        <f t="shared" si="110"/>
        <v>183.33333333333334</v>
      </c>
      <c r="I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2.8421709430404007E-13</v>
      </c>
      <c r="O188" s="14">
        <f>N188*VLOOKUP('Données projet'!$B$9,Paramètres!$A$1:$I$89,3,0)*VLOOKUP('Données projet'!$B$9,Paramètres!$A$1:$I$89,5,0)</f>
        <v>1.6626700016786346E-13</v>
      </c>
      <c r="P188" s="14">
        <f t="shared" si="141"/>
        <v>2.3542701735863119E-12</v>
      </c>
      <c r="Q188" s="22">
        <f t="shared" si="162"/>
        <v>4.3899355776218544E-12</v>
      </c>
      <c r="R188" s="62">
        <f t="shared" si="109"/>
        <v>289.73432332845812</v>
      </c>
      <c r="S188" s="62">
        <f ca="1">AVERAGE(OFFSET($R$3,0,0,'Données projet'!$E$9+1,1))-AVERAGE(OFFSET($H$3,0,0,'Données projet'!$E$9+1,1))</f>
        <v>196.48726929442091</v>
      </c>
      <c r="T188" s="62">
        <f t="shared" si="142"/>
        <v>193.28400454669347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7.4383735243130927E-23</v>
      </c>
      <c r="AC188" s="24">
        <f t="shared" si="163"/>
        <v>7.4383735243130927E-23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-3.979039320256561E-13</v>
      </c>
      <c r="AJ188" s="14">
        <f>AI188*VLOOKUP('Données projet'!$B$10,Paramètres!$A$1:$I$89,3,0)*VLOOKUP('Données projet'!$B$10,Paramètres!$A$1:$I$89,5,0)</f>
        <v>-4.0347458707401528E-13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414.29294334114661</v>
      </c>
      <c r="AO188" s="62">
        <f t="shared" si="144"/>
        <v>178.72086185623849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-3.979039320256561E-13</v>
      </c>
      <c r="BE188" s="14">
        <f>BD188*VLOOKUP('Données projet'!$B$11,Paramètres!$A$1:$I$89,3,0)*VLOOKUP('Données projet'!$B$11,Paramètres!$A$1:$I$89,5,0)</f>
        <v>-4.2830379243241627E-13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434.74983403680108</v>
      </c>
      <c r="BJ188" s="62">
        <f t="shared" si="146"/>
        <v>186.0840067781198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1.1368683772161603E-13</v>
      </c>
      <c r="BZ188" s="14">
        <f>BY188*VLOOKUP('Données projet'!$B$12,Paramètres!$A$1:$I$89,3,0)*VLOOKUP('Données projet'!$B$12,Paramètres!$A$1:$I$89,5,0)</f>
        <v>9.7543306765146564E-14</v>
      </c>
      <c r="CA188" s="14">
        <f t="shared" si="170"/>
        <v>1.4696264278629426E-12</v>
      </c>
      <c r="CB188" s="22">
        <f t="shared" si="171"/>
        <v>2.7294872878105889E-12</v>
      </c>
      <c r="CC188" s="62">
        <f t="shared" si="119"/>
        <v>289.73432332845647</v>
      </c>
      <c r="CD188" s="62">
        <f ca="1">AVERAGE(OFFSET($CC$3,0,0,'Données projet'!$E$12+1,1))-AVERAGE(OFFSET($H$3,0,0,'Données projet'!$E$12+1,1))</f>
        <v>288.24759203983547</v>
      </c>
      <c r="CE188" s="62">
        <f t="shared" si="148"/>
        <v>188.86613033148794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1.1368683772161603E-13</v>
      </c>
      <c r="CU188" s="18">
        <f>CT188*VLOOKUP('Données projet'!$B$13,Paramètres!$A$1:$I$89,3,0)*VLOOKUP('Données projet'!$B$13,Paramètres!$A$1:$I$89,5,0)</f>
        <v>7.626113074366004E-14</v>
      </c>
      <c r="CV188" s="14">
        <f t="shared" si="173"/>
        <v>1.1823749172251317E-12</v>
      </c>
      <c r="CW188" s="22">
        <f t="shared" si="174"/>
        <v>2.1921244502123119E-12</v>
      </c>
      <c r="CX188" s="62">
        <f t="shared" si="122"/>
        <v>289.73432332845596</v>
      </c>
      <c r="CY188" s="62">
        <f ca="1">AVERAGE(OFFSET($CX$3,0,0,'Données projet'!$E$13+1,1))-AVERAGE(OFFSET($H$3,0,0,'Données projet'!$E$13+1,1))</f>
        <v>240.40157928925146</v>
      </c>
      <c r="CZ188" s="62">
        <f t="shared" si="150"/>
        <v>160.5013084380258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-3.979039320256561E-13</v>
      </c>
      <c r="DP188" s="18">
        <f>DO188*VLOOKUP('Données projet'!$B$14,Paramètres!$A$1:$I$89,3,0)*VLOOKUP('Données projet'!$B$14,Paramètres!$A$1:$I$89,5,0)</f>
        <v>-3.8485268305521461E-13</v>
      </c>
      <c r="DQ188" s="14" t="e">
        <f t="shared" si="176"/>
        <v>#NUM!</v>
      </c>
      <c r="DR188" s="22" t="e">
        <f t="shared" si="177"/>
        <v>#NUM!</v>
      </c>
      <c r="DS188" s="62" t="e">
        <f t="shared" si="125"/>
        <v>#NUM!</v>
      </c>
      <c r="DT188" s="62">
        <f ca="1">AVERAGE(OFFSET($DS$3,0,0,'Données projet'!$E$14+1,1))-AVERAGE(OFFSET($H$3,0,0,'Données projet'!$E$14+1,1))</f>
        <v>398.93296311353788</v>
      </c>
      <c r="DU188" s="62">
        <f t="shared" si="152"/>
        <v>173.19148969173838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-5.6843418860808015E-14</v>
      </c>
      <c r="EK188" s="18">
        <f>EJ188*VLOOKUP('Données projet'!$B$15,Paramètres!$A$1:$I$89,3,0)*VLOOKUP('Données projet'!$B$15,Paramètres!$A$1:$I$89,5,0)</f>
        <v>-4.9658410716801891E-14</v>
      </c>
      <c r="EL188" s="14" t="e">
        <f t="shared" si="179"/>
        <v>#NUM!</v>
      </c>
      <c r="EM188" s="22" t="e">
        <f t="shared" si="180"/>
        <v>#NUM!</v>
      </c>
      <c r="EN188" s="62" t="e">
        <f t="shared" si="128"/>
        <v>#NUM!</v>
      </c>
      <c r="EO188" s="62">
        <f ca="1">AVERAGE(OFFSET($EN$3,0,0,'Données projet'!$E$15+1,1))-AVERAGE(OFFSET($H$3,0,0,'Données projet'!$E$15+1,1))</f>
        <v>226.37420733783091</v>
      </c>
      <c r="EP188" s="62">
        <f t="shared" si="154"/>
        <v>204.10961748628714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6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9">
        <f t="shared" si="110"/>
        <v>183.33333333333334</v>
      </c>
      <c r="I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2.8421709430404007E-13</v>
      </c>
      <c r="O189" s="14">
        <f>N189*VLOOKUP('Données projet'!$B$9,Paramètres!$A$1:$I$89,3,0)*VLOOKUP('Données projet'!$B$9,Paramètres!$A$1:$I$89,5,0)</f>
        <v>1.6626700016786346E-13</v>
      </c>
      <c r="P189" s="14">
        <f t="shared" si="141"/>
        <v>2.3542701735863119E-12</v>
      </c>
      <c r="Q189" s="22">
        <f t="shared" si="162"/>
        <v>4.3899355776218544E-12</v>
      </c>
      <c r="R189" s="62">
        <f t="shared" si="109"/>
        <v>289.79675810586178</v>
      </c>
      <c r="S189" s="62">
        <f ca="1">AVERAGE(OFFSET($R$3,0,0,'Données projet'!$E$9+1,1))-AVERAGE(OFFSET($H$3,0,0,'Données projet'!$E$9+1,1))</f>
        <v>196.48726929442091</v>
      </c>
      <c r="T189" s="62">
        <f t="shared" si="142"/>
        <v>193.28400454669347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5.2597243600402665E-23</v>
      </c>
      <c r="AC189" s="24">
        <f t="shared" si="163"/>
        <v>5.2597243600402665E-23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-3.979039320256561E-13</v>
      </c>
      <c r="AJ189" s="14">
        <f>AI189*VLOOKUP('Données projet'!$B$10,Paramètres!$A$1:$I$89,3,0)*VLOOKUP('Données projet'!$B$10,Paramètres!$A$1:$I$89,5,0)</f>
        <v>-4.0347458707401528E-13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414.29294334114661</v>
      </c>
      <c r="AO189" s="62">
        <f t="shared" si="144"/>
        <v>178.72086185623849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-3.979039320256561E-13</v>
      </c>
      <c r="BE189" s="14">
        <f>BD189*VLOOKUP('Données projet'!$B$11,Paramètres!$A$1:$I$89,3,0)*VLOOKUP('Données projet'!$B$11,Paramètres!$A$1:$I$89,5,0)</f>
        <v>-4.2830379243241627E-13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434.74983403680108</v>
      </c>
      <c r="BJ189" s="62">
        <f t="shared" si="146"/>
        <v>186.0840067781198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1.1368683772161603E-13</v>
      </c>
      <c r="BZ189" s="14">
        <f>BY189*VLOOKUP('Données projet'!$B$12,Paramètres!$A$1:$I$89,3,0)*VLOOKUP('Données projet'!$B$12,Paramètres!$A$1:$I$89,5,0)</f>
        <v>9.7543306765146564E-14</v>
      </c>
      <c r="CA189" s="14">
        <f t="shared" si="170"/>
        <v>1.4696264278629426E-12</v>
      </c>
      <c r="CB189" s="22">
        <f t="shared" si="171"/>
        <v>2.7294872878105889E-12</v>
      </c>
      <c r="CC189" s="62">
        <f t="shared" si="119"/>
        <v>289.79675810586014</v>
      </c>
      <c r="CD189" s="62">
        <f ca="1">AVERAGE(OFFSET($CC$3,0,0,'Données projet'!$E$12+1,1))-AVERAGE(OFFSET($H$3,0,0,'Données projet'!$E$12+1,1))</f>
        <v>288.24759203983547</v>
      </c>
      <c r="CE189" s="62">
        <f t="shared" si="148"/>
        <v>188.86613033148794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1.1368683772161603E-13</v>
      </c>
      <c r="CU189" s="18">
        <f>CT189*VLOOKUP('Données projet'!$B$13,Paramètres!$A$1:$I$89,3,0)*VLOOKUP('Données projet'!$B$13,Paramètres!$A$1:$I$89,5,0)</f>
        <v>7.626113074366004E-14</v>
      </c>
      <c r="CV189" s="14">
        <f t="shared" si="173"/>
        <v>1.1823749172251317E-12</v>
      </c>
      <c r="CW189" s="22">
        <f t="shared" si="174"/>
        <v>2.1921244502123119E-12</v>
      </c>
      <c r="CX189" s="62">
        <f t="shared" si="122"/>
        <v>289.79675810585962</v>
      </c>
      <c r="CY189" s="62">
        <f ca="1">AVERAGE(OFFSET($CX$3,0,0,'Données projet'!$E$13+1,1))-AVERAGE(OFFSET($H$3,0,0,'Données projet'!$E$13+1,1))</f>
        <v>240.40157928925146</v>
      </c>
      <c r="CZ189" s="62">
        <f t="shared" si="150"/>
        <v>160.5013084380258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-3.979039320256561E-13</v>
      </c>
      <c r="DP189" s="18">
        <f>DO189*VLOOKUP('Données projet'!$B$14,Paramètres!$A$1:$I$89,3,0)*VLOOKUP('Données projet'!$B$14,Paramètres!$A$1:$I$89,5,0)</f>
        <v>-3.8485268305521461E-13</v>
      </c>
      <c r="DQ189" s="14" t="e">
        <f t="shared" si="176"/>
        <v>#NUM!</v>
      </c>
      <c r="DR189" s="22" t="e">
        <f t="shared" si="177"/>
        <v>#NUM!</v>
      </c>
      <c r="DS189" s="62" t="e">
        <f t="shared" si="125"/>
        <v>#NUM!</v>
      </c>
      <c r="DT189" s="62">
        <f ca="1">AVERAGE(OFFSET($DS$3,0,0,'Données projet'!$E$14+1,1))-AVERAGE(OFFSET($H$3,0,0,'Données projet'!$E$14+1,1))</f>
        <v>398.93296311353788</v>
      </c>
      <c r="DU189" s="62">
        <f t="shared" si="152"/>
        <v>173.19148969173838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-5.6843418860808015E-14</v>
      </c>
      <c r="EK189" s="18">
        <f>EJ189*VLOOKUP('Données projet'!$B$15,Paramètres!$A$1:$I$89,3,0)*VLOOKUP('Données projet'!$B$15,Paramètres!$A$1:$I$89,5,0)</f>
        <v>-4.9658410716801891E-14</v>
      </c>
      <c r="EL189" s="14" t="e">
        <f t="shared" si="179"/>
        <v>#NUM!</v>
      </c>
      <c r="EM189" s="22" t="e">
        <f t="shared" si="180"/>
        <v>#NUM!</v>
      </c>
      <c r="EN189" s="62" t="e">
        <f t="shared" si="128"/>
        <v>#NUM!</v>
      </c>
      <c r="EO189" s="62">
        <f ca="1">AVERAGE(OFFSET($EN$3,0,0,'Données projet'!$E$15+1,1))-AVERAGE(OFFSET($H$3,0,0,'Données projet'!$E$15+1,1))</f>
        <v>226.37420733783091</v>
      </c>
      <c r="EP189" s="62">
        <f t="shared" si="154"/>
        <v>204.10961748628714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6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9">
        <f t="shared" si="110"/>
        <v>183.33333333333334</v>
      </c>
      <c r="I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2.8421709430404007E-13</v>
      </c>
      <c r="O190" s="14">
        <f>N190*VLOOKUP('Données projet'!$B$9,Paramètres!$A$1:$I$89,3,0)*VLOOKUP('Données projet'!$B$9,Paramètres!$A$1:$I$89,5,0)</f>
        <v>1.6626700016786346E-13</v>
      </c>
      <c r="P190" s="14">
        <f t="shared" si="141"/>
        <v>2.3542701735863119E-12</v>
      </c>
      <c r="Q190" s="22">
        <f t="shared" si="162"/>
        <v>4.3899355776218544E-12</v>
      </c>
      <c r="R190" s="62">
        <f t="shared" si="109"/>
        <v>289.85810977946079</v>
      </c>
      <c r="S190" s="62">
        <f ca="1">AVERAGE(OFFSET($R$3,0,0,'Données projet'!$E$9+1,1))-AVERAGE(OFFSET($H$3,0,0,'Données projet'!$E$9+1,1))</f>
        <v>196.48726929442091</v>
      </c>
      <c r="T190" s="62">
        <f t="shared" si="142"/>
        <v>193.28400454669347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3.7191867621565469E-23</v>
      </c>
      <c r="AC190" s="24">
        <f t="shared" si="163"/>
        <v>3.7191867621565469E-23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-3.979039320256561E-13</v>
      </c>
      <c r="AJ190" s="14">
        <f>AI190*VLOOKUP('Données projet'!$B$10,Paramètres!$A$1:$I$89,3,0)*VLOOKUP('Données projet'!$B$10,Paramètres!$A$1:$I$89,5,0)</f>
        <v>-4.0347458707401528E-13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414.29294334114661</v>
      </c>
      <c r="AO190" s="62">
        <f t="shared" si="144"/>
        <v>178.72086185623849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-3.979039320256561E-13</v>
      </c>
      <c r="BE190" s="14">
        <f>BD190*VLOOKUP('Données projet'!$B$11,Paramètres!$A$1:$I$89,3,0)*VLOOKUP('Données projet'!$B$11,Paramètres!$A$1:$I$89,5,0)</f>
        <v>-4.2830379243241627E-13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434.74983403680108</v>
      </c>
      <c r="BJ190" s="62">
        <f t="shared" si="146"/>
        <v>186.0840067781198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1.1368683772161603E-13</v>
      </c>
      <c r="BZ190" s="14">
        <f>BY190*VLOOKUP('Données projet'!$B$12,Paramètres!$A$1:$I$89,3,0)*VLOOKUP('Données projet'!$B$12,Paramètres!$A$1:$I$89,5,0)</f>
        <v>9.7543306765146564E-14</v>
      </c>
      <c r="CA190" s="14">
        <f t="shared" si="170"/>
        <v>1.4696264278629426E-12</v>
      </c>
      <c r="CB190" s="22">
        <f t="shared" si="171"/>
        <v>2.7294872878105889E-12</v>
      </c>
      <c r="CC190" s="62">
        <f t="shared" si="119"/>
        <v>289.85810977945914</v>
      </c>
      <c r="CD190" s="62">
        <f ca="1">AVERAGE(OFFSET($CC$3,0,0,'Données projet'!$E$12+1,1))-AVERAGE(OFFSET($H$3,0,0,'Données projet'!$E$12+1,1))</f>
        <v>288.24759203983547</v>
      </c>
      <c r="CE190" s="62">
        <f t="shared" si="148"/>
        <v>188.86613033148794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1.1368683772161603E-13</v>
      </c>
      <c r="CU190" s="18">
        <f>CT190*VLOOKUP('Données projet'!$B$13,Paramètres!$A$1:$I$89,3,0)*VLOOKUP('Données projet'!$B$13,Paramètres!$A$1:$I$89,5,0)</f>
        <v>7.626113074366004E-14</v>
      </c>
      <c r="CV190" s="14">
        <f t="shared" si="173"/>
        <v>1.1823749172251317E-12</v>
      </c>
      <c r="CW190" s="22">
        <f t="shared" si="174"/>
        <v>2.1921244502123119E-12</v>
      </c>
      <c r="CX190" s="62">
        <f t="shared" si="122"/>
        <v>289.85810977945863</v>
      </c>
      <c r="CY190" s="62">
        <f ca="1">AVERAGE(OFFSET($CX$3,0,0,'Données projet'!$E$13+1,1))-AVERAGE(OFFSET($H$3,0,0,'Données projet'!$E$13+1,1))</f>
        <v>240.40157928925146</v>
      </c>
      <c r="CZ190" s="62">
        <f t="shared" si="150"/>
        <v>160.5013084380258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-3.979039320256561E-13</v>
      </c>
      <c r="DP190" s="18">
        <f>DO190*VLOOKUP('Données projet'!$B$14,Paramètres!$A$1:$I$89,3,0)*VLOOKUP('Données projet'!$B$14,Paramètres!$A$1:$I$89,5,0)</f>
        <v>-3.8485268305521461E-13</v>
      </c>
      <c r="DQ190" s="14" t="e">
        <f t="shared" si="176"/>
        <v>#NUM!</v>
      </c>
      <c r="DR190" s="22" t="e">
        <f t="shared" si="177"/>
        <v>#NUM!</v>
      </c>
      <c r="DS190" s="62" t="e">
        <f t="shared" si="125"/>
        <v>#NUM!</v>
      </c>
      <c r="DT190" s="62">
        <f ca="1">AVERAGE(OFFSET($DS$3,0,0,'Données projet'!$E$14+1,1))-AVERAGE(OFFSET($H$3,0,0,'Données projet'!$E$14+1,1))</f>
        <v>398.93296311353788</v>
      </c>
      <c r="DU190" s="62">
        <f t="shared" si="152"/>
        <v>173.19148969173838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-5.6843418860808015E-14</v>
      </c>
      <c r="EK190" s="18">
        <f>EJ190*VLOOKUP('Données projet'!$B$15,Paramètres!$A$1:$I$89,3,0)*VLOOKUP('Données projet'!$B$15,Paramètres!$A$1:$I$89,5,0)</f>
        <v>-4.9658410716801891E-14</v>
      </c>
      <c r="EL190" s="14" t="e">
        <f t="shared" si="179"/>
        <v>#NUM!</v>
      </c>
      <c r="EM190" s="22" t="e">
        <f t="shared" si="180"/>
        <v>#NUM!</v>
      </c>
      <c r="EN190" s="62" t="e">
        <f t="shared" si="128"/>
        <v>#NUM!</v>
      </c>
      <c r="EO190" s="62">
        <f ca="1">AVERAGE(OFFSET($EN$3,0,0,'Données projet'!$E$15+1,1))-AVERAGE(OFFSET($H$3,0,0,'Données projet'!$E$15+1,1))</f>
        <v>226.37420733783091</v>
      </c>
      <c r="EP190" s="62">
        <f t="shared" si="154"/>
        <v>204.10961748628714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6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9">
        <f t="shared" si="110"/>
        <v>183.33333333333334</v>
      </c>
      <c r="I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2.8421709430404007E-13</v>
      </c>
      <c r="O191" s="14">
        <f>N191*VLOOKUP('Données projet'!$B$9,Paramètres!$A$1:$I$89,3,0)*VLOOKUP('Données projet'!$B$9,Paramètres!$A$1:$I$89,5,0)</f>
        <v>1.6626700016786346E-13</v>
      </c>
      <c r="P191" s="14">
        <f t="shared" si="141"/>
        <v>2.3542701735863119E-12</v>
      </c>
      <c r="Q191" s="22">
        <f t="shared" si="162"/>
        <v>4.3899355776218544E-12</v>
      </c>
      <c r="R191" s="62">
        <f t="shared" si="109"/>
        <v>289.91839713868461</v>
      </c>
      <c r="S191" s="62">
        <f ca="1">AVERAGE(OFFSET($R$3,0,0,'Données projet'!$E$9+1,1))-AVERAGE(OFFSET($H$3,0,0,'Données projet'!$E$9+1,1))</f>
        <v>196.48726929442091</v>
      </c>
      <c r="T191" s="62">
        <f t="shared" si="142"/>
        <v>193.28400454669347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2.6298621800201338E-23</v>
      </c>
      <c r="AC191" s="24">
        <f t="shared" si="163"/>
        <v>2.6298621800201338E-23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-3.979039320256561E-13</v>
      </c>
      <c r="AJ191" s="14">
        <f>AI191*VLOOKUP('Données projet'!$B$10,Paramètres!$A$1:$I$89,3,0)*VLOOKUP('Données projet'!$B$10,Paramètres!$A$1:$I$89,5,0)</f>
        <v>-4.0347458707401528E-13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414.29294334114661</v>
      </c>
      <c r="AO191" s="62">
        <f t="shared" si="144"/>
        <v>178.72086185623849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-3.979039320256561E-13</v>
      </c>
      <c r="BE191" s="14">
        <f>BD191*VLOOKUP('Données projet'!$B$11,Paramètres!$A$1:$I$89,3,0)*VLOOKUP('Données projet'!$B$11,Paramètres!$A$1:$I$89,5,0)</f>
        <v>-4.2830379243241627E-13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434.74983403680108</v>
      </c>
      <c r="BJ191" s="62">
        <f t="shared" si="146"/>
        <v>186.0840067781198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1.1368683772161603E-13</v>
      </c>
      <c r="BZ191" s="14">
        <f>BY191*VLOOKUP('Données projet'!$B$12,Paramètres!$A$1:$I$89,3,0)*VLOOKUP('Données projet'!$B$12,Paramètres!$A$1:$I$89,5,0)</f>
        <v>9.7543306765146564E-14</v>
      </c>
      <c r="CA191" s="14">
        <f t="shared" si="170"/>
        <v>1.4696264278629426E-12</v>
      </c>
      <c r="CB191" s="22">
        <f t="shared" si="171"/>
        <v>2.7294872878105889E-12</v>
      </c>
      <c r="CC191" s="62">
        <f t="shared" si="119"/>
        <v>289.91839713868296</v>
      </c>
      <c r="CD191" s="62">
        <f ca="1">AVERAGE(OFFSET($CC$3,0,0,'Données projet'!$E$12+1,1))-AVERAGE(OFFSET($H$3,0,0,'Données projet'!$E$12+1,1))</f>
        <v>288.24759203983547</v>
      </c>
      <c r="CE191" s="62">
        <f t="shared" si="148"/>
        <v>188.86613033148794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1.1368683772161603E-13</v>
      </c>
      <c r="CU191" s="18">
        <f>CT191*VLOOKUP('Données projet'!$B$13,Paramètres!$A$1:$I$89,3,0)*VLOOKUP('Données projet'!$B$13,Paramètres!$A$1:$I$89,5,0)</f>
        <v>7.626113074366004E-14</v>
      </c>
      <c r="CV191" s="14">
        <f t="shared" si="173"/>
        <v>1.1823749172251317E-12</v>
      </c>
      <c r="CW191" s="22">
        <f t="shared" si="174"/>
        <v>2.1921244502123119E-12</v>
      </c>
      <c r="CX191" s="62">
        <f t="shared" si="122"/>
        <v>289.91839713868245</v>
      </c>
      <c r="CY191" s="62">
        <f ca="1">AVERAGE(OFFSET($CX$3,0,0,'Données projet'!$E$13+1,1))-AVERAGE(OFFSET($H$3,0,0,'Données projet'!$E$13+1,1))</f>
        <v>240.40157928925146</v>
      </c>
      <c r="CZ191" s="62">
        <f t="shared" si="150"/>
        <v>160.5013084380258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-3.979039320256561E-13</v>
      </c>
      <c r="DP191" s="18">
        <f>DO191*VLOOKUP('Données projet'!$B$14,Paramètres!$A$1:$I$89,3,0)*VLOOKUP('Données projet'!$B$14,Paramètres!$A$1:$I$89,5,0)</f>
        <v>-3.8485268305521461E-13</v>
      </c>
      <c r="DQ191" s="14" t="e">
        <f t="shared" si="176"/>
        <v>#NUM!</v>
      </c>
      <c r="DR191" s="22" t="e">
        <f t="shared" si="177"/>
        <v>#NUM!</v>
      </c>
      <c r="DS191" s="62" t="e">
        <f t="shared" si="125"/>
        <v>#NUM!</v>
      </c>
      <c r="DT191" s="62">
        <f ca="1">AVERAGE(OFFSET($DS$3,0,0,'Données projet'!$E$14+1,1))-AVERAGE(OFFSET($H$3,0,0,'Données projet'!$E$14+1,1))</f>
        <v>398.93296311353788</v>
      </c>
      <c r="DU191" s="62">
        <f t="shared" si="152"/>
        <v>173.19148969173838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-5.6843418860808015E-14</v>
      </c>
      <c r="EK191" s="18">
        <f>EJ191*VLOOKUP('Données projet'!$B$15,Paramètres!$A$1:$I$89,3,0)*VLOOKUP('Données projet'!$B$15,Paramètres!$A$1:$I$89,5,0)</f>
        <v>-4.9658410716801891E-14</v>
      </c>
      <c r="EL191" s="14" t="e">
        <f t="shared" si="179"/>
        <v>#NUM!</v>
      </c>
      <c r="EM191" s="22" t="e">
        <f t="shared" si="180"/>
        <v>#NUM!</v>
      </c>
      <c r="EN191" s="62" t="e">
        <f t="shared" si="128"/>
        <v>#NUM!</v>
      </c>
      <c r="EO191" s="62">
        <f ca="1">AVERAGE(OFFSET($EN$3,0,0,'Données projet'!$E$15+1,1))-AVERAGE(OFFSET($H$3,0,0,'Données projet'!$E$15+1,1))</f>
        <v>226.37420733783091</v>
      </c>
      <c r="EP191" s="62">
        <f t="shared" si="154"/>
        <v>204.10961748628714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6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9">
        <f t="shared" si="110"/>
        <v>183.33333333333334</v>
      </c>
      <c r="I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2.8421709430404007E-13</v>
      </c>
      <c r="O192" s="14">
        <f>N192*VLOOKUP('Données projet'!$B$9,Paramètres!$A$1:$I$89,3,0)*VLOOKUP('Données projet'!$B$9,Paramètres!$A$1:$I$89,5,0)</f>
        <v>1.6626700016786346E-13</v>
      </c>
      <c r="P192" s="14">
        <f t="shared" si="141"/>
        <v>2.3542701735863119E-12</v>
      </c>
      <c r="Q192" s="22">
        <f t="shared" si="162"/>
        <v>4.3899355776218544E-12</v>
      </c>
      <c r="R192" s="62">
        <f t="shared" si="109"/>
        <v>289.97763864700823</v>
      </c>
      <c r="S192" s="62">
        <f ca="1">AVERAGE(OFFSET($R$3,0,0,'Données projet'!$E$9+1,1))-AVERAGE(OFFSET($H$3,0,0,'Données projet'!$E$9+1,1))</f>
        <v>196.48726929442091</v>
      </c>
      <c r="T192" s="62">
        <f t="shared" si="142"/>
        <v>193.28400454669347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1.8595933810782738E-23</v>
      </c>
      <c r="AC192" s="24">
        <f t="shared" si="163"/>
        <v>1.8595933810782738E-23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-3.979039320256561E-13</v>
      </c>
      <c r="AJ192" s="14">
        <f>AI192*VLOOKUP('Données projet'!$B$10,Paramètres!$A$1:$I$89,3,0)*VLOOKUP('Données projet'!$B$10,Paramètres!$A$1:$I$89,5,0)</f>
        <v>-4.0347458707401528E-13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414.29294334114661</v>
      </c>
      <c r="AO192" s="62">
        <f t="shared" si="144"/>
        <v>178.72086185623849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-3.979039320256561E-13</v>
      </c>
      <c r="BE192" s="14">
        <f>BD192*VLOOKUP('Données projet'!$B$11,Paramètres!$A$1:$I$89,3,0)*VLOOKUP('Données projet'!$B$11,Paramètres!$A$1:$I$89,5,0)</f>
        <v>-4.2830379243241627E-13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434.74983403680108</v>
      </c>
      <c r="BJ192" s="62">
        <f t="shared" si="146"/>
        <v>186.0840067781198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1.1368683772161603E-13</v>
      </c>
      <c r="BZ192" s="14">
        <f>BY192*VLOOKUP('Données projet'!$B$12,Paramètres!$A$1:$I$89,3,0)*VLOOKUP('Données projet'!$B$12,Paramètres!$A$1:$I$89,5,0)</f>
        <v>9.7543306765146564E-14</v>
      </c>
      <c r="CA192" s="14">
        <f t="shared" si="170"/>
        <v>1.4696264278629426E-12</v>
      </c>
      <c r="CB192" s="22">
        <f t="shared" si="171"/>
        <v>2.7294872878105889E-12</v>
      </c>
      <c r="CC192" s="62">
        <f t="shared" si="119"/>
        <v>289.97763864700659</v>
      </c>
      <c r="CD192" s="62">
        <f ca="1">AVERAGE(OFFSET($CC$3,0,0,'Données projet'!$E$12+1,1))-AVERAGE(OFFSET($H$3,0,0,'Données projet'!$E$12+1,1))</f>
        <v>288.24759203983547</v>
      </c>
      <c r="CE192" s="62">
        <f t="shared" si="148"/>
        <v>188.86613033148794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1.1368683772161603E-13</v>
      </c>
      <c r="CU192" s="18">
        <f>CT192*VLOOKUP('Données projet'!$B$13,Paramètres!$A$1:$I$89,3,0)*VLOOKUP('Données projet'!$B$13,Paramètres!$A$1:$I$89,5,0)</f>
        <v>7.626113074366004E-14</v>
      </c>
      <c r="CV192" s="14">
        <f t="shared" si="173"/>
        <v>1.1823749172251317E-12</v>
      </c>
      <c r="CW192" s="22">
        <f t="shared" si="174"/>
        <v>2.1921244502123119E-12</v>
      </c>
      <c r="CX192" s="62">
        <f t="shared" si="122"/>
        <v>289.97763864700607</v>
      </c>
      <c r="CY192" s="62">
        <f ca="1">AVERAGE(OFFSET($CX$3,0,0,'Données projet'!$E$13+1,1))-AVERAGE(OFFSET($H$3,0,0,'Données projet'!$E$13+1,1))</f>
        <v>240.40157928925146</v>
      </c>
      <c r="CZ192" s="62">
        <f t="shared" si="150"/>
        <v>160.5013084380258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-3.979039320256561E-13</v>
      </c>
      <c r="DP192" s="18">
        <f>DO192*VLOOKUP('Données projet'!$B$14,Paramètres!$A$1:$I$89,3,0)*VLOOKUP('Données projet'!$B$14,Paramètres!$A$1:$I$89,5,0)</f>
        <v>-3.8485268305521461E-13</v>
      </c>
      <c r="DQ192" s="14" t="e">
        <f t="shared" si="176"/>
        <v>#NUM!</v>
      </c>
      <c r="DR192" s="22" t="e">
        <f t="shared" si="177"/>
        <v>#NUM!</v>
      </c>
      <c r="DS192" s="62" t="e">
        <f t="shared" si="125"/>
        <v>#NUM!</v>
      </c>
      <c r="DT192" s="62">
        <f ca="1">AVERAGE(OFFSET($DS$3,0,0,'Données projet'!$E$14+1,1))-AVERAGE(OFFSET($H$3,0,0,'Données projet'!$E$14+1,1))</f>
        <v>398.93296311353788</v>
      </c>
      <c r="DU192" s="62">
        <f t="shared" si="152"/>
        <v>173.19148969173838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-5.6843418860808015E-14</v>
      </c>
      <c r="EK192" s="18">
        <f>EJ192*VLOOKUP('Données projet'!$B$15,Paramètres!$A$1:$I$89,3,0)*VLOOKUP('Données projet'!$B$15,Paramètres!$A$1:$I$89,5,0)</f>
        <v>-4.9658410716801891E-14</v>
      </c>
      <c r="EL192" s="14" t="e">
        <f t="shared" si="179"/>
        <v>#NUM!</v>
      </c>
      <c r="EM192" s="22" t="e">
        <f t="shared" si="180"/>
        <v>#NUM!</v>
      </c>
      <c r="EN192" s="62" t="e">
        <f t="shared" si="128"/>
        <v>#NUM!</v>
      </c>
      <c r="EO192" s="62">
        <f ca="1">AVERAGE(OFFSET($EN$3,0,0,'Données projet'!$E$15+1,1))-AVERAGE(OFFSET($H$3,0,0,'Données projet'!$E$15+1,1))</f>
        <v>226.37420733783091</v>
      </c>
      <c r="EP192" s="62">
        <f t="shared" si="154"/>
        <v>204.10961748628714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6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9">
        <f t="shared" si="110"/>
        <v>183.33333333333334</v>
      </c>
      <c r="I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2.8421709430404007E-13</v>
      </c>
      <c r="O193" s="14">
        <f>N193*VLOOKUP('Données projet'!$B$9,Paramètres!$A$1:$I$89,3,0)*VLOOKUP('Données projet'!$B$9,Paramètres!$A$1:$I$89,5,0)</f>
        <v>1.6626700016786346E-13</v>
      </c>
      <c r="P193" s="14">
        <f t="shared" si="141"/>
        <v>2.3542701735863119E-12</v>
      </c>
      <c r="Q193" s="22">
        <f t="shared" si="162"/>
        <v>4.3899355776218544E-12</v>
      </c>
      <c r="R193" s="62">
        <f t="shared" si="109"/>
        <v>290.03585244760666</v>
      </c>
      <c r="S193" s="62">
        <f ca="1">AVERAGE(OFFSET($R$3,0,0,'Données projet'!$E$9+1,1))-AVERAGE(OFFSET($H$3,0,0,'Données projet'!$E$9+1,1))</f>
        <v>196.48726929442091</v>
      </c>
      <c r="T193" s="62">
        <f t="shared" si="142"/>
        <v>193.28400454669347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1.3149310900100671E-23</v>
      </c>
      <c r="AC193" s="24">
        <f t="shared" si="163"/>
        <v>1.3149310900100671E-23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-3.979039320256561E-13</v>
      </c>
      <c r="AJ193" s="14">
        <f>AI193*VLOOKUP('Données projet'!$B$10,Paramètres!$A$1:$I$89,3,0)*VLOOKUP('Données projet'!$B$10,Paramètres!$A$1:$I$89,5,0)</f>
        <v>-4.0347458707401528E-13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414.29294334114661</v>
      </c>
      <c r="AO193" s="62">
        <f t="shared" si="144"/>
        <v>178.72086185623849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-3.979039320256561E-13</v>
      </c>
      <c r="BE193" s="14">
        <f>BD193*VLOOKUP('Données projet'!$B$11,Paramètres!$A$1:$I$89,3,0)*VLOOKUP('Données projet'!$B$11,Paramètres!$A$1:$I$89,5,0)</f>
        <v>-4.2830379243241627E-13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434.74983403680108</v>
      </c>
      <c r="BJ193" s="62">
        <f t="shared" si="146"/>
        <v>186.0840067781198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1.1368683772161603E-13</v>
      </c>
      <c r="BZ193" s="14">
        <f>BY193*VLOOKUP('Données projet'!$B$12,Paramètres!$A$1:$I$89,3,0)*VLOOKUP('Données projet'!$B$12,Paramètres!$A$1:$I$89,5,0)</f>
        <v>9.7543306765146564E-14</v>
      </c>
      <c r="CA193" s="14">
        <f t="shared" si="170"/>
        <v>1.4696264278629426E-12</v>
      </c>
      <c r="CB193" s="22">
        <f t="shared" si="171"/>
        <v>2.7294872878105889E-12</v>
      </c>
      <c r="CC193" s="62">
        <f t="shared" si="119"/>
        <v>290.03585244760501</v>
      </c>
      <c r="CD193" s="62">
        <f ca="1">AVERAGE(OFFSET($CC$3,0,0,'Données projet'!$E$12+1,1))-AVERAGE(OFFSET($H$3,0,0,'Données projet'!$E$12+1,1))</f>
        <v>288.24759203983547</v>
      </c>
      <c r="CE193" s="62">
        <f t="shared" si="148"/>
        <v>188.86613033148794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1.1368683772161603E-13</v>
      </c>
      <c r="CU193" s="18">
        <f>CT193*VLOOKUP('Données projet'!$B$13,Paramètres!$A$1:$I$89,3,0)*VLOOKUP('Données projet'!$B$13,Paramètres!$A$1:$I$89,5,0)</f>
        <v>7.626113074366004E-14</v>
      </c>
      <c r="CV193" s="14">
        <f t="shared" si="173"/>
        <v>1.1823749172251317E-12</v>
      </c>
      <c r="CW193" s="22">
        <f t="shared" si="174"/>
        <v>2.1921244502123119E-12</v>
      </c>
      <c r="CX193" s="62">
        <f t="shared" si="122"/>
        <v>290.0358524476045</v>
      </c>
      <c r="CY193" s="62">
        <f ca="1">AVERAGE(OFFSET($CX$3,0,0,'Données projet'!$E$13+1,1))-AVERAGE(OFFSET($H$3,0,0,'Données projet'!$E$13+1,1))</f>
        <v>240.40157928925146</v>
      </c>
      <c r="CZ193" s="62">
        <f t="shared" si="150"/>
        <v>160.5013084380258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-3.979039320256561E-13</v>
      </c>
      <c r="DP193" s="18">
        <f>DO193*VLOOKUP('Données projet'!$B$14,Paramètres!$A$1:$I$89,3,0)*VLOOKUP('Données projet'!$B$14,Paramètres!$A$1:$I$89,5,0)</f>
        <v>-3.8485268305521461E-13</v>
      </c>
      <c r="DQ193" s="14" t="e">
        <f t="shared" si="176"/>
        <v>#NUM!</v>
      </c>
      <c r="DR193" s="22" t="e">
        <f t="shared" si="177"/>
        <v>#NUM!</v>
      </c>
      <c r="DS193" s="62" t="e">
        <f t="shared" si="125"/>
        <v>#NUM!</v>
      </c>
      <c r="DT193" s="62">
        <f ca="1">AVERAGE(OFFSET($DS$3,0,0,'Données projet'!$E$14+1,1))-AVERAGE(OFFSET($H$3,0,0,'Données projet'!$E$14+1,1))</f>
        <v>398.93296311353788</v>
      </c>
      <c r="DU193" s="62">
        <f t="shared" si="152"/>
        <v>173.19148969173838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-5.6843418860808015E-14</v>
      </c>
      <c r="EK193" s="18">
        <f>EJ193*VLOOKUP('Données projet'!$B$15,Paramètres!$A$1:$I$89,3,0)*VLOOKUP('Données projet'!$B$15,Paramètres!$A$1:$I$89,5,0)</f>
        <v>-4.9658410716801891E-14</v>
      </c>
      <c r="EL193" s="14" t="e">
        <f t="shared" si="179"/>
        <v>#NUM!</v>
      </c>
      <c r="EM193" s="22" t="e">
        <f t="shared" si="180"/>
        <v>#NUM!</v>
      </c>
      <c r="EN193" s="62" t="e">
        <f t="shared" si="128"/>
        <v>#NUM!</v>
      </c>
      <c r="EO193" s="62">
        <f ca="1">AVERAGE(OFFSET($EN$3,0,0,'Données projet'!$E$15+1,1))-AVERAGE(OFFSET($H$3,0,0,'Données projet'!$E$15+1,1))</f>
        <v>226.37420733783091</v>
      </c>
      <c r="EP193" s="62">
        <f t="shared" si="154"/>
        <v>204.10961748628714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6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9">
        <f t="shared" si="110"/>
        <v>183.33333333333334</v>
      </c>
      <c r="I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2.8421709430404007E-13</v>
      </c>
      <c r="O194" s="14">
        <f>N194*VLOOKUP('Données projet'!$B$9,Paramètres!$A$1:$I$89,3,0)*VLOOKUP('Données projet'!$B$9,Paramètres!$A$1:$I$89,5,0)</f>
        <v>1.6626700016786346E-13</v>
      </c>
      <c r="P194" s="14">
        <f t="shared" si="141"/>
        <v>2.3542701735863119E-12</v>
      </c>
      <c r="Q194" s="22">
        <f t="shared" si="162"/>
        <v>4.3899355776218544E-12</v>
      </c>
      <c r="R194" s="62">
        <f t="shared" si="109"/>
        <v>290.09305636891122</v>
      </c>
      <c r="S194" s="62">
        <f ca="1">AVERAGE(OFFSET($R$3,0,0,'Données projet'!$E$9+1,1))-AVERAGE(OFFSET($H$3,0,0,'Données projet'!$E$9+1,1))</f>
        <v>196.48726929442091</v>
      </c>
      <c r="T194" s="62">
        <f t="shared" si="142"/>
        <v>193.28400454669347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9.2979669053913703E-24</v>
      </c>
      <c r="AC194" s="24">
        <f t="shared" si="163"/>
        <v>9.2979669053913703E-24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-3.979039320256561E-13</v>
      </c>
      <c r="AJ194" s="14">
        <f>AI194*VLOOKUP('Données projet'!$B$10,Paramètres!$A$1:$I$89,3,0)*VLOOKUP('Données projet'!$B$10,Paramètres!$A$1:$I$89,5,0)</f>
        <v>-4.0347458707401528E-13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414.29294334114661</v>
      </c>
      <c r="AO194" s="62">
        <f t="shared" si="144"/>
        <v>178.72086185623849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-3.979039320256561E-13</v>
      </c>
      <c r="BE194" s="14">
        <f>BD194*VLOOKUP('Données projet'!$B$11,Paramètres!$A$1:$I$89,3,0)*VLOOKUP('Données projet'!$B$11,Paramètres!$A$1:$I$89,5,0)</f>
        <v>-4.2830379243241627E-13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434.74983403680108</v>
      </c>
      <c r="BJ194" s="62">
        <f t="shared" si="146"/>
        <v>186.0840067781198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1.1368683772161603E-13</v>
      </c>
      <c r="BZ194" s="14">
        <f>BY194*VLOOKUP('Données projet'!$B$12,Paramètres!$A$1:$I$89,3,0)*VLOOKUP('Données projet'!$B$12,Paramètres!$A$1:$I$89,5,0)</f>
        <v>9.7543306765146564E-14</v>
      </c>
      <c r="CA194" s="14">
        <f t="shared" si="170"/>
        <v>1.4696264278629426E-12</v>
      </c>
      <c r="CB194" s="22">
        <f t="shared" si="171"/>
        <v>2.7294872878105889E-12</v>
      </c>
      <c r="CC194" s="62">
        <f t="shared" si="119"/>
        <v>290.09305636890957</v>
      </c>
      <c r="CD194" s="62">
        <f ca="1">AVERAGE(OFFSET($CC$3,0,0,'Données projet'!$E$12+1,1))-AVERAGE(OFFSET($H$3,0,0,'Données projet'!$E$12+1,1))</f>
        <v>288.24759203983547</v>
      </c>
      <c r="CE194" s="62">
        <f t="shared" si="148"/>
        <v>188.86613033148794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1.1368683772161603E-13</v>
      </c>
      <c r="CU194" s="18">
        <f>CT194*VLOOKUP('Données projet'!$B$13,Paramètres!$A$1:$I$89,3,0)*VLOOKUP('Données projet'!$B$13,Paramètres!$A$1:$I$89,5,0)</f>
        <v>7.626113074366004E-14</v>
      </c>
      <c r="CV194" s="14">
        <f t="shared" si="173"/>
        <v>1.1823749172251317E-12</v>
      </c>
      <c r="CW194" s="22">
        <f t="shared" si="174"/>
        <v>2.1921244502123119E-12</v>
      </c>
      <c r="CX194" s="62">
        <f t="shared" si="122"/>
        <v>290.09305636890906</v>
      </c>
      <c r="CY194" s="62">
        <f ca="1">AVERAGE(OFFSET($CX$3,0,0,'Données projet'!$E$13+1,1))-AVERAGE(OFFSET($H$3,0,0,'Données projet'!$E$13+1,1))</f>
        <v>240.40157928925146</v>
      </c>
      <c r="CZ194" s="62">
        <f t="shared" si="150"/>
        <v>160.5013084380258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-3.979039320256561E-13</v>
      </c>
      <c r="DP194" s="18">
        <f>DO194*VLOOKUP('Données projet'!$B$14,Paramètres!$A$1:$I$89,3,0)*VLOOKUP('Données projet'!$B$14,Paramètres!$A$1:$I$89,5,0)</f>
        <v>-3.8485268305521461E-13</v>
      </c>
      <c r="DQ194" s="14" t="e">
        <f t="shared" si="176"/>
        <v>#NUM!</v>
      </c>
      <c r="DR194" s="22" t="e">
        <f t="shared" si="177"/>
        <v>#NUM!</v>
      </c>
      <c r="DS194" s="62" t="e">
        <f t="shared" si="125"/>
        <v>#NUM!</v>
      </c>
      <c r="DT194" s="62">
        <f ca="1">AVERAGE(OFFSET($DS$3,0,0,'Données projet'!$E$14+1,1))-AVERAGE(OFFSET($H$3,0,0,'Données projet'!$E$14+1,1))</f>
        <v>398.93296311353788</v>
      </c>
      <c r="DU194" s="62">
        <f t="shared" si="152"/>
        <v>173.19148969173838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-5.6843418860808015E-14</v>
      </c>
      <c r="EK194" s="18">
        <f>EJ194*VLOOKUP('Données projet'!$B$15,Paramètres!$A$1:$I$89,3,0)*VLOOKUP('Données projet'!$B$15,Paramètres!$A$1:$I$89,5,0)</f>
        <v>-4.9658410716801891E-14</v>
      </c>
      <c r="EL194" s="14" t="e">
        <f t="shared" si="179"/>
        <v>#NUM!</v>
      </c>
      <c r="EM194" s="22" t="e">
        <f t="shared" si="180"/>
        <v>#NUM!</v>
      </c>
      <c r="EN194" s="62" t="e">
        <f t="shared" si="128"/>
        <v>#NUM!</v>
      </c>
      <c r="EO194" s="62">
        <f ca="1">AVERAGE(OFFSET($EN$3,0,0,'Données projet'!$E$15+1,1))-AVERAGE(OFFSET($H$3,0,0,'Données projet'!$E$15+1,1))</f>
        <v>226.37420733783091</v>
      </c>
      <c r="EP194" s="62">
        <f t="shared" si="154"/>
        <v>204.10961748628714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6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9">
        <f t="shared" si="110"/>
        <v>183.33333333333334</v>
      </c>
      <c r="I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2.8421709430404007E-13</v>
      </c>
      <c r="O195" s="14">
        <f>N195*VLOOKUP('Données projet'!$B$9,Paramètres!$A$1:$I$89,3,0)*VLOOKUP('Données projet'!$B$9,Paramètres!$A$1:$I$89,5,0)</f>
        <v>1.6626700016786346E-13</v>
      </c>
      <c r="P195" s="14">
        <f t="shared" si="141"/>
        <v>2.3542701735863119E-12</v>
      </c>
      <c r="Q195" s="22">
        <f t="shared" si="162"/>
        <v>4.3899355776218544E-12</v>
      </c>
      <c r="R195" s="62">
        <f t="shared" ref="R195:R203" si="191">Q195+(I195+J195)*44/12</f>
        <v>290.14926793007004</v>
      </c>
      <c r="S195" s="62">
        <f ca="1">AVERAGE(OFFSET($R$3,0,0,'Données projet'!$E$9+1,1))-AVERAGE(OFFSET($H$3,0,0,'Données projet'!$E$9+1,1))</f>
        <v>196.48726929442091</v>
      </c>
      <c r="T195" s="62">
        <f t="shared" si="142"/>
        <v>193.28400454669347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6.5746554500503368E-24</v>
      </c>
      <c r="AC195" s="24">
        <f t="shared" si="163"/>
        <v>6.5746554500503368E-24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-3.979039320256561E-13</v>
      </c>
      <c r="AJ195" s="14">
        <f>AI195*VLOOKUP('Données projet'!$B$10,Paramètres!$A$1:$I$89,3,0)*VLOOKUP('Données projet'!$B$10,Paramètres!$A$1:$I$89,5,0)</f>
        <v>-4.0347458707401528E-13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414.29294334114661</v>
      </c>
      <c r="AO195" s="62">
        <f t="shared" si="144"/>
        <v>178.72086185623849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-3.979039320256561E-13</v>
      </c>
      <c r="BE195" s="14">
        <f>BD195*VLOOKUP('Données projet'!$B$11,Paramètres!$A$1:$I$89,3,0)*VLOOKUP('Données projet'!$B$11,Paramètres!$A$1:$I$89,5,0)</f>
        <v>-4.2830379243241627E-13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434.74983403680108</v>
      </c>
      <c r="BJ195" s="62">
        <f t="shared" si="146"/>
        <v>186.0840067781198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1.1368683772161603E-13</v>
      </c>
      <c r="BZ195" s="14">
        <f>BY195*VLOOKUP('Données projet'!$B$12,Paramètres!$A$1:$I$89,3,0)*VLOOKUP('Données projet'!$B$12,Paramètres!$A$1:$I$89,5,0)</f>
        <v>9.7543306765146564E-14</v>
      </c>
      <c r="CA195" s="14">
        <f t="shared" si="170"/>
        <v>1.4696264278629426E-12</v>
      </c>
      <c r="CB195" s="22">
        <f t="shared" si="171"/>
        <v>2.7294872878105889E-12</v>
      </c>
      <c r="CC195" s="62">
        <f t="shared" si="119"/>
        <v>290.14926793006839</v>
      </c>
      <c r="CD195" s="62">
        <f ca="1">AVERAGE(OFFSET($CC$3,0,0,'Données projet'!$E$12+1,1))-AVERAGE(OFFSET($H$3,0,0,'Données projet'!$E$12+1,1))</f>
        <v>288.24759203983547</v>
      </c>
      <c r="CE195" s="62">
        <f t="shared" si="148"/>
        <v>188.86613033148794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1.1368683772161603E-13</v>
      </c>
      <c r="CU195" s="18">
        <f>CT195*VLOOKUP('Données projet'!$B$13,Paramètres!$A$1:$I$89,3,0)*VLOOKUP('Données projet'!$B$13,Paramètres!$A$1:$I$89,5,0)</f>
        <v>7.626113074366004E-14</v>
      </c>
      <c r="CV195" s="14">
        <f t="shared" si="173"/>
        <v>1.1823749172251317E-12</v>
      </c>
      <c r="CW195" s="22">
        <f t="shared" si="174"/>
        <v>2.1921244502123119E-12</v>
      </c>
      <c r="CX195" s="62">
        <f t="shared" si="122"/>
        <v>290.14926793006788</v>
      </c>
      <c r="CY195" s="62">
        <f ca="1">AVERAGE(OFFSET($CX$3,0,0,'Données projet'!$E$13+1,1))-AVERAGE(OFFSET($H$3,0,0,'Données projet'!$E$13+1,1))</f>
        <v>240.40157928925146</v>
      </c>
      <c r="CZ195" s="62">
        <f t="shared" si="150"/>
        <v>160.5013084380258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-3.979039320256561E-13</v>
      </c>
      <c r="DP195" s="18">
        <f>DO195*VLOOKUP('Données projet'!$B$14,Paramètres!$A$1:$I$89,3,0)*VLOOKUP('Données projet'!$B$14,Paramètres!$A$1:$I$89,5,0)</f>
        <v>-3.8485268305521461E-13</v>
      </c>
      <c r="DQ195" s="14" t="e">
        <f t="shared" si="176"/>
        <v>#NUM!</v>
      </c>
      <c r="DR195" s="22" t="e">
        <f t="shared" si="177"/>
        <v>#NUM!</v>
      </c>
      <c r="DS195" s="62" t="e">
        <f t="shared" si="125"/>
        <v>#NUM!</v>
      </c>
      <c r="DT195" s="62">
        <f ca="1">AVERAGE(OFFSET($DS$3,0,0,'Données projet'!$E$14+1,1))-AVERAGE(OFFSET($H$3,0,0,'Données projet'!$E$14+1,1))</f>
        <v>398.93296311353788</v>
      </c>
      <c r="DU195" s="62">
        <f t="shared" si="152"/>
        <v>173.19148969173838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-5.6843418860808015E-14</v>
      </c>
      <c r="EK195" s="18">
        <f>EJ195*VLOOKUP('Données projet'!$B$15,Paramètres!$A$1:$I$89,3,0)*VLOOKUP('Données projet'!$B$15,Paramètres!$A$1:$I$89,5,0)</f>
        <v>-4.9658410716801891E-14</v>
      </c>
      <c r="EL195" s="14" t="e">
        <f t="shared" si="179"/>
        <v>#NUM!</v>
      </c>
      <c r="EM195" s="22" t="e">
        <f t="shared" si="180"/>
        <v>#NUM!</v>
      </c>
      <c r="EN195" s="62" t="e">
        <f t="shared" si="128"/>
        <v>#NUM!</v>
      </c>
      <c r="EO195" s="62">
        <f ca="1">AVERAGE(OFFSET($EN$3,0,0,'Données projet'!$E$15+1,1))-AVERAGE(OFFSET($H$3,0,0,'Données projet'!$E$15+1,1))</f>
        <v>226.37420733783091</v>
      </c>
      <c r="EP195" s="62">
        <f t="shared" si="154"/>
        <v>204.10961748628714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6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9">
        <f t="shared" ref="H196:H203" si="192">(B196+E196+F196)*44/12+(C196+D196)*0.475*44/12</f>
        <v>183.33333333333334</v>
      </c>
      <c r="I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2.8421709430404007E-13</v>
      </c>
      <c r="O196" s="14">
        <f>N196*VLOOKUP('Données projet'!$B$9,Paramètres!$A$1:$I$89,3,0)*VLOOKUP('Données projet'!$B$9,Paramètres!$A$1:$I$89,5,0)</f>
        <v>1.6626700016786346E-13</v>
      </c>
      <c r="P196" s="14">
        <f t="shared" si="141"/>
        <v>2.3542701735863119E-12</v>
      </c>
      <c r="Q196" s="22">
        <f t="shared" si="162"/>
        <v>4.3899355776218544E-12</v>
      </c>
      <c r="R196" s="62">
        <f t="shared" si="191"/>
        <v>290.20450434631289</v>
      </c>
      <c r="S196" s="62">
        <f ca="1">AVERAGE(OFFSET($R$3,0,0,'Données projet'!$E$9+1,1))-AVERAGE(OFFSET($H$3,0,0,'Données projet'!$E$9+1,1))</f>
        <v>196.48726929442091</v>
      </c>
      <c r="T196" s="62">
        <f t="shared" si="142"/>
        <v>193.28400454669347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4.6489834526956859E-24</v>
      </c>
      <c r="AC196" s="24">
        <f t="shared" si="163"/>
        <v>4.6489834526956859E-24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-3.979039320256561E-13</v>
      </c>
      <c r="AJ196" s="14">
        <f>AI196*VLOOKUP('Données projet'!$B$10,Paramètres!$A$1:$I$89,3,0)*VLOOKUP('Données projet'!$B$10,Paramètres!$A$1:$I$89,5,0)</f>
        <v>-4.0347458707401528E-13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414.29294334114661</v>
      </c>
      <c r="AO196" s="62">
        <f t="shared" si="144"/>
        <v>178.72086185623849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-3.979039320256561E-13</v>
      </c>
      <c r="BE196" s="14">
        <f>BD196*VLOOKUP('Données projet'!$B$11,Paramètres!$A$1:$I$89,3,0)*VLOOKUP('Données projet'!$B$11,Paramètres!$A$1:$I$89,5,0)</f>
        <v>-4.2830379243241627E-13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434.74983403680108</v>
      </c>
      <c r="BJ196" s="62">
        <f t="shared" si="146"/>
        <v>186.0840067781198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1.1368683772161603E-13</v>
      </c>
      <c r="BZ196" s="14">
        <f>BY196*VLOOKUP('Données projet'!$B$12,Paramètres!$A$1:$I$89,3,0)*VLOOKUP('Données projet'!$B$12,Paramètres!$A$1:$I$89,5,0)</f>
        <v>9.7543306765146564E-14</v>
      </c>
      <c r="CA196" s="14">
        <f t="shared" si="170"/>
        <v>1.4696264278629426E-12</v>
      </c>
      <c r="CB196" s="22">
        <f t="shared" si="171"/>
        <v>2.7294872878105889E-12</v>
      </c>
      <c r="CC196" s="62">
        <f t="shared" ref="CC196:CC203" si="195">CB196+(BT196+BU196)*44/12</f>
        <v>290.20450434631124</v>
      </c>
      <c r="CD196" s="62">
        <f ca="1">AVERAGE(OFFSET($CC$3,0,0,'Données projet'!$E$12+1,1))-AVERAGE(OFFSET($H$3,0,0,'Données projet'!$E$12+1,1))</f>
        <v>288.24759203983547</v>
      </c>
      <c r="CE196" s="62">
        <f t="shared" si="148"/>
        <v>188.86613033148794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1.1368683772161603E-13</v>
      </c>
      <c r="CU196" s="18">
        <f>CT196*VLOOKUP('Données projet'!$B$13,Paramètres!$A$1:$I$89,3,0)*VLOOKUP('Données projet'!$B$13,Paramètres!$A$1:$I$89,5,0)</f>
        <v>7.626113074366004E-14</v>
      </c>
      <c r="CV196" s="14">
        <f t="shared" si="173"/>
        <v>1.1823749172251317E-12</v>
      </c>
      <c r="CW196" s="22">
        <f t="shared" si="174"/>
        <v>2.1921244502123119E-12</v>
      </c>
      <c r="CX196" s="62">
        <f t="shared" ref="CX196:CX203" si="196">CW196+(CO196+CP196)*44/12</f>
        <v>290.20450434631073</v>
      </c>
      <c r="CY196" s="62">
        <f ca="1">AVERAGE(OFFSET($CX$3,0,0,'Données projet'!$E$13+1,1))-AVERAGE(OFFSET($H$3,0,0,'Données projet'!$E$13+1,1))</f>
        <v>240.40157928925146</v>
      </c>
      <c r="CZ196" s="62">
        <f t="shared" si="150"/>
        <v>160.5013084380258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-3.979039320256561E-13</v>
      </c>
      <c r="DP196" s="18">
        <f>DO196*VLOOKUP('Données projet'!$B$14,Paramètres!$A$1:$I$89,3,0)*VLOOKUP('Données projet'!$B$14,Paramètres!$A$1:$I$89,5,0)</f>
        <v>-3.8485268305521461E-13</v>
      </c>
      <c r="DQ196" s="14" t="e">
        <f t="shared" si="176"/>
        <v>#NUM!</v>
      </c>
      <c r="DR196" s="22" t="e">
        <f t="shared" si="177"/>
        <v>#NUM!</v>
      </c>
      <c r="DS196" s="62" t="e">
        <f t="shared" ref="DS196:DS203" si="197">DR196+(DJ196+DK196)*44/12</f>
        <v>#NUM!</v>
      </c>
      <c r="DT196" s="62">
        <f ca="1">AVERAGE(OFFSET($DS$3,0,0,'Données projet'!$E$14+1,1))-AVERAGE(OFFSET($H$3,0,0,'Données projet'!$E$14+1,1))</f>
        <v>398.93296311353788</v>
      </c>
      <c r="DU196" s="62">
        <f t="shared" si="152"/>
        <v>173.19148969173838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-5.6843418860808015E-14</v>
      </c>
      <c r="EK196" s="18">
        <f>EJ196*VLOOKUP('Données projet'!$B$15,Paramètres!$A$1:$I$89,3,0)*VLOOKUP('Données projet'!$B$15,Paramètres!$A$1:$I$89,5,0)</f>
        <v>-4.9658410716801891E-14</v>
      </c>
      <c r="EL196" s="14" t="e">
        <f t="shared" si="179"/>
        <v>#NUM!</v>
      </c>
      <c r="EM196" s="22" t="e">
        <f t="shared" si="180"/>
        <v>#NUM!</v>
      </c>
      <c r="EN196" s="62" t="e">
        <f t="shared" ref="EN196:EN203" si="198">EM196+(EE196+EF196)*44/12</f>
        <v>#NUM!</v>
      </c>
      <c r="EO196" s="62">
        <f ca="1">AVERAGE(OFFSET($EN$3,0,0,'Données projet'!$E$15+1,1))-AVERAGE(OFFSET($H$3,0,0,'Données projet'!$E$15+1,1))</f>
        <v>226.37420733783091</v>
      </c>
      <c r="EP196" s="62">
        <f t="shared" si="154"/>
        <v>204.10961748628714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6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9">
        <f t="shared" si="192"/>
        <v>183.33333333333334</v>
      </c>
      <c r="I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2.8421709430404007E-13</v>
      </c>
      <c r="O197" s="14">
        <f>N197*VLOOKUP('Données projet'!$B$9,Paramètres!$A$1:$I$89,3,0)*VLOOKUP('Données projet'!$B$9,Paramètres!$A$1:$I$89,5,0)</f>
        <v>1.6626700016786346E-13</v>
      </c>
      <c r="P197" s="14">
        <f t="shared" ref="P197:P203" si="203">EXP(-1.0587+0.8836*LN(O197)+0.284)</f>
        <v>2.3542701735863119E-12</v>
      </c>
      <c r="Q197" s="22">
        <f t="shared" si="162"/>
        <v>4.3899355776218544E-12</v>
      </c>
      <c r="R197" s="62">
        <f t="shared" si="191"/>
        <v>290.25878253422411</v>
      </c>
      <c r="S197" s="62">
        <f ca="1">AVERAGE(OFFSET($R$3,0,0,'Données projet'!$E$9+1,1))-AVERAGE(OFFSET($H$3,0,0,'Données projet'!$E$9+1,1))</f>
        <v>196.48726929442091</v>
      </c>
      <c r="T197" s="62">
        <f t="shared" ref="T197:T203" si="204">$T$3</f>
        <v>193.28400454669347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3.2873277250251687E-24</v>
      </c>
      <c r="AC197" s="24">
        <f t="shared" si="163"/>
        <v>3.2873277250251687E-24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-3.979039320256561E-13</v>
      </c>
      <c r="AJ197" s="14">
        <f>AI197*VLOOKUP('Données projet'!$B$10,Paramètres!$A$1:$I$89,3,0)*VLOOKUP('Données projet'!$B$10,Paramètres!$A$1:$I$89,5,0)</f>
        <v>-4.0347458707401528E-13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414.29294334114661</v>
      </c>
      <c r="AO197" s="62">
        <f t="shared" ref="AO197:AO203" si="205">$AO$3</f>
        <v>178.72086185623849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-3.979039320256561E-13</v>
      </c>
      <c r="BE197" s="14">
        <f>BD197*VLOOKUP('Données projet'!$B$11,Paramètres!$A$1:$I$89,3,0)*VLOOKUP('Données projet'!$B$11,Paramètres!$A$1:$I$89,5,0)</f>
        <v>-4.2830379243241627E-13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434.74983403680108</v>
      </c>
      <c r="BJ197" s="62">
        <f t="shared" ref="BJ197:BJ203" si="206">$BJ$3</f>
        <v>186.0840067781198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1.1368683772161603E-13</v>
      </c>
      <c r="BZ197" s="14">
        <f>BY197*VLOOKUP('Données projet'!$B$12,Paramètres!$A$1:$I$89,3,0)*VLOOKUP('Données projet'!$B$12,Paramètres!$A$1:$I$89,5,0)</f>
        <v>9.7543306765146564E-14</v>
      </c>
      <c r="CA197" s="14">
        <f t="shared" si="170"/>
        <v>1.4696264278629426E-12</v>
      </c>
      <c r="CB197" s="22">
        <f t="shared" si="171"/>
        <v>2.7294872878105889E-12</v>
      </c>
      <c r="CC197" s="62">
        <f t="shared" si="195"/>
        <v>290.25878253422246</v>
      </c>
      <c r="CD197" s="62">
        <f ca="1">AVERAGE(OFFSET($CC$3,0,0,'Données projet'!$E$12+1,1))-AVERAGE(OFFSET($H$3,0,0,'Données projet'!$E$12+1,1))</f>
        <v>288.24759203983547</v>
      </c>
      <c r="CE197" s="62">
        <f t="shared" ref="CE197:CE203" si="207">$CE$3</f>
        <v>188.86613033148794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1.1368683772161603E-13</v>
      </c>
      <c r="CU197" s="18">
        <f>CT197*VLOOKUP('Données projet'!$B$13,Paramètres!$A$1:$I$89,3,0)*VLOOKUP('Données projet'!$B$13,Paramètres!$A$1:$I$89,5,0)</f>
        <v>7.626113074366004E-14</v>
      </c>
      <c r="CV197" s="14">
        <f t="shared" si="173"/>
        <v>1.1823749172251317E-12</v>
      </c>
      <c r="CW197" s="22">
        <f t="shared" si="174"/>
        <v>2.1921244502123119E-12</v>
      </c>
      <c r="CX197" s="62">
        <f t="shared" si="196"/>
        <v>290.25878253422195</v>
      </c>
      <c r="CY197" s="62">
        <f ca="1">AVERAGE(OFFSET($CX$3,0,0,'Données projet'!$E$13+1,1))-AVERAGE(OFFSET($H$3,0,0,'Données projet'!$E$13+1,1))</f>
        <v>240.40157928925146</v>
      </c>
      <c r="CZ197" s="62">
        <f t="shared" ref="CZ197:CZ203" si="208">$CZ$3</f>
        <v>160.5013084380258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-3.979039320256561E-13</v>
      </c>
      <c r="DP197" s="18">
        <f>DO197*VLOOKUP('Données projet'!$B$14,Paramètres!$A$1:$I$89,3,0)*VLOOKUP('Données projet'!$B$14,Paramètres!$A$1:$I$89,5,0)</f>
        <v>-3.8485268305521461E-13</v>
      </c>
      <c r="DQ197" s="14" t="e">
        <f t="shared" si="176"/>
        <v>#NUM!</v>
      </c>
      <c r="DR197" s="22" t="e">
        <f t="shared" si="177"/>
        <v>#NUM!</v>
      </c>
      <c r="DS197" s="62" t="e">
        <f t="shared" si="197"/>
        <v>#NUM!</v>
      </c>
      <c r="DT197" s="62">
        <f ca="1">AVERAGE(OFFSET($DS$3,0,0,'Données projet'!$E$14+1,1))-AVERAGE(OFFSET($H$3,0,0,'Données projet'!$E$14+1,1))</f>
        <v>398.93296311353788</v>
      </c>
      <c r="DU197" s="62">
        <f t="shared" ref="DU197:DU203" si="209">$DU$3</f>
        <v>173.19148969173838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-5.6843418860808015E-14</v>
      </c>
      <c r="EK197" s="18">
        <f>EJ197*VLOOKUP('Données projet'!$B$15,Paramètres!$A$1:$I$89,3,0)*VLOOKUP('Données projet'!$B$15,Paramètres!$A$1:$I$89,5,0)</f>
        <v>-4.9658410716801891E-14</v>
      </c>
      <c r="EL197" s="14" t="e">
        <f t="shared" si="179"/>
        <v>#NUM!</v>
      </c>
      <c r="EM197" s="22" t="e">
        <f t="shared" si="180"/>
        <v>#NUM!</v>
      </c>
      <c r="EN197" s="62" t="e">
        <f t="shared" si="198"/>
        <v>#NUM!</v>
      </c>
      <c r="EO197" s="62">
        <f ca="1">AVERAGE(OFFSET($EN$3,0,0,'Données projet'!$E$15+1,1))-AVERAGE(OFFSET($H$3,0,0,'Données projet'!$E$15+1,1))</f>
        <v>226.37420733783091</v>
      </c>
      <c r="EP197" s="62">
        <f t="shared" ref="EP197:EP203" si="210">$EP$3</f>
        <v>204.10961748628714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6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9">
        <f t="shared" si="192"/>
        <v>183.33333333333334</v>
      </c>
      <c r="I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2.8421709430404007E-13</v>
      </c>
      <c r="O198" s="14">
        <f>N198*VLOOKUP('Données projet'!$B$9,Paramètres!$A$1:$I$89,3,0)*VLOOKUP('Données projet'!$B$9,Paramètres!$A$1:$I$89,5,0)</f>
        <v>1.6626700016786346E-13</v>
      </c>
      <c r="P198" s="14">
        <f t="shared" si="203"/>
        <v>2.3542701735863119E-12</v>
      </c>
      <c r="Q198" s="22">
        <f t="shared" si="162"/>
        <v>4.3899355776218544E-12</v>
      </c>
      <c r="R198" s="62">
        <f t="shared" si="191"/>
        <v>290.31211911692287</v>
      </c>
      <c r="S198" s="62">
        <f ca="1">AVERAGE(OFFSET($R$3,0,0,'Données projet'!$E$9+1,1))-AVERAGE(OFFSET($H$3,0,0,'Données projet'!$E$9+1,1))</f>
        <v>196.48726929442091</v>
      </c>
      <c r="T198" s="62">
        <f t="shared" si="204"/>
        <v>193.28400454669347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2.3244917263478433E-24</v>
      </c>
      <c r="AC198" s="24">
        <f t="shared" si="163"/>
        <v>2.3244917263478433E-24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-3.979039320256561E-13</v>
      </c>
      <c r="AJ198" s="14">
        <f>AI198*VLOOKUP('Données projet'!$B$10,Paramètres!$A$1:$I$89,3,0)*VLOOKUP('Données projet'!$B$10,Paramètres!$A$1:$I$89,5,0)</f>
        <v>-4.0347458707401528E-13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414.29294334114661</v>
      </c>
      <c r="AO198" s="62">
        <f t="shared" si="205"/>
        <v>178.72086185623849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-3.979039320256561E-13</v>
      </c>
      <c r="BE198" s="14">
        <f>BD198*VLOOKUP('Données projet'!$B$11,Paramètres!$A$1:$I$89,3,0)*VLOOKUP('Données projet'!$B$11,Paramètres!$A$1:$I$89,5,0)</f>
        <v>-4.2830379243241627E-13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434.74983403680108</v>
      </c>
      <c r="BJ198" s="62">
        <f t="shared" si="206"/>
        <v>186.0840067781198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1.1368683772161603E-13</v>
      </c>
      <c r="BZ198" s="14">
        <f>BY198*VLOOKUP('Données projet'!$B$12,Paramètres!$A$1:$I$89,3,0)*VLOOKUP('Données projet'!$B$12,Paramètres!$A$1:$I$89,5,0)</f>
        <v>9.7543306765146564E-14</v>
      </c>
      <c r="CA198" s="14">
        <f t="shared" si="170"/>
        <v>1.4696264278629426E-12</v>
      </c>
      <c r="CB198" s="22">
        <f t="shared" si="171"/>
        <v>2.7294872878105889E-12</v>
      </c>
      <c r="CC198" s="62">
        <f t="shared" si="195"/>
        <v>290.31211911692122</v>
      </c>
      <c r="CD198" s="62">
        <f ca="1">AVERAGE(OFFSET($CC$3,0,0,'Données projet'!$E$12+1,1))-AVERAGE(OFFSET($H$3,0,0,'Données projet'!$E$12+1,1))</f>
        <v>288.24759203983547</v>
      </c>
      <c r="CE198" s="62">
        <f t="shared" si="207"/>
        <v>188.86613033148794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1.1368683772161603E-13</v>
      </c>
      <c r="CU198" s="18">
        <f>CT198*VLOOKUP('Données projet'!$B$13,Paramètres!$A$1:$I$89,3,0)*VLOOKUP('Données projet'!$B$13,Paramètres!$A$1:$I$89,5,0)</f>
        <v>7.626113074366004E-14</v>
      </c>
      <c r="CV198" s="14">
        <f t="shared" si="173"/>
        <v>1.1823749172251317E-12</v>
      </c>
      <c r="CW198" s="22">
        <f t="shared" si="174"/>
        <v>2.1921244502123119E-12</v>
      </c>
      <c r="CX198" s="62">
        <f t="shared" si="196"/>
        <v>290.31211911692071</v>
      </c>
      <c r="CY198" s="62">
        <f ca="1">AVERAGE(OFFSET($CX$3,0,0,'Données projet'!$E$13+1,1))-AVERAGE(OFFSET($H$3,0,0,'Données projet'!$E$13+1,1))</f>
        <v>240.40157928925146</v>
      </c>
      <c r="CZ198" s="62">
        <f t="shared" si="208"/>
        <v>160.5013084380258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-3.979039320256561E-13</v>
      </c>
      <c r="DP198" s="18">
        <f>DO198*VLOOKUP('Données projet'!$B$14,Paramètres!$A$1:$I$89,3,0)*VLOOKUP('Données projet'!$B$14,Paramètres!$A$1:$I$89,5,0)</f>
        <v>-3.8485268305521461E-13</v>
      </c>
      <c r="DQ198" s="14" t="e">
        <f t="shared" si="176"/>
        <v>#NUM!</v>
      </c>
      <c r="DR198" s="22" t="e">
        <f t="shared" si="177"/>
        <v>#NUM!</v>
      </c>
      <c r="DS198" s="62" t="e">
        <f t="shared" si="197"/>
        <v>#NUM!</v>
      </c>
      <c r="DT198" s="62">
        <f ca="1">AVERAGE(OFFSET($DS$3,0,0,'Données projet'!$E$14+1,1))-AVERAGE(OFFSET($H$3,0,0,'Données projet'!$E$14+1,1))</f>
        <v>398.93296311353788</v>
      </c>
      <c r="DU198" s="62">
        <f t="shared" si="209"/>
        <v>173.19148969173838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-5.6843418860808015E-14</v>
      </c>
      <c r="EK198" s="18">
        <f>EJ198*VLOOKUP('Données projet'!$B$15,Paramètres!$A$1:$I$89,3,0)*VLOOKUP('Données projet'!$B$15,Paramètres!$A$1:$I$89,5,0)</f>
        <v>-4.9658410716801891E-14</v>
      </c>
      <c r="EL198" s="14" t="e">
        <f t="shared" si="179"/>
        <v>#NUM!</v>
      </c>
      <c r="EM198" s="22" t="e">
        <f t="shared" si="180"/>
        <v>#NUM!</v>
      </c>
      <c r="EN198" s="62" t="e">
        <f t="shared" si="198"/>
        <v>#NUM!</v>
      </c>
      <c r="EO198" s="62">
        <f ca="1">AVERAGE(OFFSET($EN$3,0,0,'Données projet'!$E$15+1,1))-AVERAGE(OFFSET($H$3,0,0,'Données projet'!$E$15+1,1))</f>
        <v>226.37420733783091</v>
      </c>
      <c r="EP198" s="62">
        <f t="shared" si="210"/>
        <v>204.10961748628714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6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9">
        <f t="shared" si="192"/>
        <v>183.33333333333334</v>
      </c>
      <c r="I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2.8421709430404007E-13</v>
      </c>
      <c r="O199" s="14">
        <f>N199*VLOOKUP('Données projet'!$B$9,Paramètres!$A$1:$I$89,3,0)*VLOOKUP('Données projet'!$B$9,Paramètres!$A$1:$I$89,5,0)</f>
        <v>1.6626700016786346E-13</v>
      </c>
      <c r="P199" s="14">
        <f t="shared" si="203"/>
        <v>2.3542701735863119E-12</v>
      </c>
      <c r="Q199" s="22">
        <f t="shared" si="162"/>
        <v>4.3899355776218544E-12</v>
      </c>
      <c r="R199" s="62">
        <f t="shared" si="191"/>
        <v>290.36453042915457</v>
      </c>
      <c r="S199" s="62">
        <f ca="1">AVERAGE(OFFSET($R$3,0,0,'Données projet'!$E$9+1,1))-AVERAGE(OFFSET($H$3,0,0,'Données projet'!$E$9+1,1))</f>
        <v>196.48726929442091</v>
      </c>
      <c r="T199" s="62">
        <f t="shared" si="204"/>
        <v>193.28400454669347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1.6436638625125847E-24</v>
      </c>
      <c r="AC199" s="24">
        <f t="shared" si="163"/>
        <v>1.6436638625125847E-24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-3.979039320256561E-13</v>
      </c>
      <c r="AJ199" s="14">
        <f>AI199*VLOOKUP('Données projet'!$B$10,Paramètres!$A$1:$I$89,3,0)*VLOOKUP('Données projet'!$B$10,Paramètres!$A$1:$I$89,5,0)</f>
        <v>-4.0347458707401528E-13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414.29294334114661</v>
      </c>
      <c r="AO199" s="62">
        <f t="shared" si="205"/>
        <v>178.72086185623849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-3.979039320256561E-13</v>
      </c>
      <c r="BE199" s="14">
        <f>BD199*VLOOKUP('Données projet'!$B$11,Paramètres!$A$1:$I$89,3,0)*VLOOKUP('Données projet'!$B$11,Paramètres!$A$1:$I$89,5,0)</f>
        <v>-4.2830379243241627E-13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434.74983403680108</v>
      </c>
      <c r="BJ199" s="62">
        <f t="shared" si="206"/>
        <v>186.0840067781198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1.1368683772161603E-13</v>
      </c>
      <c r="BZ199" s="14">
        <f>BY199*VLOOKUP('Données projet'!$B$12,Paramètres!$A$1:$I$89,3,0)*VLOOKUP('Données projet'!$B$12,Paramètres!$A$1:$I$89,5,0)</f>
        <v>9.7543306765146564E-14</v>
      </c>
      <c r="CA199" s="14">
        <f t="shared" si="170"/>
        <v>1.4696264278629426E-12</v>
      </c>
      <c r="CB199" s="22">
        <f t="shared" si="171"/>
        <v>2.7294872878105889E-12</v>
      </c>
      <c r="CC199" s="62">
        <f t="shared" si="195"/>
        <v>290.36453042915292</v>
      </c>
      <c r="CD199" s="62">
        <f ca="1">AVERAGE(OFFSET($CC$3,0,0,'Données projet'!$E$12+1,1))-AVERAGE(OFFSET($H$3,0,0,'Données projet'!$E$12+1,1))</f>
        <v>288.24759203983547</v>
      </c>
      <c r="CE199" s="62">
        <f t="shared" si="207"/>
        <v>188.86613033148794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1.1368683772161603E-13</v>
      </c>
      <c r="CU199" s="18">
        <f>CT199*VLOOKUP('Données projet'!$B$13,Paramètres!$A$1:$I$89,3,0)*VLOOKUP('Données projet'!$B$13,Paramètres!$A$1:$I$89,5,0)</f>
        <v>7.626113074366004E-14</v>
      </c>
      <c r="CV199" s="14">
        <f t="shared" si="173"/>
        <v>1.1823749172251317E-12</v>
      </c>
      <c r="CW199" s="22">
        <f t="shared" si="174"/>
        <v>2.1921244502123119E-12</v>
      </c>
      <c r="CX199" s="62">
        <f t="shared" si="196"/>
        <v>290.36453042915241</v>
      </c>
      <c r="CY199" s="62">
        <f ca="1">AVERAGE(OFFSET($CX$3,0,0,'Données projet'!$E$13+1,1))-AVERAGE(OFFSET($H$3,0,0,'Données projet'!$E$13+1,1))</f>
        <v>240.40157928925146</v>
      </c>
      <c r="CZ199" s="62">
        <f t="shared" si="208"/>
        <v>160.5013084380258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-3.979039320256561E-13</v>
      </c>
      <c r="DP199" s="18">
        <f>DO199*VLOOKUP('Données projet'!$B$14,Paramètres!$A$1:$I$89,3,0)*VLOOKUP('Données projet'!$B$14,Paramètres!$A$1:$I$89,5,0)</f>
        <v>-3.8485268305521461E-13</v>
      </c>
      <c r="DQ199" s="14" t="e">
        <f t="shared" si="176"/>
        <v>#NUM!</v>
      </c>
      <c r="DR199" s="22" t="e">
        <f t="shared" si="177"/>
        <v>#NUM!</v>
      </c>
      <c r="DS199" s="62" t="e">
        <f t="shared" si="197"/>
        <v>#NUM!</v>
      </c>
      <c r="DT199" s="62">
        <f ca="1">AVERAGE(OFFSET($DS$3,0,0,'Données projet'!$E$14+1,1))-AVERAGE(OFFSET($H$3,0,0,'Données projet'!$E$14+1,1))</f>
        <v>398.93296311353788</v>
      </c>
      <c r="DU199" s="62">
        <f t="shared" si="209"/>
        <v>173.19148969173838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-5.6843418860808015E-14</v>
      </c>
      <c r="EK199" s="18">
        <f>EJ199*VLOOKUP('Données projet'!$B$15,Paramètres!$A$1:$I$89,3,0)*VLOOKUP('Données projet'!$B$15,Paramètres!$A$1:$I$89,5,0)</f>
        <v>-4.9658410716801891E-14</v>
      </c>
      <c r="EL199" s="14" t="e">
        <f t="shared" si="179"/>
        <v>#NUM!</v>
      </c>
      <c r="EM199" s="22" t="e">
        <f t="shared" si="180"/>
        <v>#NUM!</v>
      </c>
      <c r="EN199" s="62" t="e">
        <f t="shared" si="198"/>
        <v>#NUM!</v>
      </c>
      <c r="EO199" s="62">
        <f ca="1">AVERAGE(OFFSET($EN$3,0,0,'Données projet'!$E$15+1,1))-AVERAGE(OFFSET($H$3,0,0,'Données projet'!$E$15+1,1))</f>
        <v>226.37420733783091</v>
      </c>
      <c r="EP199" s="62">
        <f t="shared" si="210"/>
        <v>204.10961748628714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6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9">
        <f t="shared" si="192"/>
        <v>183.33333333333334</v>
      </c>
      <c r="I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2.8421709430404007E-13</v>
      </c>
      <c r="O200" s="14">
        <f>N200*VLOOKUP('Données projet'!$B$9,Paramètres!$A$1:$I$89,3,0)*VLOOKUP('Données projet'!$B$9,Paramètres!$A$1:$I$89,5,0)</f>
        <v>1.6626700016786346E-13</v>
      </c>
      <c r="P200" s="14">
        <f t="shared" si="203"/>
        <v>2.3542701735863119E-12</v>
      </c>
      <c r="Q200" s="22">
        <f t="shared" si="162"/>
        <v>4.3899355776218544E-12</v>
      </c>
      <c r="R200" s="62">
        <f t="shared" si="191"/>
        <v>290.41603252229316</v>
      </c>
      <c r="S200" s="62">
        <f ca="1">AVERAGE(OFFSET($R$3,0,0,'Données projet'!$E$9+1,1))-AVERAGE(OFFSET($H$3,0,0,'Données projet'!$E$9+1,1))</f>
        <v>196.48726929442091</v>
      </c>
      <c r="T200" s="62">
        <f t="shared" si="204"/>
        <v>193.28400454669347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1.1622458631739218E-24</v>
      </c>
      <c r="AC200" s="24">
        <f t="shared" si="163"/>
        <v>1.1622458631739218E-24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-3.979039320256561E-13</v>
      </c>
      <c r="AJ200" s="14">
        <f>AI200*VLOOKUP('Données projet'!$B$10,Paramètres!$A$1:$I$89,3,0)*VLOOKUP('Données projet'!$B$10,Paramètres!$A$1:$I$89,5,0)</f>
        <v>-4.0347458707401528E-13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414.29294334114661</v>
      </c>
      <c r="AO200" s="62">
        <f t="shared" si="205"/>
        <v>178.72086185623849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-3.979039320256561E-13</v>
      </c>
      <c r="BE200" s="14">
        <f>BD200*VLOOKUP('Données projet'!$B$11,Paramètres!$A$1:$I$89,3,0)*VLOOKUP('Données projet'!$B$11,Paramètres!$A$1:$I$89,5,0)</f>
        <v>-4.2830379243241627E-13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434.74983403680108</v>
      </c>
      <c r="BJ200" s="62">
        <f t="shared" si="206"/>
        <v>186.0840067781198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1.1368683772161603E-13</v>
      </c>
      <c r="BZ200" s="14">
        <f>BY200*VLOOKUP('Données projet'!$B$12,Paramètres!$A$1:$I$89,3,0)*VLOOKUP('Données projet'!$B$12,Paramètres!$A$1:$I$89,5,0)</f>
        <v>9.7543306765146564E-14</v>
      </c>
      <c r="CA200" s="14">
        <f t="shared" si="170"/>
        <v>1.4696264278629426E-12</v>
      </c>
      <c r="CB200" s="22">
        <f t="shared" si="171"/>
        <v>2.7294872878105889E-12</v>
      </c>
      <c r="CC200" s="62">
        <f t="shared" si="195"/>
        <v>290.41603252229152</v>
      </c>
      <c r="CD200" s="62">
        <f ca="1">AVERAGE(OFFSET($CC$3,0,0,'Données projet'!$E$12+1,1))-AVERAGE(OFFSET($H$3,0,0,'Données projet'!$E$12+1,1))</f>
        <v>288.24759203983547</v>
      </c>
      <c r="CE200" s="62">
        <f t="shared" si="207"/>
        <v>188.86613033148794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1.1368683772161603E-13</v>
      </c>
      <c r="CU200" s="18">
        <f>CT200*VLOOKUP('Données projet'!$B$13,Paramètres!$A$1:$I$89,3,0)*VLOOKUP('Données projet'!$B$13,Paramètres!$A$1:$I$89,5,0)</f>
        <v>7.626113074366004E-14</v>
      </c>
      <c r="CV200" s="14">
        <f t="shared" si="173"/>
        <v>1.1823749172251317E-12</v>
      </c>
      <c r="CW200" s="22">
        <f t="shared" si="174"/>
        <v>2.1921244502123119E-12</v>
      </c>
      <c r="CX200" s="62">
        <f t="shared" si="196"/>
        <v>290.416032522291</v>
      </c>
      <c r="CY200" s="62">
        <f ca="1">AVERAGE(OFFSET($CX$3,0,0,'Données projet'!$E$13+1,1))-AVERAGE(OFFSET($H$3,0,0,'Données projet'!$E$13+1,1))</f>
        <v>240.40157928925146</v>
      </c>
      <c r="CZ200" s="62">
        <f t="shared" si="208"/>
        <v>160.5013084380258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-3.979039320256561E-13</v>
      </c>
      <c r="DP200" s="18">
        <f>DO200*VLOOKUP('Données projet'!$B$14,Paramètres!$A$1:$I$89,3,0)*VLOOKUP('Données projet'!$B$14,Paramètres!$A$1:$I$89,5,0)</f>
        <v>-3.8485268305521461E-13</v>
      </c>
      <c r="DQ200" s="14" t="e">
        <f t="shared" si="176"/>
        <v>#NUM!</v>
      </c>
      <c r="DR200" s="22" t="e">
        <f t="shared" si="177"/>
        <v>#NUM!</v>
      </c>
      <c r="DS200" s="62" t="e">
        <f t="shared" si="197"/>
        <v>#NUM!</v>
      </c>
      <c r="DT200" s="62">
        <f ca="1">AVERAGE(OFFSET($DS$3,0,0,'Données projet'!$E$14+1,1))-AVERAGE(OFFSET($H$3,0,0,'Données projet'!$E$14+1,1))</f>
        <v>398.93296311353788</v>
      </c>
      <c r="DU200" s="62">
        <f t="shared" si="209"/>
        <v>173.19148969173838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-5.6843418860808015E-14</v>
      </c>
      <c r="EK200" s="18">
        <f>EJ200*VLOOKUP('Données projet'!$B$15,Paramètres!$A$1:$I$89,3,0)*VLOOKUP('Données projet'!$B$15,Paramètres!$A$1:$I$89,5,0)</f>
        <v>-4.9658410716801891E-14</v>
      </c>
      <c r="EL200" s="14" t="e">
        <f t="shared" si="179"/>
        <v>#NUM!</v>
      </c>
      <c r="EM200" s="22" t="e">
        <f t="shared" si="180"/>
        <v>#NUM!</v>
      </c>
      <c r="EN200" s="62" t="e">
        <f t="shared" si="198"/>
        <v>#NUM!</v>
      </c>
      <c r="EO200" s="62">
        <f ca="1">AVERAGE(OFFSET($EN$3,0,0,'Données projet'!$E$15+1,1))-AVERAGE(OFFSET($H$3,0,0,'Données projet'!$E$15+1,1))</f>
        <v>226.37420733783091</v>
      </c>
      <c r="EP200" s="62">
        <f t="shared" si="210"/>
        <v>204.10961748628714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6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9">
        <f t="shared" si="192"/>
        <v>183.33333333333334</v>
      </c>
      <c r="I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2.8421709430404007E-13</v>
      </c>
      <c r="O201" s="14">
        <f>N201*VLOOKUP('Données projet'!$B$9,Paramètres!$A$1:$I$89,3,0)*VLOOKUP('Données projet'!$B$9,Paramètres!$A$1:$I$89,5,0)</f>
        <v>1.6626700016786346E-13</v>
      </c>
      <c r="P201" s="14">
        <f t="shared" si="203"/>
        <v>2.3542701735863119E-12</v>
      </c>
      <c r="Q201" s="22">
        <f t="shared" si="162"/>
        <v>4.3899355776218544E-12</v>
      </c>
      <c r="R201" s="62">
        <f t="shared" si="191"/>
        <v>290.46664116925729</v>
      </c>
      <c r="S201" s="62">
        <f ca="1">AVERAGE(OFFSET($R$3,0,0,'Données projet'!$E$9+1,1))-AVERAGE(OFFSET($H$3,0,0,'Données projet'!$E$9+1,1))</f>
        <v>196.48726929442091</v>
      </c>
      <c r="T201" s="62">
        <f t="shared" si="204"/>
        <v>193.28400454669347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8.2183193125629246E-25</v>
      </c>
      <c r="AC201" s="24">
        <f t="shared" si="163"/>
        <v>8.2183193125629246E-25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-3.979039320256561E-13</v>
      </c>
      <c r="AJ201" s="14">
        <f>AI201*VLOOKUP('Données projet'!$B$10,Paramètres!$A$1:$I$89,3,0)*VLOOKUP('Données projet'!$B$10,Paramètres!$A$1:$I$89,5,0)</f>
        <v>-4.0347458707401528E-13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414.29294334114661</v>
      </c>
      <c r="AO201" s="62">
        <f t="shared" si="205"/>
        <v>178.72086185623849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-3.979039320256561E-13</v>
      </c>
      <c r="BE201" s="14">
        <f>BD201*VLOOKUP('Données projet'!$B$11,Paramètres!$A$1:$I$89,3,0)*VLOOKUP('Données projet'!$B$11,Paramètres!$A$1:$I$89,5,0)</f>
        <v>-4.2830379243241627E-13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434.74983403680108</v>
      </c>
      <c r="BJ201" s="62">
        <f t="shared" si="206"/>
        <v>186.0840067781198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1.1368683772161603E-13</v>
      </c>
      <c r="BZ201" s="14">
        <f>BY201*VLOOKUP('Données projet'!$B$12,Paramètres!$A$1:$I$89,3,0)*VLOOKUP('Données projet'!$B$12,Paramètres!$A$1:$I$89,5,0)</f>
        <v>9.7543306765146564E-14</v>
      </c>
      <c r="CA201" s="14">
        <f t="shared" si="170"/>
        <v>1.4696264278629426E-12</v>
      </c>
      <c r="CB201" s="22">
        <f t="shared" si="171"/>
        <v>2.7294872878105889E-12</v>
      </c>
      <c r="CC201" s="62">
        <f t="shared" si="195"/>
        <v>290.46664116925564</v>
      </c>
      <c r="CD201" s="62">
        <f ca="1">AVERAGE(OFFSET($CC$3,0,0,'Données projet'!$E$12+1,1))-AVERAGE(OFFSET($H$3,0,0,'Données projet'!$E$12+1,1))</f>
        <v>288.24759203983547</v>
      </c>
      <c r="CE201" s="62">
        <f t="shared" si="207"/>
        <v>188.86613033148794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1.1368683772161603E-13</v>
      </c>
      <c r="CU201" s="18">
        <f>CT201*VLOOKUP('Données projet'!$B$13,Paramètres!$A$1:$I$89,3,0)*VLOOKUP('Données projet'!$B$13,Paramètres!$A$1:$I$89,5,0)</f>
        <v>7.626113074366004E-14</v>
      </c>
      <c r="CV201" s="14">
        <f t="shared" si="173"/>
        <v>1.1823749172251317E-12</v>
      </c>
      <c r="CW201" s="22">
        <f t="shared" si="174"/>
        <v>2.1921244502123119E-12</v>
      </c>
      <c r="CX201" s="62">
        <f t="shared" si="196"/>
        <v>290.46664116925513</v>
      </c>
      <c r="CY201" s="62">
        <f ca="1">AVERAGE(OFFSET($CX$3,0,0,'Données projet'!$E$13+1,1))-AVERAGE(OFFSET($H$3,0,0,'Données projet'!$E$13+1,1))</f>
        <v>240.40157928925146</v>
      </c>
      <c r="CZ201" s="62">
        <f t="shared" si="208"/>
        <v>160.5013084380258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-3.979039320256561E-13</v>
      </c>
      <c r="DP201" s="18">
        <f>DO201*VLOOKUP('Données projet'!$B$14,Paramètres!$A$1:$I$89,3,0)*VLOOKUP('Données projet'!$B$14,Paramètres!$A$1:$I$89,5,0)</f>
        <v>-3.8485268305521461E-13</v>
      </c>
      <c r="DQ201" s="14" t="e">
        <f t="shared" si="176"/>
        <v>#NUM!</v>
      </c>
      <c r="DR201" s="22" t="e">
        <f t="shared" si="177"/>
        <v>#NUM!</v>
      </c>
      <c r="DS201" s="62" t="e">
        <f t="shared" si="197"/>
        <v>#NUM!</v>
      </c>
      <c r="DT201" s="62">
        <f ca="1">AVERAGE(OFFSET($DS$3,0,0,'Données projet'!$E$14+1,1))-AVERAGE(OFFSET($H$3,0,0,'Données projet'!$E$14+1,1))</f>
        <v>398.93296311353788</v>
      </c>
      <c r="DU201" s="62">
        <f t="shared" si="209"/>
        <v>173.19148969173838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-5.6843418860808015E-14</v>
      </c>
      <c r="EK201" s="18">
        <f>EJ201*VLOOKUP('Données projet'!$B$15,Paramètres!$A$1:$I$89,3,0)*VLOOKUP('Données projet'!$B$15,Paramètres!$A$1:$I$89,5,0)</f>
        <v>-4.9658410716801891E-14</v>
      </c>
      <c r="EL201" s="14" t="e">
        <f t="shared" si="179"/>
        <v>#NUM!</v>
      </c>
      <c r="EM201" s="22" t="e">
        <f t="shared" si="180"/>
        <v>#NUM!</v>
      </c>
      <c r="EN201" s="62" t="e">
        <f t="shared" si="198"/>
        <v>#NUM!</v>
      </c>
      <c r="EO201" s="62">
        <f ca="1">AVERAGE(OFFSET($EN$3,0,0,'Données projet'!$E$15+1,1))-AVERAGE(OFFSET($H$3,0,0,'Données projet'!$E$15+1,1))</f>
        <v>226.37420733783091</v>
      </c>
      <c r="EP201" s="62">
        <f t="shared" si="210"/>
        <v>204.10961748628714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6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9">
        <f t="shared" si="192"/>
        <v>183.33333333333334</v>
      </c>
      <c r="I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2.8421709430404007E-13</v>
      </c>
      <c r="O202" s="14">
        <f>N202*VLOOKUP('Données projet'!$B$9,Paramètres!$A$1:$I$89,3,0)*VLOOKUP('Données projet'!$B$9,Paramètres!$A$1:$I$89,5,0)</f>
        <v>1.6626700016786346E-13</v>
      </c>
      <c r="P202" s="14">
        <f t="shared" si="203"/>
        <v>2.3542701735863119E-12</v>
      </c>
      <c r="Q202" s="22">
        <f t="shared" si="162"/>
        <v>4.3899355776218544E-12</v>
      </c>
      <c r="R202" s="62">
        <f t="shared" si="191"/>
        <v>290.5163718693405</v>
      </c>
      <c r="S202" s="62">
        <f ca="1">AVERAGE(OFFSET($R$3,0,0,'Données projet'!$E$9+1,1))-AVERAGE(OFFSET($H$3,0,0,'Données projet'!$E$9+1,1))</f>
        <v>196.48726929442091</v>
      </c>
      <c r="T202" s="62">
        <f t="shared" si="204"/>
        <v>193.28400454669347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5.8112293158696101E-25</v>
      </c>
      <c r="AC202" s="24">
        <f t="shared" si="163"/>
        <v>5.8112293158696101E-25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-3.979039320256561E-13</v>
      </c>
      <c r="AJ202" s="14">
        <f>AI202*VLOOKUP('Données projet'!$B$10,Paramètres!$A$1:$I$89,3,0)*VLOOKUP('Données projet'!$B$10,Paramètres!$A$1:$I$89,5,0)</f>
        <v>-4.0347458707401528E-13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414.29294334114661</v>
      </c>
      <c r="AO202" s="62">
        <f t="shared" si="205"/>
        <v>178.72086185623849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-3.979039320256561E-13</v>
      </c>
      <c r="BE202" s="14">
        <f>BD202*VLOOKUP('Données projet'!$B$11,Paramètres!$A$1:$I$89,3,0)*VLOOKUP('Données projet'!$B$11,Paramètres!$A$1:$I$89,5,0)</f>
        <v>-4.2830379243241627E-13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434.74983403680108</v>
      </c>
      <c r="BJ202" s="62">
        <f t="shared" si="206"/>
        <v>186.0840067781198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1.1368683772161603E-13</v>
      </c>
      <c r="BZ202" s="14">
        <f>BY202*VLOOKUP('Données projet'!$B$12,Paramètres!$A$1:$I$89,3,0)*VLOOKUP('Données projet'!$B$12,Paramètres!$A$1:$I$89,5,0)</f>
        <v>9.7543306765146564E-14</v>
      </c>
      <c r="CA202" s="14">
        <f t="shared" si="170"/>
        <v>1.4696264278629426E-12</v>
      </c>
      <c r="CB202" s="22">
        <f t="shared" si="171"/>
        <v>2.7294872878105889E-12</v>
      </c>
      <c r="CC202" s="62">
        <f t="shared" si="195"/>
        <v>290.51637186933885</v>
      </c>
      <c r="CD202" s="62">
        <f ca="1">AVERAGE(OFFSET($CC$3,0,0,'Données projet'!$E$12+1,1))-AVERAGE(OFFSET($H$3,0,0,'Données projet'!$E$12+1,1))</f>
        <v>288.24759203983547</v>
      </c>
      <c r="CE202" s="62">
        <f t="shared" si="207"/>
        <v>188.86613033148794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1.1368683772161603E-13</v>
      </c>
      <c r="CU202" s="18">
        <f>CT202*VLOOKUP('Données projet'!$B$13,Paramètres!$A$1:$I$89,3,0)*VLOOKUP('Données projet'!$B$13,Paramètres!$A$1:$I$89,5,0)</f>
        <v>7.626113074366004E-14</v>
      </c>
      <c r="CV202" s="14">
        <f t="shared" si="173"/>
        <v>1.1823749172251317E-12</v>
      </c>
      <c r="CW202" s="22">
        <f t="shared" si="174"/>
        <v>2.1921244502123119E-12</v>
      </c>
      <c r="CX202" s="62">
        <f t="shared" si="196"/>
        <v>290.51637186933834</v>
      </c>
      <c r="CY202" s="62">
        <f ca="1">AVERAGE(OFFSET($CX$3,0,0,'Données projet'!$E$13+1,1))-AVERAGE(OFFSET($H$3,0,0,'Données projet'!$E$13+1,1))</f>
        <v>240.40157928925146</v>
      </c>
      <c r="CZ202" s="62">
        <f t="shared" si="208"/>
        <v>160.5013084380258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-3.979039320256561E-13</v>
      </c>
      <c r="DP202" s="18">
        <f>DO202*VLOOKUP('Données projet'!$B$14,Paramètres!$A$1:$I$89,3,0)*VLOOKUP('Données projet'!$B$14,Paramètres!$A$1:$I$89,5,0)</f>
        <v>-3.8485268305521461E-13</v>
      </c>
      <c r="DQ202" s="14" t="e">
        <f t="shared" si="176"/>
        <v>#NUM!</v>
      </c>
      <c r="DR202" s="22" t="e">
        <f t="shared" si="177"/>
        <v>#NUM!</v>
      </c>
      <c r="DS202" s="62" t="e">
        <f t="shared" si="197"/>
        <v>#NUM!</v>
      </c>
      <c r="DT202" s="62">
        <f ca="1">AVERAGE(OFFSET($DS$3,0,0,'Données projet'!$E$14+1,1))-AVERAGE(OFFSET($H$3,0,0,'Données projet'!$E$14+1,1))</f>
        <v>398.93296311353788</v>
      </c>
      <c r="DU202" s="62">
        <f t="shared" si="209"/>
        <v>173.19148969173838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-5.6843418860808015E-14</v>
      </c>
      <c r="EK202" s="18">
        <f>EJ202*VLOOKUP('Données projet'!$B$15,Paramètres!$A$1:$I$89,3,0)*VLOOKUP('Données projet'!$B$15,Paramètres!$A$1:$I$89,5,0)</f>
        <v>-4.9658410716801891E-14</v>
      </c>
      <c r="EL202" s="14" t="e">
        <f t="shared" si="179"/>
        <v>#NUM!</v>
      </c>
      <c r="EM202" s="22" t="e">
        <f t="shared" si="180"/>
        <v>#NUM!</v>
      </c>
      <c r="EN202" s="62" t="e">
        <f t="shared" si="198"/>
        <v>#NUM!</v>
      </c>
      <c r="EO202" s="62">
        <f ca="1">AVERAGE(OFFSET($EN$3,0,0,'Données projet'!$E$15+1,1))-AVERAGE(OFFSET($H$3,0,0,'Données projet'!$E$15+1,1))</f>
        <v>226.37420733783091</v>
      </c>
      <c r="EP202" s="62">
        <f t="shared" si="210"/>
        <v>204.10961748628714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6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9">
        <f t="shared" si="192"/>
        <v>183.33333333333334</v>
      </c>
      <c r="I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2.8421709430404007E-13</v>
      </c>
      <c r="O203" s="14">
        <f>N203*VLOOKUP('Données projet'!$B$9,Paramètres!$A$1:$I$89,3,0)*VLOOKUP('Données projet'!$B$9,Paramètres!$A$1:$I$89,5,0)</f>
        <v>1.6626700016786346E-13</v>
      </c>
      <c r="P203" s="14">
        <f t="shared" si="203"/>
        <v>2.3542701735863119E-12</v>
      </c>
      <c r="Q203" s="22">
        <f t="shared" si="162"/>
        <v>4.3899355776218544E-12</v>
      </c>
      <c r="R203" s="62">
        <f t="shared" si="191"/>
        <v>290.56523985295848</v>
      </c>
      <c r="S203" s="62">
        <f ca="1">AVERAGE(OFFSET($R$3,0,0,'Données projet'!$E$9+1,1))-AVERAGE(OFFSET($H$3,0,0,'Données projet'!$E$9+1,1))</f>
        <v>196.48726929442091</v>
      </c>
      <c r="T203" s="62">
        <f t="shared" si="204"/>
        <v>193.28400454669347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4.1091596562814628E-25</v>
      </c>
      <c r="AC203" s="24">
        <f t="shared" si="163"/>
        <v>4.1091596562814628E-25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-3.979039320256561E-13</v>
      </c>
      <c r="AJ203" s="14">
        <f>AI203*VLOOKUP('Données projet'!$B$10,Paramètres!$A$1:$I$89,3,0)*VLOOKUP('Données projet'!$B$10,Paramètres!$A$1:$I$89,5,0)</f>
        <v>-4.0347458707401528E-13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414.29294334114661</v>
      </c>
      <c r="AO203" s="62">
        <f t="shared" si="205"/>
        <v>178.72086185623849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-3.979039320256561E-13</v>
      </c>
      <c r="BE203" s="14">
        <f>BD203*VLOOKUP('Données projet'!$B$11,Paramètres!$A$1:$I$89,3,0)*VLOOKUP('Données projet'!$B$11,Paramètres!$A$1:$I$89,5,0)</f>
        <v>-4.2830379243241627E-13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434.74983403680108</v>
      </c>
      <c r="BJ203" s="62">
        <f t="shared" si="206"/>
        <v>186.0840067781198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1.1368683772161603E-13</v>
      </c>
      <c r="BZ203" s="14">
        <f>BY203*VLOOKUP('Données projet'!$B$12,Paramètres!$A$1:$I$89,3,0)*VLOOKUP('Données projet'!$B$12,Paramètres!$A$1:$I$89,5,0)</f>
        <v>9.7543306765146564E-14</v>
      </c>
      <c r="CA203" s="14">
        <f t="shared" si="170"/>
        <v>1.4696264278629426E-12</v>
      </c>
      <c r="CB203" s="22">
        <f t="shared" si="171"/>
        <v>2.7294872878105889E-12</v>
      </c>
      <c r="CC203" s="62">
        <f t="shared" si="195"/>
        <v>290.56523985295684</v>
      </c>
      <c r="CD203" s="62">
        <f ca="1">AVERAGE(OFFSET($CC$3,0,0,'Données projet'!$E$12+1,1))-AVERAGE(OFFSET($H$3,0,0,'Données projet'!$E$12+1,1))</f>
        <v>288.24759203983547</v>
      </c>
      <c r="CE203" s="62">
        <f t="shared" si="207"/>
        <v>188.86613033148794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1.1368683772161603E-13</v>
      </c>
      <c r="CU203" s="18">
        <f>CT203*VLOOKUP('Données projet'!$B$13,Paramètres!$A$1:$I$89,3,0)*VLOOKUP('Données projet'!$B$13,Paramètres!$A$1:$I$89,5,0)</f>
        <v>7.626113074366004E-14</v>
      </c>
      <c r="CV203" s="14">
        <f t="shared" si="173"/>
        <v>1.1823749172251317E-12</v>
      </c>
      <c r="CW203" s="22">
        <f t="shared" si="174"/>
        <v>2.1921244502123119E-12</v>
      </c>
      <c r="CX203" s="62">
        <f t="shared" si="196"/>
        <v>290.56523985295632</v>
      </c>
      <c r="CY203" s="62">
        <f ca="1">AVERAGE(OFFSET($CX$3,0,0,'Données projet'!$E$13+1,1))-AVERAGE(OFFSET($H$3,0,0,'Données projet'!$E$13+1,1))</f>
        <v>240.40157928925146</v>
      </c>
      <c r="CZ203" s="62">
        <f t="shared" si="208"/>
        <v>160.5013084380258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-3.979039320256561E-13</v>
      </c>
      <c r="DP203" s="18">
        <f>DO203*VLOOKUP('Données projet'!$B$14,Paramètres!$A$1:$I$89,3,0)*VLOOKUP('Données projet'!$B$14,Paramètres!$A$1:$I$89,5,0)</f>
        <v>-3.8485268305521461E-13</v>
      </c>
      <c r="DQ203" s="14" t="e">
        <f t="shared" si="176"/>
        <v>#NUM!</v>
      </c>
      <c r="DR203" s="22" t="e">
        <f t="shared" si="177"/>
        <v>#NUM!</v>
      </c>
      <c r="DS203" s="62" t="e">
        <f t="shared" si="197"/>
        <v>#NUM!</v>
      </c>
      <c r="DT203" s="62">
        <f ca="1">AVERAGE(OFFSET($DS$3,0,0,'Données projet'!$E$14+1,1))-AVERAGE(OFFSET($H$3,0,0,'Données projet'!$E$14+1,1))</f>
        <v>398.93296311353788</v>
      </c>
      <c r="DU203" s="62">
        <f t="shared" si="209"/>
        <v>173.19148969173838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-5.6843418860808015E-14</v>
      </c>
      <c r="EK203" s="18">
        <f>EJ203*VLOOKUP('Données projet'!$B$15,Paramètres!$A$1:$I$89,3,0)*VLOOKUP('Données projet'!$B$15,Paramètres!$A$1:$I$89,5,0)</f>
        <v>-4.9658410716801891E-14</v>
      </c>
      <c r="EL203" s="14" t="e">
        <f t="shared" si="179"/>
        <v>#NUM!</v>
      </c>
      <c r="EM203" s="22" t="e">
        <f t="shared" si="180"/>
        <v>#NUM!</v>
      </c>
      <c r="EN203" s="62" t="e">
        <f t="shared" si="198"/>
        <v>#NUM!</v>
      </c>
      <c r="EO203" s="62">
        <f ca="1">AVERAGE(OFFSET($EN$3,0,0,'Données projet'!$E$15+1,1))-AVERAGE(OFFSET($H$3,0,0,'Données projet'!$E$15+1,1))</f>
        <v>226.37420733783091</v>
      </c>
      <c r="EP203" s="62">
        <f t="shared" si="210"/>
        <v>204.10961748628714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2"/>
      <c r="C204" s="80"/>
      <c r="D204" s="81"/>
      <c r="E204" s="81"/>
      <c r="F204" s="81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0"/>
      <c r="I204" s="80"/>
      <c r="J204" s="80"/>
      <c r="K204" s="89" t="s">
        <v>293</v>
      </c>
      <c r="L204" s="83"/>
      <c r="M204" s="83"/>
      <c r="N204" s="83"/>
      <c r="O204" s="80"/>
      <c r="P204" s="80"/>
      <c r="Q204" s="81"/>
      <c r="R204" s="84"/>
      <c r="S204" s="84"/>
      <c r="T204" s="84"/>
      <c r="U204" s="83"/>
      <c r="V204" s="83"/>
      <c r="W204" s="85"/>
      <c r="X204" s="85"/>
      <c r="Y204" s="85"/>
      <c r="Z204" s="80"/>
      <c r="AA204" s="80"/>
      <c r="AB204" s="80"/>
      <c r="AC204" s="80"/>
      <c r="AD204" s="80"/>
      <c r="AE204" s="80"/>
      <c r="AF204" s="86" t="s">
        <v>293</v>
      </c>
      <c r="BA204" s="86" t="s">
        <v>293</v>
      </c>
      <c r="BV204" s="86" t="s">
        <v>293</v>
      </c>
      <c r="CQ204" s="86" t="s">
        <v>293</v>
      </c>
      <c r="DL204" s="86" t="s">
        <v>293</v>
      </c>
      <c r="EG204" s="86" t="s">
        <v>293</v>
      </c>
      <c r="FB204" s="86" t="s">
        <v>293</v>
      </c>
      <c r="FW204" s="86" t="s">
        <v>293</v>
      </c>
      <c r="GR204" s="86" t="s">
        <v>293</v>
      </c>
    </row>
    <row r="205" spans="1:218" ht="15.75" thickBot="1" x14ac:dyDescent="0.3">
      <c r="B205" s="82"/>
      <c r="C205" s="80"/>
      <c r="D205" s="81"/>
      <c r="E205" s="81"/>
      <c r="F205" s="81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0"/>
      <c r="I205" s="80"/>
      <c r="J205" s="80"/>
      <c r="K205" s="87">
        <f>EXP(LN('Données projet'!B36)/'Données projet'!A36)</f>
        <v>1.1678121157596812</v>
      </c>
      <c r="L205" s="83"/>
      <c r="M205" s="83"/>
      <c r="N205" s="83"/>
      <c r="O205" s="80"/>
      <c r="P205" s="80"/>
      <c r="Q205" s="81"/>
      <c r="R205" s="84"/>
      <c r="S205" s="84"/>
      <c r="T205" s="84"/>
      <c r="U205" s="83"/>
      <c r="V205" s="83"/>
      <c r="W205" s="85"/>
      <c r="X205" s="85"/>
      <c r="Y205" s="85"/>
      <c r="Z205" s="80"/>
      <c r="AA205" s="80"/>
      <c r="AB205" s="80"/>
      <c r="AC205" s="80"/>
      <c r="AD205" s="80"/>
      <c r="AE205" s="80"/>
      <c r="AF205" s="88">
        <f>EXP(LN('Données projet'!B62)/'Données projet'!A62)</f>
        <v>1.1457367676485573</v>
      </c>
      <c r="BA205" s="87">
        <f>EXP(LN('Données projet'!B88)/'Données projet'!A88)</f>
        <v>1.1457367676485573</v>
      </c>
      <c r="BV205" s="87">
        <f>EXP(LN('Données projet'!B114)/'Données projet'!A114)</f>
        <v>1.1904804802795936</v>
      </c>
      <c r="CQ205" s="87">
        <f>EXP(LN('Données projet'!B140)/'Données projet'!A140)</f>
        <v>1.1904804802795936</v>
      </c>
      <c r="DL205" s="87">
        <f>EXP(LN('Données projet'!B166)/'Données projet'!A166)</f>
        <v>1.1457367676485573</v>
      </c>
      <c r="EG205" s="87">
        <f>EXP(LN('Données projet'!B192)/'Données projet'!A192)</f>
        <v>1.1554831727638066</v>
      </c>
      <c r="FB205" s="87" t="e">
        <f>EXP(LN('Données projet'!B218)/'Données projet'!A218)</f>
        <v>#NUM!</v>
      </c>
      <c r="FW205" s="87" t="e">
        <f>EXP(LN('Données projet'!B244)/'Données projet'!A244)</f>
        <v>#NUM!</v>
      </c>
      <c r="GR205" s="87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18" t="s">
        <v>0</v>
      </c>
      <c r="B1" s="119" t="s">
        <v>106</v>
      </c>
      <c r="C1" s="120" t="s">
        <v>144</v>
      </c>
      <c r="D1" s="119" t="s">
        <v>100</v>
      </c>
      <c r="E1" s="120" t="s">
        <v>145</v>
      </c>
      <c r="F1" s="120" t="s">
        <v>100</v>
      </c>
      <c r="G1" s="120" t="s">
        <v>146</v>
      </c>
      <c r="H1" s="120" t="s">
        <v>100</v>
      </c>
      <c r="I1" s="121" t="s">
        <v>147</v>
      </c>
      <c r="J1" s="98"/>
      <c r="K1" s="98"/>
      <c r="L1" s="98"/>
      <c r="M1" s="98"/>
      <c r="N1" s="98"/>
    </row>
    <row r="2" spans="1:16" x14ac:dyDescent="0.25">
      <c r="A2" s="122" t="s">
        <v>1</v>
      </c>
      <c r="B2" s="123" t="s">
        <v>53</v>
      </c>
      <c r="C2" s="124">
        <v>0.62</v>
      </c>
      <c r="D2" s="124" t="s">
        <v>161</v>
      </c>
      <c r="E2" s="124">
        <v>1.56</v>
      </c>
      <c r="F2" s="124" t="s">
        <v>274</v>
      </c>
      <c r="G2" s="125">
        <v>0.43</v>
      </c>
      <c r="H2" s="126" t="s">
        <v>278</v>
      </c>
      <c r="I2" s="127">
        <v>0.25</v>
      </c>
      <c r="J2" s="98"/>
      <c r="K2" s="98"/>
      <c r="L2" s="98"/>
      <c r="M2" s="98"/>
      <c r="N2" s="98"/>
      <c r="O2" s="315" t="s">
        <v>238</v>
      </c>
      <c r="P2" s="128">
        <v>0</v>
      </c>
    </row>
    <row r="3" spans="1:16" ht="15.75" thickBot="1" x14ac:dyDescent="0.3">
      <c r="A3" s="129" t="s">
        <v>2</v>
      </c>
      <c r="B3" s="130" t="s">
        <v>54</v>
      </c>
      <c r="C3" s="131">
        <v>0.64</v>
      </c>
      <c r="D3" s="131" t="s">
        <v>161</v>
      </c>
      <c r="E3" s="131">
        <v>1.56</v>
      </c>
      <c r="F3" s="132" t="s">
        <v>274</v>
      </c>
      <c r="G3" s="133">
        <v>0.43</v>
      </c>
      <c r="H3" s="131" t="s">
        <v>278</v>
      </c>
      <c r="I3" s="134">
        <v>0.25</v>
      </c>
      <c r="J3" s="98"/>
      <c r="K3" s="98"/>
      <c r="L3" s="98"/>
      <c r="M3" s="98"/>
      <c r="N3" s="98"/>
      <c r="O3" s="316"/>
      <c r="P3" s="135">
        <v>0.2</v>
      </c>
    </row>
    <row r="4" spans="1:16" ht="15.75" thickBot="1" x14ac:dyDescent="0.3">
      <c r="A4" s="129" t="s">
        <v>98</v>
      </c>
      <c r="B4" s="130" t="s">
        <v>99</v>
      </c>
      <c r="C4" s="131">
        <v>0.42</v>
      </c>
      <c r="D4" s="131" t="s">
        <v>161</v>
      </c>
      <c r="E4" s="131">
        <v>1.56</v>
      </c>
      <c r="F4" s="132" t="s">
        <v>274</v>
      </c>
      <c r="G4" s="133">
        <v>0.43</v>
      </c>
      <c r="H4" s="131" t="s">
        <v>278</v>
      </c>
      <c r="I4" s="134">
        <v>0.25</v>
      </c>
      <c r="J4" s="98"/>
      <c r="K4" s="98"/>
      <c r="L4" s="98"/>
      <c r="M4" s="98"/>
      <c r="N4" s="98"/>
    </row>
    <row r="5" spans="1:16" x14ac:dyDescent="0.25">
      <c r="A5" s="129" t="s">
        <v>4</v>
      </c>
      <c r="B5" s="130" t="s">
        <v>55</v>
      </c>
      <c r="C5" s="131">
        <v>0.42</v>
      </c>
      <c r="D5" s="131" t="s">
        <v>161</v>
      </c>
      <c r="E5" s="131">
        <v>1.56</v>
      </c>
      <c r="F5" s="132" t="s">
        <v>274</v>
      </c>
      <c r="G5" s="133">
        <v>0.43</v>
      </c>
      <c r="H5" s="131" t="s">
        <v>278</v>
      </c>
      <c r="I5" s="134">
        <v>0.25</v>
      </c>
      <c r="J5" s="98"/>
      <c r="K5" s="98"/>
      <c r="L5" s="98"/>
      <c r="M5" s="98"/>
      <c r="N5" s="98"/>
      <c r="O5" s="315" t="s">
        <v>237</v>
      </c>
      <c r="P5" s="128">
        <v>0</v>
      </c>
    </row>
    <row r="6" spans="1:16" x14ac:dyDescent="0.25">
      <c r="A6" s="129" t="s">
        <v>3</v>
      </c>
      <c r="B6" s="130" t="s">
        <v>97</v>
      </c>
      <c r="C6" s="131">
        <v>0.42</v>
      </c>
      <c r="D6" s="131" t="s">
        <v>161</v>
      </c>
      <c r="E6" s="131">
        <v>1.56</v>
      </c>
      <c r="F6" s="132" t="s">
        <v>274</v>
      </c>
      <c r="G6" s="133">
        <v>0.43</v>
      </c>
      <c r="H6" s="131" t="s">
        <v>278</v>
      </c>
      <c r="I6" s="134">
        <v>0.25</v>
      </c>
      <c r="J6" s="98"/>
      <c r="K6" s="98"/>
      <c r="L6" s="98"/>
      <c r="M6" s="98"/>
      <c r="N6" s="98"/>
      <c r="O6" s="317"/>
      <c r="P6" s="136">
        <v>0.05</v>
      </c>
    </row>
    <row r="7" spans="1:16" x14ac:dyDescent="0.25">
      <c r="A7" s="129" t="s">
        <v>5</v>
      </c>
      <c r="B7" s="130" t="s">
        <v>56</v>
      </c>
      <c r="C7" s="131">
        <v>0.52</v>
      </c>
      <c r="D7" s="131" t="s">
        <v>161</v>
      </c>
      <c r="E7" s="131">
        <v>1.56</v>
      </c>
      <c r="F7" s="132" t="s">
        <v>274</v>
      </c>
      <c r="G7" s="133">
        <v>0.43</v>
      </c>
      <c r="H7" s="131" t="s">
        <v>278</v>
      </c>
      <c r="I7" s="134">
        <v>0.25</v>
      </c>
      <c r="J7" s="98"/>
      <c r="K7" s="98"/>
      <c r="L7" s="98"/>
      <c r="M7" s="98"/>
      <c r="N7" s="98"/>
      <c r="O7" s="317"/>
      <c r="P7" s="136">
        <v>0.1</v>
      </c>
    </row>
    <row r="8" spans="1:16" ht="15.75" thickBot="1" x14ac:dyDescent="0.3">
      <c r="A8" s="129" t="s">
        <v>164</v>
      </c>
      <c r="B8" s="130" t="s">
        <v>57</v>
      </c>
      <c r="C8" s="131">
        <v>0.36</v>
      </c>
      <c r="D8" s="131" t="s">
        <v>161</v>
      </c>
      <c r="E8" s="131">
        <v>1.3</v>
      </c>
      <c r="F8" s="132" t="s">
        <v>274</v>
      </c>
      <c r="G8" s="133">
        <v>0.55000000000000004</v>
      </c>
      <c r="H8" s="131" t="s">
        <v>153</v>
      </c>
      <c r="I8" s="134">
        <v>0.43</v>
      </c>
      <c r="J8" s="98"/>
      <c r="K8" s="98"/>
      <c r="L8" s="98"/>
      <c r="M8" s="98"/>
      <c r="N8" s="98"/>
      <c r="O8" s="316"/>
      <c r="P8" s="135">
        <v>0.15</v>
      </c>
    </row>
    <row r="9" spans="1:16" ht="15.75" thickBot="1" x14ac:dyDescent="0.3">
      <c r="A9" s="129" t="s">
        <v>6</v>
      </c>
      <c r="B9" s="130" t="s">
        <v>58</v>
      </c>
      <c r="C9" s="131">
        <v>0.61</v>
      </c>
      <c r="D9" s="131" t="s">
        <v>161</v>
      </c>
      <c r="E9" s="131">
        <v>1.56</v>
      </c>
      <c r="F9" s="132" t="s">
        <v>274</v>
      </c>
      <c r="G9" s="133">
        <v>0.43</v>
      </c>
      <c r="H9" s="131" t="s">
        <v>278</v>
      </c>
      <c r="I9" s="134">
        <v>0.25</v>
      </c>
      <c r="J9" s="98"/>
      <c r="K9" s="98"/>
      <c r="L9" s="98"/>
      <c r="M9" s="98"/>
      <c r="N9" s="98"/>
    </row>
    <row r="10" spans="1:16" x14ac:dyDescent="0.25">
      <c r="A10" s="129" t="s">
        <v>7</v>
      </c>
      <c r="B10" s="130" t="s">
        <v>59</v>
      </c>
      <c r="C10" s="131">
        <v>0.66</v>
      </c>
      <c r="D10" s="131" t="s">
        <v>161</v>
      </c>
      <c r="E10" s="131">
        <v>1.56</v>
      </c>
      <c r="F10" s="132" t="s">
        <v>274</v>
      </c>
      <c r="G10" s="133">
        <v>0.43</v>
      </c>
      <c r="H10" s="131" t="s">
        <v>278</v>
      </c>
      <c r="I10" s="134">
        <v>0.25</v>
      </c>
      <c r="J10" s="98"/>
      <c r="K10" s="98"/>
      <c r="L10" s="98"/>
      <c r="M10" s="98"/>
      <c r="N10" s="98"/>
      <c r="O10" s="315" t="s">
        <v>236</v>
      </c>
      <c r="P10" s="128">
        <v>0</v>
      </c>
    </row>
    <row r="11" spans="1:16" ht="15.75" thickBot="1" x14ac:dyDescent="0.3">
      <c r="A11" s="129" t="s">
        <v>8</v>
      </c>
      <c r="B11" s="130" t="s">
        <v>60</v>
      </c>
      <c r="C11" s="131">
        <v>0.47</v>
      </c>
      <c r="D11" s="131" t="s">
        <v>161</v>
      </c>
      <c r="E11" s="131">
        <v>1.56</v>
      </c>
      <c r="F11" s="132" t="s">
        <v>274</v>
      </c>
      <c r="G11" s="133">
        <v>0.43</v>
      </c>
      <c r="H11" s="131" t="s">
        <v>278</v>
      </c>
      <c r="I11" s="134">
        <v>0.25</v>
      </c>
      <c r="J11" s="98"/>
      <c r="K11" s="98"/>
      <c r="L11" s="98"/>
      <c r="M11" s="98"/>
      <c r="N11" s="98"/>
      <c r="O11" s="316"/>
      <c r="P11" s="135">
        <v>0.1</v>
      </c>
    </row>
    <row r="12" spans="1:16" x14ac:dyDescent="0.25">
      <c r="A12" s="129" t="s">
        <v>9</v>
      </c>
      <c r="B12" s="130" t="s">
        <v>61</v>
      </c>
      <c r="C12" s="131">
        <v>0.67</v>
      </c>
      <c r="D12" s="131" t="s">
        <v>161</v>
      </c>
      <c r="E12" s="131">
        <v>1.56</v>
      </c>
      <c r="F12" s="132" t="s">
        <v>274</v>
      </c>
      <c r="G12" s="133">
        <v>0.43</v>
      </c>
      <c r="H12" s="131" t="s">
        <v>152</v>
      </c>
      <c r="I12" s="134">
        <v>0.25</v>
      </c>
      <c r="J12" s="98"/>
      <c r="K12" s="98"/>
      <c r="L12" s="98"/>
      <c r="M12" s="98"/>
      <c r="N12" s="98"/>
    </row>
    <row r="13" spans="1:16" x14ac:dyDescent="0.25">
      <c r="A13" s="129" t="s">
        <v>10</v>
      </c>
      <c r="B13" s="130" t="s">
        <v>62</v>
      </c>
      <c r="C13" s="131">
        <v>0.7</v>
      </c>
      <c r="D13" s="131" t="s">
        <v>161</v>
      </c>
      <c r="E13" s="131">
        <v>1.56</v>
      </c>
      <c r="F13" s="132" t="s">
        <v>274</v>
      </c>
      <c r="G13" s="133">
        <v>0.43</v>
      </c>
      <c r="H13" s="131" t="s">
        <v>152</v>
      </c>
      <c r="I13" s="134">
        <v>0.25</v>
      </c>
      <c r="J13" s="98"/>
      <c r="K13" s="98"/>
      <c r="L13" s="98"/>
      <c r="M13" s="98"/>
      <c r="N13" s="98"/>
    </row>
    <row r="14" spans="1:16" x14ac:dyDescent="0.25">
      <c r="A14" s="129" t="s">
        <v>11</v>
      </c>
      <c r="B14" s="130" t="s">
        <v>63</v>
      </c>
      <c r="C14" s="131">
        <v>0.54</v>
      </c>
      <c r="D14" s="131" t="s">
        <v>161</v>
      </c>
      <c r="E14" s="131">
        <v>1.56</v>
      </c>
      <c r="F14" s="132" t="s">
        <v>274</v>
      </c>
      <c r="G14" s="133">
        <v>0.43</v>
      </c>
      <c r="H14" s="131" t="s">
        <v>152</v>
      </c>
      <c r="I14" s="134">
        <v>0.25</v>
      </c>
      <c r="J14" s="98"/>
      <c r="K14" s="98"/>
      <c r="L14" s="98"/>
      <c r="M14" s="98"/>
      <c r="N14" s="98"/>
    </row>
    <row r="15" spans="1:16" x14ac:dyDescent="0.25">
      <c r="A15" s="129" t="s">
        <v>12</v>
      </c>
      <c r="B15" s="130" t="s">
        <v>64</v>
      </c>
      <c r="C15" s="131">
        <v>0.65</v>
      </c>
      <c r="D15" s="131" t="s">
        <v>161</v>
      </c>
      <c r="E15" s="131">
        <v>1.56</v>
      </c>
      <c r="F15" s="132" t="s">
        <v>274</v>
      </c>
      <c r="G15" s="133">
        <v>0.43</v>
      </c>
      <c r="H15" s="131" t="s">
        <v>152</v>
      </c>
      <c r="I15" s="134">
        <v>0.25</v>
      </c>
      <c r="J15" s="98"/>
      <c r="K15" s="98"/>
      <c r="L15" s="98"/>
      <c r="M15" s="98"/>
      <c r="N15" s="98"/>
    </row>
    <row r="16" spans="1:16" x14ac:dyDescent="0.25">
      <c r="A16" s="129" t="s">
        <v>13</v>
      </c>
      <c r="B16" s="130" t="s">
        <v>65</v>
      </c>
      <c r="C16" s="131">
        <v>0.56000000000000005</v>
      </c>
      <c r="D16" s="131" t="s">
        <v>161</v>
      </c>
      <c r="E16" s="131">
        <v>1.56</v>
      </c>
      <c r="F16" s="132" t="s">
        <v>274</v>
      </c>
      <c r="G16" s="133">
        <v>0.43</v>
      </c>
      <c r="H16" s="131" t="s">
        <v>152</v>
      </c>
      <c r="I16" s="134">
        <v>0.25</v>
      </c>
      <c r="J16" s="98"/>
      <c r="K16" s="98"/>
      <c r="L16" s="98"/>
      <c r="M16" s="98"/>
      <c r="N16" s="98"/>
    </row>
    <row r="17" spans="1:14" x14ac:dyDescent="0.25">
      <c r="A17" s="129" t="s">
        <v>14</v>
      </c>
      <c r="B17" s="130" t="s">
        <v>66</v>
      </c>
      <c r="C17" s="131">
        <v>0.57999999999999996</v>
      </c>
      <c r="D17" s="131" t="s">
        <v>161</v>
      </c>
      <c r="E17" s="131">
        <v>1.56</v>
      </c>
      <c r="F17" s="132" t="s">
        <v>274</v>
      </c>
      <c r="G17" s="133">
        <v>0.43</v>
      </c>
      <c r="H17" s="131" t="s">
        <v>152</v>
      </c>
      <c r="I17" s="134">
        <v>0.25</v>
      </c>
      <c r="J17" s="98"/>
      <c r="K17" s="98"/>
      <c r="L17" s="98"/>
      <c r="M17" s="98"/>
      <c r="N17" s="98"/>
    </row>
    <row r="18" spans="1:14" x14ac:dyDescent="0.25">
      <c r="A18" s="129" t="s">
        <v>15</v>
      </c>
      <c r="B18" s="130" t="s">
        <v>67</v>
      </c>
      <c r="C18" s="131">
        <v>0.64</v>
      </c>
      <c r="D18" s="131" t="s">
        <v>161</v>
      </c>
      <c r="E18" s="131">
        <v>1.56</v>
      </c>
      <c r="F18" s="132" t="s">
        <v>274</v>
      </c>
      <c r="G18" s="133">
        <v>0.43</v>
      </c>
      <c r="H18" s="131" t="s">
        <v>152</v>
      </c>
      <c r="I18" s="134">
        <v>0.25</v>
      </c>
      <c r="J18" s="98"/>
      <c r="K18" s="98"/>
      <c r="L18" s="98"/>
      <c r="M18" s="98"/>
      <c r="N18" s="98"/>
    </row>
    <row r="19" spans="1:14" x14ac:dyDescent="0.25">
      <c r="A19" s="129" t="s">
        <v>16</v>
      </c>
      <c r="B19" s="130" t="s">
        <v>68</v>
      </c>
      <c r="C19" s="131">
        <v>0.73</v>
      </c>
      <c r="D19" s="131" t="s">
        <v>161</v>
      </c>
      <c r="E19" s="131">
        <v>1.56</v>
      </c>
      <c r="F19" s="132" t="s">
        <v>274</v>
      </c>
      <c r="G19" s="133">
        <v>0.43</v>
      </c>
      <c r="H19" s="131" t="s">
        <v>152</v>
      </c>
      <c r="I19" s="134">
        <v>0.25</v>
      </c>
      <c r="J19" s="98"/>
      <c r="K19" s="98"/>
      <c r="L19" s="98"/>
      <c r="M19" s="98"/>
      <c r="N19" s="98"/>
    </row>
    <row r="20" spans="1:14" x14ac:dyDescent="0.25">
      <c r="A20" s="129" t="s">
        <v>52</v>
      </c>
      <c r="B20" s="130" t="s">
        <v>69</v>
      </c>
      <c r="C20" s="131">
        <v>0.69</v>
      </c>
      <c r="D20" s="131" t="s">
        <v>131</v>
      </c>
      <c r="E20" s="131">
        <v>1.56</v>
      </c>
      <c r="F20" s="132" t="s">
        <v>274</v>
      </c>
      <c r="G20" s="133">
        <v>0.43</v>
      </c>
      <c r="H20" s="131" t="s">
        <v>282</v>
      </c>
      <c r="I20" s="134">
        <v>0.25</v>
      </c>
      <c r="J20" s="98"/>
      <c r="K20" s="98"/>
      <c r="L20" s="98"/>
      <c r="M20" s="98"/>
      <c r="N20" s="98"/>
    </row>
    <row r="21" spans="1:14" x14ac:dyDescent="0.25">
      <c r="A21" s="129" t="s">
        <v>154</v>
      </c>
      <c r="B21" s="130" t="s">
        <v>155</v>
      </c>
      <c r="C21" s="131">
        <v>0.36</v>
      </c>
      <c r="D21" s="131" t="s">
        <v>161</v>
      </c>
      <c r="E21" s="131">
        <v>1.3</v>
      </c>
      <c r="F21" s="132" t="s">
        <v>274</v>
      </c>
      <c r="G21" s="133">
        <v>0.55000000000000004</v>
      </c>
      <c r="H21" s="131" t="s">
        <v>153</v>
      </c>
      <c r="I21" s="134">
        <v>0.43</v>
      </c>
      <c r="J21" s="98"/>
      <c r="K21" s="98"/>
      <c r="L21" s="98"/>
      <c r="M21" s="98"/>
      <c r="N21" s="98"/>
    </row>
    <row r="22" spans="1:14" x14ac:dyDescent="0.25">
      <c r="A22" s="129" t="s">
        <v>17</v>
      </c>
      <c r="B22" s="130" t="s">
        <v>70</v>
      </c>
      <c r="C22" s="131">
        <v>0.4</v>
      </c>
      <c r="D22" s="131" t="s">
        <v>161</v>
      </c>
      <c r="E22" s="131">
        <v>1.3</v>
      </c>
      <c r="F22" s="132" t="s">
        <v>274</v>
      </c>
      <c r="G22" s="133">
        <v>0.55000000000000004</v>
      </c>
      <c r="H22" s="131" t="s">
        <v>153</v>
      </c>
      <c r="I22" s="134">
        <v>0.43</v>
      </c>
      <c r="J22" s="98"/>
      <c r="K22" s="98"/>
      <c r="L22" s="98"/>
      <c r="M22" s="98"/>
      <c r="N22" s="98"/>
    </row>
    <row r="23" spans="1:14" x14ac:dyDescent="0.25">
      <c r="A23" s="129" t="s">
        <v>18</v>
      </c>
      <c r="B23" s="130" t="s">
        <v>71</v>
      </c>
      <c r="C23" s="131">
        <v>0.43</v>
      </c>
      <c r="D23" s="131" t="s">
        <v>161</v>
      </c>
      <c r="E23" s="131">
        <v>1.3</v>
      </c>
      <c r="F23" s="132" t="s">
        <v>274</v>
      </c>
      <c r="G23" s="133">
        <v>0.55000000000000004</v>
      </c>
      <c r="H23" s="131" t="s">
        <v>153</v>
      </c>
      <c r="I23" s="134">
        <v>0.43</v>
      </c>
      <c r="J23" s="98"/>
      <c r="K23" s="98"/>
      <c r="L23" s="98"/>
      <c r="M23" s="98"/>
      <c r="N23" s="98"/>
    </row>
    <row r="24" spans="1:14" x14ac:dyDescent="0.25">
      <c r="A24" s="129" t="s">
        <v>19</v>
      </c>
      <c r="B24" s="130" t="s">
        <v>72</v>
      </c>
      <c r="C24" s="131">
        <v>0.37</v>
      </c>
      <c r="D24" s="131" t="s">
        <v>161</v>
      </c>
      <c r="E24" s="131">
        <v>1.3</v>
      </c>
      <c r="F24" s="132" t="s">
        <v>274</v>
      </c>
      <c r="G24" s="133">
        <v>0.55000000000000004</v>
      </c>
      <c r="H24" s="131" t="s">
        <v>152</v>
      </c>
      <c r="I24" s="134">
        <v>0.43</v>
      </c>
      <c r="J24" s="98"/>
      <c r="K24" s="98"/>
      <c r="L24" s="98"/>
      <c r="M24" s="98"/>
      <c r="N24" s="98"/>
    </row>
    <row r="25" spans="1:14" x14ac:dyDescent="0.25">
      <c r="A25" s="129" t="s">
        <v>20</v>
      </c>
      <c r="B25" s="130" t="s">
        <v>73</v>
      </c>
      <c r="C25" s="131">
        <v>0.36</v>
      </c>
      <c r="D25" s="131" t="s">
        <v>161</v>
      </c>
      <c r="E25" s="131">
        <v>1.3</v>
      </c>
      <c r="F25" s="132" t="s">
        <v>274</v>
      </c>
      <c r="G25" s="133">
        <v>0.55000000000000004</v>
      </c>
      <c r="H25" s="131" t="s">
        <v>152</v>
      </c>
      <c r="I25" s="134">
        <v>0.43</v>
      </c>
      <c r="J25" s="98"/>
      <c r="K25" s="98"/>
      <c r="L25" s="98"/>
      <c r="M25" s="98"/>
      <c r="N25" s="98"/>
    </row>
    <row r="26" spans="1:14" x14ac:dyDescent="0.25">
      <c r="A26" s="129" t="s">
        <v>21</v>
      </c>
      <c r="B26" s="130" t="s">
        <v>74</v>
      </c>
      <c r="C26" s="131">
        <v>0.56000000000000005</v>
      </c>
      <c r="D26" s="131" t="s">
        <v>161</v>
      </c>
      <c r="E26" s="131">
        <v>1.56</v>
      </c>
      <c r="F26" s="132" t="s">
        <v>274</v>
      </c>
      <c r="G26" s="133">
        <v>0.53</v>
      </c>
      <c r="H26" s="131" t="s">
        <v>275</v>
      </c>
      <c r="I26" s="134">
        <v>0.25</v>
      </c>
      <c r="J26" s="98"/>
      <c r="K26" s="98"/>
      <c r="L26" s="98"/>
      <c r="M26" s="98"/>
      <c r="N26" s="98"/>
    </row>
    <row r="27" spans="1:14" x14ac:dyDescent="0.25">
      <c r="A27" s="129" t="s">
        <v>22</v>
      </c>
      <c r="B27" s="130" t="s">
        <v>75</v>
      </c>
      <c r="C27" s="131">
        <v>0.51</v>
      </c>
      <c r="D27" s="131" t="s">
        <v>161</v>
      </c>
      <c r="E27" s="131">
        <v>1.56</v>
      </c>
      <c r="F27" s="132" t="s">
        <v>274</v>
      </c>
      <c r="G27" s="133">
        <v>0.53</v>
      </c>
      <c r="H27" s="131" t="s">
        <v>275</v>
      </c>
      <c r="I27" s="134">
        <v>0.25</v>
      </c>
      <c r="J27" s="98"/>
      <c r="K27" s="98"/>
      <c r="L27" s="98"/>
      <c r="M27" s="98"/>
      <c r="N27" s="98"/>
    </row>
    <row r="28" spans="1:14" x14ac:dyDescent="0.25">
      <c r="A28" s="129" t="s">
        <v>23</v>
      </c>
      <c r="B28" s="130" t="s">
        <v>76</v>
      </c>
      <c r="C28" s="131">
        <v>0.51</v>
      </c>
      <c r="D28" s="131" t="s">
        <v>161</v>
      </c>
      <c r="E28" s="131">
        <v>1.56</v>
      </c>
      <c r="F28" s="132" t="s">
        <v>274</v>
      </c>
      <c r="G28" s="133">
        <v>0.53</v>
      </c>
      <c r="H28" s="131" t="s">
        <v>275</v>
      </c>
      <c r="I28" s="134">
        <v>0.25</v>
      </c>
      <c r="J28" s="98"/>
      <c r="K28" s="98"/>
      <c r="L28" s="98"/>
      <c r="M28" s="98"/>
      <c r="N28" s="98"/>
    </row>
    <row r="29" spans="1:14" x14ac:dyDescent="0.25">
      <c r="A29" s="129" t="s">
        <v>24</v>
      </c>
      <c r="B29" s="130" t="s">
        <v>24</v>
      </c>
      <c r="C29" s="131">
        <v>0.56000000000000005</v>
      </c>
      <c r="D29" s="131" t="s">
        <v>161</v>
      </c>
      <c r="E29" s="131">
        <v>1.56</v>
      </c>
      <c r="F29" s="132" t="s">
        <v>274</v>
      </c>
      <c r="G29" s="133">
        <v>0.53</v>
      </c>
      <c r="H29" s="131" t="s">
        <v>275</v>
      </c>
      <c r="I29" s="134">
        <v>0.25</v>
      </c>
      <c r="J29" s="98"/>
      <c r="K29" s="98"/>
      <c r="L29" s="98"/>
      <c r="M29" s="98"/>
      <c r="N29" s="98"/>
    </row>
    <row r="30" spans="1:14" x14ac:dyDescent="0.25">
      <c r="A30" s="129" t="s">
        <v>25</v>
      </c>
      <c r="B30" s="130" t="s">
        <v>77</v>
      </c>
      <c r="C30" s="131">
        <v>0.55000000000000004</v>
      </c>
      <c r="D30" s="131" t="s">
        <v>161</v>
      </c>
      <c r="E30" s="131">
        <v>1.56</v>
      </c>
      <c r="F30" s="132" t="s">
        <v>274</v>
      </c>
      <c r="G30" s="133">
        <v>0.53</v>
      </c>
      <c r="H30" s="131" t="s">
        <v>152</v>
      </c>
      <c r="I30" s="134">
        <v>0.25</v>
      </c>
      <c r="J30" s="98"/>
      <c r="K30" s="98"/>
      <c r="L30" s="98"/>
      <c r="M30" s="98"/>
      <c r="N30" s="98"/>
    </row>
    <row r="31" spans="1:14" x14ac:dyDescent="0.25">
      <c r="A31" s="129" t="s">
        <v>26</v>
      </c>
      <c r="B31" s="130" t="s">
        <v>78</v>
      </c>
      <c r="C31" s="131">
        <v>0.56000000000000005</v>
      </c>
      <c r="D31" s="131" t="s">
        <v>161</v>
      </c>
      <c r="E31" s="131">
        <v>1.56</v>
      </c>
      <c r="F31" s="132" t="s">
        <v>274</v>
      </c>
      <c r="G31" s="133">
        <v>0.43</v>
      </c>
      <c r="H31" s="131" t="s">
        <v>278</v>
      </c>
      <c r="I31" s="134">
        <v>0.25</v>
      </c>
      <c r="J31" s="98"/>
      <c r="K31" s="98"/>
      <c r="L31" s="98"/>
      <c r="M31" s="98"/>
      <c r="N31" s="98"/>
    </row>
    <row r="32" spans="1:14" x14ac:dyDescent="0.25">
      <c r="A32" s="129" t="s">
        <v>27</v>
      </c>
      <c r="B32" s="130" t="s">
        <v>79</v>
      </c>
      <c r="C32" s="131">
        <v>0.48</v>
      </c>
      <c r="D32" s="131" t="s">
        <v>161</v>
      </c>
      <c r="E32" s="131">
        <v>1.3</v>
      </c>
      <c r="F32" s="132" t="s">
        <v>274</v>
      </c>
      <c r="G32" s="133">
        <v>0.6</v>
      </c>
      <c r="H32" s="131" t="s">
        <v>281</v>
      </c>
      <c r="I32" s="134">
        <v>0.43</v>
      </c>
      <c r="J32" s="98"/>
      <c r="K32" s="98"/>
      <c r="L32" s="98"/>
      <c r="M32" s="98"/>
      <c r="N32" s="98"/>
    </row>
    <row r="33" spans="1:14" x14ac:dyDescent="0.25">
      <c r="A33" s="129" t="s">
        <v>28</v>
      </c>
      <c r="B33" s="130" t="s">
        <v>80</v>
      </c>
      <c r="C33" s="131">
        <v>0.42</v>
      </c>
      <c r="D33" s="131" t="s">
        <v>161</v>
      </c>
      <c r="E33" s="131">
        <v>1.3</v>
      </c>
      <c r="F33" s="132" t="s">
        <v>274</v>
      </c>
      <c r="G33" s="133">
        <v>0.6</v>
      </c>
      <c r="H33" s="131" t="s">
        <v>281</v>
      </c>
      <c r="I33" s="134">
        <v>0.43</v>
      </c>
      <c r="J33" s="98"/>
      <c r="K33" s="98"/>
      <c r="L33" s="98"/>
      <c r="M33" s="98"/>
      <c r="N33" s="98"/>
    </row>
    <row r="34" spans="1:14" x14ac:dyDescent="0.25">
      <c r="A34" s="129" t="s">
        <v>81</v>
      </c>
      <c r="B34" s="130" t="s">
        <v>163</v>
      </c>
      <c r="C34" s="131">
        <v>0.42</v>
      </c>
      <c r="D34" s="131" t="s">
        <v>103</v>
      </c>
      <c r="E34" s="131">
        <v>1.3</v>
      </c>
      <c r="F34" s="132" t="s">
        <v>274</v>
      </c>
      <c r="G34" s="133">
        <v>0.6</v>
      </c>
      <c r="H34" s="130" t="s">
        <v>280</v>
      </c>
      <c r="I34" s="134">
        <v>0.43</v>
      </c>
      <c r="J34" s="98"/>
      <c r="K34" s="98"/>
      <c r="L34" s="98"/>
      <c r="M34" s="98"/>
      <c r="N34" s="98"/>
    </row>
    <row r="35" spans="1:14" x14ac:dyDescent="0.25">
      <c r="A35" s="129" t="s">
        <v>29</v>
      </c>
      <c r="B35" s="130" t="s">
        <v>82</v>
      </c>
      <c r="C35" s="131">
        <v>0.5</v>
      </c>
      <c r="D35" s="131" t="s">
        <v>161</v>
      </c>
      <c r="E35" s="131">
        <v>1.56</v>
      </c>
      <c r="F35" s="132" t="s">
        <v>274</v>
      </c>
      <c r="G35" s="133">
        <v>0.43</v>
      </c>
      <c r="H35" s="131" t="s">
        <v>278</v>
      </c>
      <c r="I35" s="134">
        <v>0.25</v>
      </c>
      <c r="J35" s="98"/>
      <c r="K35" s="98"/>
      <c r="L35" s="98"/>
      <c r="M35" s="98"/>
      <c r="N35" s="98"/>
    </row>
    <row r="36" spans="1:14" x14ac:dyDescent="0.25">
      <c r="A36" s="129" t="s">
        <v>102</v>
      </c>
      <c r="B36" s="130" t="s">
        <v>101</v>
      </c>
      <c r="C36" s="131">
        <v>0.55000000000000004</v>
      </c>
      <c r="D36" s="131" t="s">
        <v>161</v>
      </c>
      <c r="E36" s="131">
        <v>1.56</v>
      </c>
      <c r="F36" s="132" t="s">
        <v>274</v>
      </c>
      <c r="G36" s="133">
        <v>0.53</v>
      </c>
      <c r="H36" s="131" t="s">
        <v>275</v>
      </c>
      <c r="I36" s="134">
        <v>0.25</v>
      </c>
      <c r="J36" s="98"/>
      <c r="K36" s="98"/>
      <c r="L36" s="98"/>
      <c r="M36" s="98"/>
      <c r="N36" s="98"/>
    </row>
    <row r="37" spans="1:14" x14ac:dyDescent="0.25">
      <c r="A37" s="129" t="s">
        <v>30</v>
      </c>
      <c r="B37" s="130" t="s">
        <v>104</v>
      </c>
      <c r="C37" s="131">
        <v>0.52</v>
      </c>
      <c r="D37" s="131" t="s">
        <v>161</v>
      </c>
      <c r="E37" s="131">
        <v>1.56</v>
      </c>
      <c r="F37" s="132" t="s">
        <v>274</v>
      </c>
      <c r="G37" s="133">
        <v>0.53</v>
      </c>
      <c r="H37" s="131" t="s">
        <v>275</v>
      </c>
      <c r="I37" s="134">
        <v>0.25</v>
      </c>
      <c r="J37" s="98"/>
      <c r="K37" s="98"/>
      <c r="L37" s="98"/>
      <c r="M37" s="98"/>
      <c r="N37" s="98"/>
    </row>
    <row r="38" spans="1:14" x14ac:dyDescent="0.25">
      <c r="A38" s="129" t="s">
        <v>31</v>
      </c>
      <c r="B38" s="130" t="s">
        <v>105</v>
      </c>
      <c r="C38" s="131">
        <v>0.52</v>
      </c>
      <c r="D38" s="131" t="s">
        <v>161</v>
      </c>
      <c r="E38" s="131">
        <v>1.56</v>
      </c>
      <c r="F38" s="132" t="s">
        <v>274</v>
      </c>
      <c r="G38" s="133">
        <v>0.43</v>
      </c>
      <c r="H38" s="131" t="s">
        <v>278</v>
      </c>
      <c r="I38" s="134">
        <v>0.25</v>
      </c>
      <c r="J38" s="98"/>
      <c r="K38" s="98"/>
      <c r="L38" s="98"/>
      <c r="M38" s="98"/>
      <c r="N38" s="98"/>
    </row>
    <row r="39" spans="1:14" x14ac:dyDescent="0.25">
      <c r="A39" s="129" t="s">
        <v>107</v>
      </c>
      <c r="B39" s="130" t="s">
        <v>132</v>
      </c>
      <c r="C39" s="131">
        <v>0.313</v>
      </c>
      <c r="D39" s="131" t="s">
        <v>130</v>
      </c>
      <c r="E39" s="131">
        <v>1.56</v>
      </c>
      <c r="F39" s="132" t="s">
        <v>274</v>
      </c>
      <c r="G39" s="133">
        <v>0.6</v>
      </c>
      <c r="H39" s="131" t="s">
        <v>283</v>
      </c>
      <c r="I39" s="134">
        <v>1.03</v>
      </c>
      <c r="J39" s="98"/>
      <c r="K39" s="98"/>
      <c r="L39" s="98"/>
      <c r="M39" s="98"/>
      <c r="N39" s="98"/>
    </row>
    <row r="40" spans="1:14" x14ac:dyDescent="0.25">
      <c r="A40" s="129" t="s">
        <v>108</v>
      </c>
      <c r="B40" s="130" t="s">
        <v>132</v>
      </c>
      <c r="C40" s="131">
        <v>0.35199999999999998</v>
      </c>
      <c r="D40" s="131" t="s">
        <v>130</v>
      </c>
      <c r="E40" s="131">
        <v>1.56</v>
      </c>
      <c r="F40" s="132" t="s">
        <v>274</v>
      </c>
      <c r="G40" s="133">
        <v>0.6</v>
      </c>
      <c r="H40" s="131" t="s">
        <v>283</v>
      </c>
      <c r="I40" s="134">
        <v>1.03</v>
      </c>
      <c r="J40" s="98"/>
      <c r="K40" s="98"/>
      <c r="L40" s="98"/>
      <c r="M40" s="98"/>
      <c r="N40" s="98"/>
    </row>
    <row r="41" spans="1:14" x14ac:dyDescent="0.25">
      <c r="A41" s="129" t="s">
        <v>121</v>
      </c>
      <c r="B41" s="130" t="s">
        <v>132</v>
      </c>
      <c r="C41" s="131">
        <v>0.32200000000000001</v>
      </c>
      <c r="D41" s="131" t="s">
        <v>130</v>
      </c>
      <c r="E41" s="131">
        <v>1.56</v>
      </c>
      <c r="F41" s="132" t="s">
        <v>274</v>
      </c>
      <c r="G41" s="133">
        <v>0.6</v>
      </c>
      <c r="H41" s="131" t="s">
        <v>283</v>
      </c>
      <c r="I41" s="134">
        <v>1.03</v>
      </c>
      <c r="J41" s="98"/>
      <c r="K41" s="98"/>
      <c r="L41" s="98"/>
      <c r="M41" s="98"/>
      <c r="N41" s="98"/>
    </row>
    <row r="42" spans="1:14" x14ac:dyDescent="0.25">
      <c r="A42" s="129" t="s">
        <v>122</v>
      </c>
      <c r="B42" s="130" t="s">
        <v>132</v>
      </c>
      <c r="C42" s="131">
        <v>0.311</v>
      </c>
      <c r="D42" s="131" t="s">
        <v>130</v>
      </c>
      <c r="E42" s="131">
        <v>1.56</v>
      </c>
      <c r="F42" s="132" t="s">
        <v>274</v>
      </c>
      <c r="G42" s="133">
        <v>0.6</v>
      </c>
      <c r="H42" s="131" t="s">
        <v>283</v>
      </c>
      <c r="I42" s="134">
        <v>1.03</v>
      </c>
      <c r="J42" s="98"/>
      <c r="K42" s="98"/>
      <c r="L42" s="98"/>
      <c r="M42" s="98"/>
      <c r="N42" s="98"/>
    </row>
    <row r="43" spans="1:14" x14ac:dyDescent="0.25">
      <c r="A43" s="129" t="s">
        <v>109</v>
      </c>
      <c r="B43" s="130" t="s">
        <v>132</v>
      </c>
      <c r="C43" s="131">
        <v>0.33900000000000002</v>
      </c>
      <c r="D43" s="131" t="s">
        <v>130</v>
      </c>
      <c r="E43" s="131">
        <v>1.56</v>
      </c>
      <c r="F43" s="132" t="s">
        <v>274</v>
      </c>
      <c r="G43" s="133">
        <v>0.6</v>
      </c>
      <c r="H43" s="131" t="s">
        <v>283</v>
      </c>
      <c r="I43" s="134">
        <v>1.03</v>
      </c>
      <c r="J43" s="98"/>
      <c r="K43" s="98"/>
      <c r="L43" s="98"/>
      <c r="M43" s="98"/>
      <c r="N43" s="98"/>
    </row>
    <row r="44" spans="1:14" x14ac:dyDescent="0.25">
      <c r="A44" s="129" t="s">
        <v>123</v>
      </c>
      <c r="B44" s="130" t="s">
        <v>132</v>
      </c>
      <c r="C44" s="131">
        <v>0.33600000000000002</v>
      </c>
      <c r="D44" s="131" t="s">
        <v>130</v>
      </c>
      <c r="E44" s="131">
        <v>1.56</v>
      </c>
      <c r="F44" s="132" t="s">
        <v>274</v>
      </c>
      <c r="G44" s="133">
        <v>0.6</v>
      </c>
      <c r="H44" s="131" t="s">
        <v>283</v>
      </c>
      <c r="I44" s="134">
        <v>1.03</v>
      </c>
      <c r="J44" s="98"/>
      <c r="K44" s="98"/>
      <c r="L44" s="98"/>
      <c r="M44" s="98"/>
      <c r="N44" s="98"/>
    </row>
    <row r="45" spans="1:14" x14ac:dyDescent="0.25">
      <c r="A45" s="129" t="s">
        <v>110</v>
      </c>
      <c r="B45" s="130" t="s">
        <v>132</v>
      </c>
      <c r="C45" s="131">
        <v>0.32900000000000001</v>
      </c>
      <c r="D45" s="131" t="s">
        <v>130</v>
      </c>
      <c r="E45" s="131">
        <v>1.56</v>
      </c>
      <c r="F45" s="132" t="s">
        <v>274</v>
      </c>
      <c r="G45" s="133">
        <v>0.6</v>
      </c>
      <c r="H45" s="131" t="s">
        <v>283</v>
      </c>
      <c r="I45" s="134">
        <v>1.03</v>
      </c>
      <c r="J45" s="98"/>
      <c r="K45" s="98"/>
      <c r="L45" s="98"/>
      <c r="M45" s="98"/>
      <c r="N45" s="98"/>
    </row>
    <row r="46" spans="1:14" x14ac:dyDescent="0.25">
      <c r="A46" s="129" t="s">
        <v>124</v>
      </c>
      <c r="B46" s="130" t="s">
        <v>132</v>
      </c>
      <c r="C46" s="131">
        <v>0.34300000000000003</v>
      </c>
      <c r="D46" s="131" t="s">
        <v>130</v>
      </c>
      <c r="E46" s="131">
        <v>1.56</v>
      </c>
      <c r="F46" s="132" t="s">
        <v>274</v>
      </c>
      <c r="G46" s="133">
        <v>0.6</v>
      </c>
      <c r="H46" s="131" t="s">
        <v>283</v>
      </c>
      <c r="I46" s="134">
        <v>1.03</v>
      </c>
      <c r="J46" s="98"/>
      <c r="K46" s="98"/>
      <c r="L46" s="98"/>
      <c r="M46" s="98"/>
      <c r="N46" s="98"/>
    </row>
    <row r="47" spans="1:14" x14ac:dyDescent="0.25">
      <c r="A47" s="129" t="s">
        <v>125</v>
      </c>
      <c r="B47" s="130" t="s">
        <v>132</v>
      </c>
      <c r="C47" s="131">
        <v>0.32500000000000001</v>
      </c>
      <c r="D47" s="131" t="s">
        <v>130</v>
      </c>
      <c r="E47" s="131">
        <v>1.56</v>
      </c>
      <c r="F47" s="132" t="s">
        <v>274</v>
      </c>
      <c r="G47" s="133">
        <v>0.6</v>
      </c>
      <c r="H47" s="131" t="s">
        <v>283</v>
      </c>
      <c r="I47" s="134">
        <v>1.03</v>
      </c>
      <c r="J47" s="98"/>
      <c r="K47" s="98"/>
      <c r="L47" s="98"/>
      <c r="M47" s="98"/>
      <c r="N47" s="98"/>
    </row>
    <row r="48" spans="1:14" x14ac:dyDescent="0.25">
      <c r="A48" s="129" t="s">
        <v>126</v>
      </c>
      <c r="B48" s="130" t="s">
        <v>132</v>
      </c>
      <c r="C48" s="131">
        <v>0.32</v>
      </c>
      <c r="D48" s="131" t="s">
        <v>130</v>
      </c>
      <c r="E48" s="131">
        <v>1.56</v>
      </c>
      <c r="F48" s="132" t="s">
        <v>274</v>
      </c>
      <c r="G48" s="133">
        <v>0.6</v>
      </c>
      <c r="H48" s="131" t="s">
        <v>283</v>
      </c>
      <c r="I48" s="134">
        <v>1.03</v>
      </c>
      <c r="J48" s="98"/>
      <c r="K48" s="98"/>
      <c r="L48" s="98"/>
      <c r="M48" s="98"/>
      <c r="N48" s="98"/>
    </row>
    <row r="49" spans="1:14" x14ac:dyDescent="0.25">
      <c r="A49" s="129" t="s">
        <v>111</v>
      </c>
      <c r="B49" s="130" t="s">
        <v>132</v>
      </c>
      <c r="C49" s="131">
        <v>0.28199999999999997</v>
      </c>
      <c r="D49" s="131" t="s">
        <v>130</v>
      </c>
      <c r="E49" s="131">
        <v>1.56</v>
      </c>
      <c r="F49" s="132" t="s">
        <v>274</v>
      </c>
      <c r="G49" s="133">
        <v>0.6</v>
      </c>
      <c r="H49" s="131" t="s">
        <v>283</v>
      </c>
      <c r="I49" s="134">
        <v>1.03</v>
      </c>
      <c r="J49" s="98"/>
      <c r="K49" s="98"/>
      <c r="L49" s="98"/>
      <c r="M49" s="98"/>
      <c r="N49" s="98"/>
    </row>
    <row r="50" spans="1:14" x14ac:dyDescent="0.25">
      <c r="A50" s="129" t="s">
        <v>127</v>
      </c>
      <c r="B50" s="130" t="s">
        <v>132</v>
      </c>
      <c r="C50" s="131">
        <v>0.32800000000000001</v>
      </c>
      <c r="D50" s="131" t="s">
        <v>130</v>
      </c>
      <c r="E50" s="131">
        <v>1.56</v>
      </c>
      <c r="F50" s="132" t="s">
        <v>274</v>
      </c>
      <c r="G50" s="133">
        <v>0.6</v>
      </c>
      <c r="H50" s="131" t="s">
        <v>283</v>
      </c>
      <c r="I50" s="134">
        <v>1.03</v>
      </c>
      <c r="J50" s="98"/>
      <c r="K50" s="98"/>
      <c r="L50" s="98"/>
      <c r="M50" s="98"/>
      <c r="N50" s="98"/>
    </row>
    <row r="51" spans="1:14" x14ac:dyDescent="0.25">
      <c r="A51" s="129" t="s">
        <v>112</v>
      </c>
      <c r="B51" s="130" t="s">
        <v>132</v>
      </c>
      <c r="C51" s="131">
        <v>0.32600000000000001</v>
      </c>
      <c r="D51" s="131" t="s">
        <v>130</v>
      </c>
      <c r="E51" s="131">
        <v>1.56</v>
      </c>
      <c r="F51" s="132" t="s">
        <v>274</v>
      </c>
      <c r="G51" s="133">
        <v>0.6</v>
      </c>
      <c r="H51" s="131" t="s">
        <v>283</v>
      </c>
      <c r="I51" s="134">
        <v>1.03</v>
      </c>
      <c r="J51" s="98"/>
      <c r="K51" s="98"/>
      <c r="L51" s="98"/>
      <c r="M51" s="98"/>
      <c r="N51" s="98"/>
    </row>
    <row r="52" spans="1:14" x14ac:dyDescent="0.25">
      <c r="A52" s="129" t="s">
        <v>113</v>
      </c>
      <c r="B52" s="130" t="s">
        <v>132</v>
      </c>
      <c r="C52" s="131">
        <v>0.35899999999999999</v>
      </c>
      <c r="D52" s="131" t="s">
        <v>130</v>
      </c>
      <c r="E52" s="131">
        <v>1.56</v>
      </c>
      <c r="F52" s="132" t="s">
        <v>274</v>
      </c>
      <c r="G52" s="133">
        <v>0.6</v>
      </c>
      <c r="H52" s="131" t="s">
        <v>283</v>
      </c>
      <c r="I52" s="134">
        <v>1.03</v>
      </c>
      <c r="J52" s="98"/>
      <c r="K52" s="98"/>
      <c r="L52" s="98"/>
      <c r="M52" s="98"/>
      <c r="N52" s="98"/>
    </row>
    <row r="53" spans="1:14" x14ac:dyDescent="0.25">
      <c r="A53" s="129" t="s">
        <v>114</v>
      </c>
      <c r="B53" s="130" t="s">
        <v>132</v>
      </c>
      <c r="C53" s="131">
        <v>0.34599999999999997</v>
      </c>
      <c r="D53" s="131" t="s">
        <v>130</v>
      </c>
      <c r="E53" s="131">
        <v>1.56</v>
      </c>
      <c r="F53" s="132" t="s">
        <v>274</v>
      </c>
      <c r="G53" s="133">
        <v>0.6</v>
      </c>
      <c r="H53" s="131" t="s">
        <v>283</v>
      </c>
      <c r="I53" s="134">
        <v>1.03</v>
      </c>
      <c r="J53" s="98"/>
      <c r="K53" s="98"/>
      <c r="L53" s="98"/>
      <c r="M53" s="98"/>
      <c r="N53" s="98"/>
    </row>
    <row r="54" spans="1:14" x14ac:dyDescent="0.25">
      <c r="A54" s="129" t="s">
        <v>115</v>
      </c>
      <c r="B54" s="130" t="s">
        <v>132</v>
      </c>
      <c r="C54" s="131">
        <v>0.32600000000000001</v>
      </c>
      <c r="D54" s="131" t="s">
        <v>130</v>
      </c>
      <c r="E54" s="131">
        <v>1.56</v>
      </c>
      <c r="F54" s="132" t="s">
        <v>274</v>
      </c>
      <c r="G54" s="133">
        <v>0.6</v>
      </c>
      <c r="H54" s="131" t="s">
        <v>283</v>
      </c>
      <c r="I54" s="134">
        <v>1.03</v>
      </c>
      <c r="J54" s="98"/>
      <c r="K54" s="98"/>
      <c r="L54" s="98"/>
      <c r="M54" s="98"/>
      <c r="N54" s="98"/>
    </row>
    <row r="55" spans="1:14" x14ac:dyDescent="0.25">
      <c r="A55" s="129" t="s">
        <v>116</v>
      </c>
      <c r="B55" s="130" t="s">
        <v>132</v>
      </c>
      <c r="C55" s="131">
        <v>0.30499999999999999</v>
      </c>
      <c r="D55" s="131" t="s">
        <v>130</v>
      </c>
      <c r="E55" s="131">
        <v>1.56</v>
      </c>
      <c r="F55" s="132" t="s">
        <v>274</v>
      </c>
      <c r="G55" s="133">
        <v>0.6</v>
      </c>
      <c r="H55" s="131" t="s">
        <v>283</v>
      </c>
      <c r="I55" s="134">
        <v>1.03</v>
      </c>
      <c r="J55" s="98"/>
      <c r="K55" s="98"/>
      <c r="L55" s="98"/>
      <c r="M55" s="98"/>
      <c r="N55" s="98"/>
    </row>
    <row r="56" spans="1:14" x14ac:dyDescent="0.25">
      <c r="A56" s="129" t="s">
        <v>128</v>
      </c>
      <c r="B56" s="130" t="s">
        <v>132</v>
      </c>
      <c r="C56" s="131">
        <v>0.32300000000000001</v>
      </c>
      <c r="D56" s="131" t="s">
        <v>130</v>
      </c>
      <c r="E56" s="131">
        <v>1.56</v>
      </c>
      <c r="F56" s="132" t="s">
        <v>274</v>
      </c>
      <c r="G56" s="133">
        <v>0.6</v>
      </c>
      <c r="H56" s="131" t="s">
        <v>283</v>
      </c>
      <c r="I56" s="134">
        <v>1.03</v>
      </c>
      <c r="J56" s="98"/>
      <c r="K56" s="98"/>
      <c r="L56" s="98"/>
      <c r="M56" s="98"/>
      <c r="N56" s="98"/>
    </row>
    <row r="57" spans="1:14" x14ac:dyDescent="0.25">
      <c r="A57" s="129" t="s">
        <v>129</v>
      </c>
      <c r="B57" s="130" t="s">
        <v>132</v>
      </c>
      <c r="C57" s="131">
        <v>0.36699999999999999</v>
      </c>
      <c r="D57" s="131" t="s">
        <v>130</v>
      </c>
      <c r="E57" s="131">
        <v>1.56</v>
      </c>
      <c r="F57" s="132" t="s">
        <v>274</v>
      </c>
      <c r="G57" s="133">
        <v>0.6</v>
      </c>
      <c r="H57" s="131" t="s">
        <v>283</v>
      </c>
      <c r="I57" s="134">
        <v>1.03</v>
      </c>
      <c r="J57" s="98"/>
      <c r="K57" s="98"/>
      <c r="L57" s="98"/>
      <c r="M57" s="98"/>
      <c r="N57" s="98"/>
    </row>
    <row r="58" spans="1:14" x14ac:dyDescent="0.25">
      <c r="A58" s="129" t="s">
        <v>117</v>
      </c>
      <c r="B58" s="130" t="s">
        <v>132</v>
      </c>
      <c r="C58" s="131">
        <v>0.36</v>
      </c>
      <c r="D58" s="131" t="s">
        <v>130</v>
      </c>
      <c r="E58" s="131">
        <v>1.56</v>
      </c>
      <c r="F58" s="132" t="s">
        <v>274</v>
      </c>
      <c r="G58" s="133">
        <v>0.6</v>
      </c>
      <c r="H58" s="131" t="s">
        <v>283</v>
      </c>
      <c r="I58" s="134">
        <v>1.03</v>
      </c>
      <c r="J58" s="98"/>
      <c r="K58" s="98"/>
      <c r="L58" s="98"/>
      <c r="M58" s="98"/>
      <c r="N58" s="98"/>
    </row>
    <row r="59" spans="1:14" x14ac:dyDescent="0.25">
      <c r="A59" s="129" t="s">
        <v>118</v>
      </c>
      <c r="B59" s="130" t="s">
        <v>132</v>
      </c>
      <c r="C59" s="131">
        <v>0.36799999999999999</v>
      </c>
      <c r="D59" s="131" t="s">
        <v>130</v>
      </c>
      <c r="E59" s="131">
        <v>1.56</v>
      </c>
      <c r="F59" s="132" t="s">
        <v>274</v>
      </c>
      <c r="G59" s="133">
        <v>0.6</v>
      </c>
      <c r="H59" s="131" t="s">
        <v>283</v>
      </c>
      <c r="I59" s="134">
        <v>1.03</v>
      </c>
      <c r="J59" s="98"/>
      <c r="K59" s="98"/>
      <c r="L59" s="98"/>
      <c r="M59" s="98"/>
      <c r="N59" s="98"/>
    </row>
    <row r="60" spans="1:14" x14ac:dyDescent="0.25">
      <c r="A60" s="129" t="s">
        <v>119</v>
      </c>
      <c r="B60" s="130" t="s">
        <v>132</v>
      </c>
      <c r="C60" s="131">
        <v>0.30599999999999999</v>
      </c>
      <c r="D60" s="131" t="s">
        <v>130</v>
      </c>
      <c r="E60" s="131">
        <v>1.56</v>
      </c>
      <c r="F60" s="132" t="s">
        <v>274</v>
      </c>
      <c r="G60" s="133">
        <v>0.6</v>
      </c>
      <c r="H60" s="131" t="s">
        <v>283</v>
      </c>
      <c r="I60" s="134">
        <v>1.03</v>
      </c>
      <c r="J60" s="98"/>
      <c r="K60" s="98"/>
      <c r="L60" s="98"/>
      <c r="M60" s="98"/>
      <c r="N60" s="98"/>
    </row>
    <row r="61" spans="1:14" x14ac:dyDescent="0.25">
      <c r="A61" s="129" t="s">
        <v>120</v>
      </c>
      <c r="B61" s="130" t="s">
        <v>132</v>
      </c>
      <c r="C61" s="131">
        <v>0.313</v>
      </c>
      <c r="D61" s="131" t="s">
        <v>130</v>
      </c>
      <c r="E61" s="131">
        <v>1.56</v>
      </c>
      <c r="F61" s="132" t="s">
        <v>274</v>
      </c>
      <c r="G61" s="133">
        <v>0.6</v>
      </c>
      <c r="H61" s="131" t="s">
        <v>283</v>
      </c>
      <c r="I61" s="134">
        <v>1.03</v>
      </c>
      <c r="J61" s="98"/>
      <c r="K61" s="98"/>
      <c r="L61" s="98"/>
      <c r="M61" s="98"/>
      <c r="N61" s="98"/>
    </row>
    <row r="62" spans="1:14" x14ac:dyDescent="0.25">
      <c r="A62" s="129" t="s">
        <v>32</v>
      </c>
      <c r="B62" s="130" t="s">
        <v>133</v>
      </c>
      <c r="C62" s="131">
        <v>0.37</v>
      </c>
      <c r="D62" s="131" t="s">
        <v>161</v>
      </c>
      <c r="E62" s="131">
        <v>1.56</v>
      </c>
      <c r="F62" s="132" t="s">
        <v>274</v>
      </c>
      <c r="G62" s="133">
        <v>0.6</v>
      </c>
      <c r="H62" s="131" t="s">
        <v>283</v>
      </c>
      <c r="I62" s="134">
        <v>1.03</v>
      </c>
      <c r="J62" s="98"/>
      <c r="K62" s="98"/>
      <c r="L62" s="98"/>
      <c r="M62" s="98"/>
      <c r="N62" s="98"/>
    </row>
    <row r="63" spans="1:14" x14ac:dyDescent="0.25">
      <c r="A63" s="129" t="s">
        <v>90</v>
      </c>
      <c r="B63" s="130" t="s">
        <v>83</v>
      </c>
      <c r="C63" s="131">
        <v>0.45</v>
      </c>
      <c r="D63" s="131" t="s">
        <v>161</v>
      </c>
      <c r="E63" s="131">
        <v>1.3</v>
      </c>
      <c r="F63" s="132" t="s">
        <v>274</v>
      </c>
      <c r="G63" s="133">
        <v>0.45</v>
      </c>
      <c r="H63" s="131" t="s">
        <v>276</v>
      </c>
      <c r="I63" s="134">
        <v>0.43</v>
      </c>
      <c r="J63" s="98"/>
      <c r="K63" s="98"/>
      <c r="L63" s="98"/>
      <c r="M63" s="98"/>
      <c r="N63" s="98"/>
    </row>
    <row r="64" spans="1:14" x14ac:dyDescent="0.25">
      <c r="A64" s="129" t="s">
        <v>33</v>
      </c>
      <c r="B64" s="130" t="s">
        <v>134</v>
      </c>
      <c r="C64" s="131">
        <v>0.39</v>
      </c>
      <c r="D64" s="131" t="s">
        <v>161</v>
      </c>
      <c r="E64" s="131">
        <v>1.3</v>
      </c>
      <c r="F64" s="132" t="s">
        <v>274</v>
      </c>
      <c r="G64" s="133">
        <v>0.45</v>
      </c>
      <c r="H64" s="131" t="s">
        <v>276</v>
      </c>
      <c r="I64" s="134">
        <v>0.43</v>
      </c>
      <c r="J64" s="98"/>
      <c r="K64" s="98"/>
      <c r="L64" s="98"/>
      <c r="M64" s="98"/>
      <c r="N64" s="98"/>
    </row>
    <row r="65" spans="1:14" x14ac:dyDescent="0.25">
      <c r="A65" s="129" t="s">
        <v>34</v>
      </c>
      <c r="B65" s="130" t="s">
        <v>135</v>
      </c>
      <c r="C65" s="131">
        <v>0.44</v>
      </c>
      <c r="D65" s="131" t="s">
        <v>161</v>
      </c>
      <c r="E65" s="131">
        <v>1.3</v>
      </c>
      <c r="F65" s="132" t="s">
        <v>274</v>
      </c>
      <c r="G65" s="133">
        <v>0.45</v>
      </c>
      <c r="H65" s="131" t="s">
        <v>276</v>
      </c>
      <c r="I65" s="134">
        <v>0.43</v>
      </c>
      <c r="J65" s="98"/>
      <c r="K65" s="98"/>
      <c r="L65" s="98"/>
      <c r="M65" s="98"/>
      <c r="N65" s="98"/>
    </row>
    <row r="66" spans="1:14" x14ac:dyDescent="0.25">
      <c r="A66" s="129" t="s">
        <v>35</v>
      </c>
      <c r="B66" s="130" t="s">
        <v>84</v>
      </c>
      <c r="C66" s="131">
        <v>0.46</v>
      </c>
      <c r="D66" s="131" t="s">
        <v>161</v>
      </c>
      <c r="E66" s="131">
        <v>1.3</v>
      </c>
      <c r="F66" s="132" t="s">
        <v>274</v>
      </c>
      <c r="G66" s="133">
        <v>0.45</v>
      </c>
      <c r="H66" s="131" t="s">
        <v>276</v>
      </c>
      <c r="I66" s="134">
        <v>0.43</v>
      </c>
      <c r="J66" s="98"/>
      <c r="K66" s="98"/>
      <c r="L66" s="98"/>
      <c r="M66" s="98"/>
      <c r="N66" s="98"/>
    </row>
    <row r="67" spans="1:14" x14ac:dyDescent="0.25">
      <c r="A67" s="129" t="s">
        <v>36</v>
      </c>
      <c r="B67" s="130" t="s">
        <v>85</v>
      </c>
      <c r="C67" s="131">
        <v>0.46</v>
      </c>
      <c r="D67" s="131" t="s">
        <v>161</v>
      </c>
      <c r="E67" s="131">
        <v>1.3</v>
      </c>
      <c r="F67" s="132" t="s">
        <v>274</v>
      </c>
      <c r="G67" s="133">
        <v>0.45</v>
      </c>
      <c r="H67" s="131" t="s">
        <v>152</v>
      </c>
      <c r="I67" s="134">
        <v>0.59</v>
      </c>
      <c r="J67" s="98"/>
      <c r="K67" s="98"/>
      <c r="L67" s="98"/>
      <c r="M67" s="98"/>
      <c r="N67" s="98"/>
    </row>
    <row r="68" spans="1:14" x14ac:dyDescent="0.25">
      <c r="A68" s="129" t="s">
        <v>37</v>
      </c>
      <c r="B68" s="130" t="s">
        <v>136</v>
      </c>
      <c r="C68" s="131">
        <v>0.44</v>
      </c>
      <c r="D68" s="131" t="s">
        <v>161</v>
      </c>
      <c r="E68" s="131">
        <v>1.3</v>
      </c>
      <c r="F68" s="132" t="s">
        <v>274</v>
      </c>
      <c r="G68" s="133">
        <v>0.45</v>
      </c>
      <c r="H68" s="131" t="s">
        <v>276</v>
      </c>
      <c r="I68" s="134">
        <v>0.43</v>
      </c>
      <c r="J68" s="98"/>
      <c r="K68" s="98"/>
      <c r="L68" s="98"/>
      <c r="M68" s="98"/>
      <c r="N68" s="98"/>
    </row>
    <row r="69" spans="1:14" x14ac:dyDescent="0.25">
      <c r="A69" s="129" t="s">
        <v>38</v>
      </c>
      <c r="B69" s="130" t="s">
        <v>86</v>
      </c>
      <c r="C69" s="131">
        <v>0.46</v>
      </c>
      <c r="D69" s="131" t="s">
        <v>161</v>
      </c>
      <c r="E69" s="131">
        <v>1.3</v>
      </c>
      <c r="F69" s="132" t="s">
        <v>274</v>
      </c>
      <c r="G69" s="133">
        <v>0.45</v>
      </c>
      <c r="H69" s="131" t="s">
        <v>276</v>
      </c>
      <c r="I69" s="134">
        <v>0.43</v>
      </c>
      <c r="J69" s="98"/>
      <c r="K69" s="98"/>
      <c r="L69" s="98"/>
      <c r="M69" s="98"/>
      <c r="N69" s="98"/>
    </row>
    <row r="70" spans="1:14" x14ac:dyDescent="0.25">
      <c r="A70" s="129" t="s">
        <v>39</v>
      </c>
      <c r="B70" s="130" t="s">
        <v>137</v>
      </c>
      <c r="C70" s="131">
        <v>0.48</v>
      </c>
      <c r="D70" s="131" t="s">
        <v>161</v>
      </c>
      <c r="E70" s="131">
        <v>2.4</v>
      </c>
      <c r="F70" s="131" t="s">
        <v>284</v>
      </c>
      <c r="G70" s="133">
        <v>0.45</v>
      </c>
      <c r="H70" s="131" t="s">
        <v>276</v>
      </c>
      <c r="I70" s="134">
        <v>0.43</v>
      </c>
      <c r="J70" s="98"/>
      <c r="K70" s="98"/>
      <c r="L70" s="98"/>
      <c r="M70" s="98"/>
      <c r="N70" s="98"/>
    </row>
    <row r="71" spans="1:14" x14ac:dyDescent="0.25">
      <c r="A71" s="129" t="s">
        <v>40</v>
      </c>
      <c r="B71" s="130" t="s">
        <v>87</v>
      </c>
      <c r="C71" s="131">
        <v>0.46</v>
      </c>
      <c r="D71" s="131" t="s">
        <v>150</v>
      </c>
      <c r="E71" s="131">
        <v>1.3</v>
      </c>
      <c r="F71" s="132" t="s">
        <v>274</v>
      </c>
      <c r="G71" s="133">
        <v>0.45</v>
      </c>
      <c r="H71" s="131" t="s">
        <v>276</v>
      </c>
      <c r="I71" s="134">
        <v>0.43</v>
      </c>
      <c r="J71" s="98"/>
      <c r="K71" s="98"/>
      <c r="L71" s="98"/>
      <c r="M71" s="98"/>
      <c r="N71" s="98"/>
    </row>
    <row r="72" spans="1:14" x14ac:dyDescent="0.25">
      <c r="A72" s="129" t="s">
        <v>41</v>
      </c>
      <c r="B72" s="130" t="s">
        <v>88</v>
      </c>
      <c r="C72" s="131">
        <v>0.44</v>
      </c>
      <c r="D72" s="131" t="s">
        <v>161</v>
      </c>
      <c r="E72" s="131">
        <v>1.3</v>
      </c>
      <c r="F72" s="132" t="s">
        <v>274</v>
      </c>
      <c r="G72" s="133">
        <v>0.45</v>
      </c>
      <c r="H72" s="131" t="s">
        <v>276</v>
      </c>
      <c r="I72" s="134">
        <v>0.43</v>
      </c>
      <c r="J72" s="98"/>
      <c r="K72" s="98"/>
      <c r="L72" s="98"/>
      <c r="M72" s="98"/>
      <c r="N72" s="98"/>
    </row>
    <row r="73" spans="1:14" x14ac:dyDescent="0.25">
      <c r="A73" s="129" t="s">
        <v>138</v>
      </c>
      <c r="B73" s="130" t="s">
        <v>140</v>
      </c>
      <c r="C73" s="131">
        <v>0.46</v>
      </c>
      <c r="D73" s="131" t="s">
        <v>151</v>
      </c>
      <c r="E73" s="131">
        <v>1.3</v>
      </c>
      <c r="F73" s="132" t="s">
        <v>274</v>
      </c>
      <c r="G73" s="133">
        <v>0.45</v>
      </c>
      <c r="H73" s="131" t="s">
        <v>276</v>
      </c>
      <c r="I73" s="134">
        <v>0.43</v>
      </c>
      <c r="J73" s="98"/>
      <c r="K73" s="98"/>
      <c r="L73" s="98"/>
      <c r="M73" s="98"/>
      <c r="N73" s="98"/>
    </row>
    <row r="74" spans="1:14" x14ac:dyDescent="0.25">
      <c r="A74" s="129" t="s">
        <v>42</v>
      </c>
      <c r="B74" s="130" t="s">
        <v>139</v>
      </c>
      <c r="C74" s="131">
        <v>0.34</v>
      </c>
      <c r="D74" s="131" t="s">
        <v>161</v>
      </c>
      <c r="E74" s="131">
        <v>1.3</v>
      </c>
      <c r="F74" s="132" t="s">
        <v>274</v>
      </c>
      <c r="G74" s="133">
        <v>0.45</v>
      </c>
      <c r="H74" s="131" t="s">
        <v>276</v>
      </c>
      <c r="I74" s="134">
        <v>0.43</v>
      </c>
      <c r="J74" s="98"/>
      <c r="K74" s="98"/>
      <c r="L74" s="98"/>
      <c r="M74" s="98"/>
      <c r="N74" s="98"/>
    </row>
    <row r="75" spans="1:14" x14ac:dyDescent="0.25">
      <c r="A75" s="129" t="s">
        <v>43</v>
      </c>
      <c r="B75" s="130" t="s">
        <v>162</v>
      </c>
      <c r="C75" s="131">
        <v>0.5</v>
      </c>
      <c r="D75" s="131" t="s">
        <v>161</v>
      </c>
      <c r="E75" s="131">
        <v>1.56</v>
      </c>
      <c r="F75" s="132" t="s">
        <v>274</v>
      </c>
      <c r="G75" s="133">
        <v>0.53</v>
      </c>
      <c r="H75" s="131" t="s">
        <v>275</v>
      </c>
      <c r="I75" s="134">
        <v>0.25</v>
      </c>
      <c r="J75" s="98"/>
      <c r="K75" s="98"/>
      <c r="L75" s="98"/>
      <c r="M75" s="98"/>
      <c r="N75" s="98"/>
    </row>
    <row r="76" spans="1:14" x14ac:dyDescent="0.25">
      <c r="A76" s="129" t="s">
        <v>44</v>
      </c>
      <c r="B76" s="130" t="s">
        <v>89</v>
      </c>
      <c r="C76" s="131">
        <v>0.57999999999999996</v>
      </c>
      <c r="D76" s="131" t="s">
        <v>161</v>
      </c>
      <c r="E76" s="131">
        <v>1.56</v>
      </c>
      <c r="F76" s="132" t="s">
        <v>274</v>
      </c>
      <c r="G76" s="133">
        <v>0.3</v>
      </c>
      <c r="H76" s="131" t="s">
        <v>277</v>
      </c>
      <c r="I76" s="134">
        <v>0.25</v>
      </c>
      <c r="J76" s="98"/>
      <c r="K76" s="98"/>
      <c r="L76" s="98"/>
      <c r="M76" s="98"/>
      <c r="N76" s="98"/>
    </row>
    <row r="77" spans="1:14" x14ac:dyDescent="0.25">
      <c r="A77" s="129" t="s">
        <v>47</v>
      </c>
      <c r="B77" s="130" t="s">
        <v>141</v>
      </c>
      <c r="C77" s="131">
        <v>0.37</v>
      </c>
      <c r="D77" s="131" t="s">
        <v>161</v>
      </c>
      <c r="E77" s="131">
        <v>1.3</v>
      </c>
      <c r="F77" s="132" t="s">
        <v>274</v>
      </c>
      <c r="G77" s="133">
        <v>0.55000000000000004</v>
      </c>
      <c r="H77" s="131" t="s">
        <v>152</v>
      </c>
      <c r="I77" s="134">
        <v>0.43</v>
      </c>
      <c r="J77" s="98"/>
      <c r="K77" s="98"/>
      <c r="L77" s="98"/>
      <c r="M77" s="98"/>
      <c r="N77" s="98"/>
    </row>
    <row r="78" spans="1:14" x14ac:dyDescent="0.25">
      <c r="A78" s="129" t="s">
        <v>45</v>
      </c>
      <c r="B78" s="130" t="s">
        <v>96</v>
      </c>
      <c r="C78" s="131">
        <v>0.37</v>
      </c>
      <c r="D78" s="131" t="s">
        <v>161</v>
      </c>
      <c r="E78" s="131">
        <v>1.3</v>
      </c>
      <c r="F78" s="132" t="s">
        <v>274</v>
      </c>
      <c r="G78" s="133">
        <v>0.55000000000000004</v>
      </c>
      <c r="H78" s="131" t="s">
        <v>152</v>
      </c>
      <c r="I78" s="134">
        <v>0.43</v>
      </c>
      <c r="J78" s="98"/>
      <c r="K78" s="98"/>
      <c r="L78" s="98"/>
      <c r="M78" s="98"/>
      <c r="N78" s="98"/>
    </row>
    <row r="79" spans="1:14" x14ac:dyDescent="0.25">
      <c r="A79" s="129" t="s">
        <v>46</v>
      </c>
      <c r="B79" s="130" t="s">
        <v>95</v>
      </c>
      <c r="C79" s="131">
        <v>0.38</v>
      </c>
      <c r="D79" s="131" t="s">
        <v>161</v>
      </c>
      <c r="E79" s="131">
        <v>1.3</v>
      </c>
      <c r="F79" s="132" t="s">
        <v>274</v>
      </c>
      <c r="G79" s="133">
        <v>0.55000000000000004</v>
      </c>
      <c r="H79" s="131" t="s">
        <v>153</v>
      </c>
      <c r="I79" s="134">
        <v>0.43</v>
      </c>
      <c r="J79" s="98"/>
      <c r="K79" s="98"/>
      <c r="L79" s="98"/>
      <c r="M79" s="98"/>
      <c r="N79" s="98"/>
    </row>
    <row r="80" spans="1:14" x14ac:dyDescent="0.25">
      <c r="A80" s="129" t="s">
        <v>48</v>
      </c>
      <c r="B80" s="130" t="s">
        <v>94</v>
      </c>
      <c r="C80" s="131">
        <v>0.36</v>
      </c>
      <c r="D80" s="131" t="s">
        <v>161</v>
      </c>
      <c r="E80" s="131">
        <v>1.3</v>
      </c>
      <c r="F80" s="132" t="s">
        <v>274</v>
      </c>
      <c r="G80" s="133">
        <v>0.55000000000000004</v>
      </c>
      <c r="H80" s="131" t="s">
        <v>153</v>
      </c>
      <c r="I80" s="134">
        <v>0.43</v>
      </c>
      <c r="J80" s="98"/>
      <c r="K80" s="98"/>
      <c r="L80" s="98"/>
      <c r="M80" s="98"/>
      <c r="N80" s="98"/>
    </row>
    <row r="81" spans="1:14" x14ac:dyDescent="0.25">
      <c r="A81" s="129" t="s">
        <v>49</v>
      </c>
      <c r="B81" s="130" t="s">
        <v>142</v>
      </c>
      <c r="C81" s="131">
        <v>0.37</v>
      </c>
      <c r="D81" s="131" t="s">
        <v>161</v>
      </c>
      <c r="E81" s="131">
        <v>1.56</v>
      </c>
      <c r="F81" s="132" t="s">
        <v>274</v>
      </c>
      <c r="G81" s="133">
        <v>0.43</v>
      </c>
      <c r="H81" s="131" t="s">
        <v>278</v>
      </c>
      <c r="I81" s="134">
        <v>0.25</v>
      </c>
      <c r="J81" s="98"/>
      <c r="K81" s="98"/>
      <c r="L81" s="98"/>
      <c r="M81" s="98"/>
      <c r="N81" s="98"/>
    </row>
    <row r="82" spans="1:14" x14ac:dyDescent="0.25">
      <c r="A82" s="129" t="s">
        <v>158</v>
      </c>
      <c r="B82" s="130" t="s">
        <v>159</v>
      </c>
      <c r="C82" s="131">
        <v>0.35</v>
      </c>
      <c r="D82" s="131" t="s">
        <v>160</v>
      </c>
      <c r="E82" s="131">
        <v>1.3</v>
      </c>
      <c r="F82" s="132" t="s">
        <v>274</v>
      </c>
      <c r="G82" s="133">
        <v>0.55000000000000004</v>
      </c>
      <c r="H82" s="131" t="s">
        <v>153</v>
      </c>
      <c r="I82" s="134">
        <v>0.43</v>
      </c>
      <c r="J82" s="98"/>
      <c r="K82" s="98"/>
      <c r="L82" s="98"/>
      <c r="M82" s="98"/>
      <c r="N82" s="98"/>
    </row>
    <row r="83" spans="1:14" x14ac:dyDescent="0.25">
      <c r="A83" s="129" t="s">
        <v>156</v>
      </c>
      <c r="B83" s="130" t="s">
        <v>157</v>
      </c>
      <c r="C83" s="131">
        <v>0.34</v>
      </c>
      <c r="D83" s="131" t="s">
        <v>161</v>
      </c>
      <c r="E83" s="131">
        <v>1.3</v>
      </c>
      <c r="F83" s="132" t="s">
        <v>274</v>
      </c>
      <c r="G83" s="133">
        <v>0.55000000000000004</v>
      </c>
      <c r="H83" s="131" t="s">
        <v>153</v>
      </c>
      <c r="I83" s="134">
        <v>0.43</v>
      </c>
      <c r="J83" s="98"/>
      <c r="K83" s="98"/>
      <c r="L83" s="98"/>
      <c r="M83" s="98"/>
      <c r="N83" s="98"/>
    </row>
    <row r="84" spans="1:14" x14ac:dyDescent="0.25">
      <c r="A84" s="129" t="s">
        <v>92</v>
      </c>
      <c r="B84" s="130" t="s">
        <v>93</v>
      </c>
      <c r="C84" s="131">
        <v>0.31</v>
      </c>
      <c r="D84" s="131" t="s">
        <v>161</v>
      </c>
      <c r="E84" s="131">
        <v>1.3</v>
      </c>
      <c r="F84" s="132" t="s">
        <v>274</v>
      </c>
      <c r="G84" s="133">
        <v>0.55000000000000004</v>
      </c>
      <c r="H84" s="131" t="s">
        <v>153</v>
      </c>
      <c r="I84" s="134">
        <v>0.43</v>
      </c>
      <c r="J84" s="98"/>
      <c r="K84" s="98"/>
      <c r="L84" s="98"/>
      <c r="M84" s="98"/>
      <c r="N84" s="98"/>
    </row>
    <row r="85" spans="1:14" x14ac:dyDescent="0.25">
      <c r="A85" s="129" t="s">
        <v>50</v>
      </c>
      <c r="B85" s="130" t="s">
        <v>143</v>
      </c>
      <c r="C85" s="131">
        <v>0.43</v>
      </c>
      <c r="D85" s="131" t="s">
        <v>161</v>
      </c>
      <c r="E85" s="131">
        <v>1.56</v>
      </c>
      <c r="F85" s="132" t="s">
        <v>274</v>
      </c>
      <c r="G85" s="133">
        <v>0.53</v>
      </c>
      <c r="H85" s="131" t="s">
        <v>275</v>
      </c>
      <c r="I85" s="134">
        <v>0.25</v>
      </c>
      <c r="J85" s="98"/>
      <c r="K85" s="98"/>
      <c r="L85" s="98"/>
      <c r="M85" s="98"/>
      <c r="N85" s="98"/>
    </row>
    <row r="86" spans="1:14" x14ac:dyDescent="0.25">
      <c r="A86" s="129" t="s">
        <v>51</v>
      </c>
      <c r="B86" s="130" t="s">
        <v>91</v>
      </c>
      <c r="C86" s="131">
        <v>0.38</v>
      </c>
      <c r="D86" s="131" t="s">
        <v>161</v>
      </c>
      <c r="E86" s="131">
        <v>1.56</v>
      </c>
      <c r="F86" s="132" t="s">
        <v>274</v>
      </c>
      <c r="G86" s="133">
        <v>0.6</v>
      </c>
      <c r="H86" s="131" t="s">
        <v>279</v>
      </c>
      <c r="I86" s="134">
        <v>0.25</v>
      </c>
      <c r="J86" s="98"/>
      <c r="K86" s="98"/>
      <c r="L86" s="98"/>
      <c r="M86" s="98"/>
      <c r="N86" s="98"/>
    </row>
    <row r="87" spans="1:14" x14ac:dyDescent="0.25">
      <c r="A87" s="284" t="s">
        <v>321</v>
      </c>
      <c r="B87" s="285" t="s">
        <v>322</v>
      </c>
      <c r="C87" s="286">
        <v>0.41</v>
      </c>
      <c r="D87" s="286" t="s">
        <v>323</v>
      </c>
      <c r="E87" s="286">
        <v>1.56</v>
      </c>
      <c r="F87" s="287" t="s">
        <v>274</v>
      </c>
      <c r="G87" s="288">
        <v>0.43</v>
      </c>
      <c r="H87" s="286" t="s">
        <v>278</v>
      </c>
      <c r="I87" s="289">
        <v>0.25</v>
      </c>
      <c r="J87" s="98"/>
      <c r="K87" s="98"/>
      <c r="L87" s="98"/>
      <c r="M87" s="98"/>
      <c r="N87" s="98"/>
    </row>
    <row r="88" spans="1:14" x14ac:dyDescent="0.25">
      <c r="A88" s="129" t="s">
        <v>148</v>
      </c>
      <c r="B88" s="137"/>
      <c r="C88" s="131">
        <v>0.42</v>
      </c>
      <c r="D88" s="131" t="s">
        <v>161</v>
      </c>
      <c r="E88" s="131">
        <v>1.3</v>
      </c>
      <c r="F88" s="132" t="s">
        <v>274</v>
      </c>
      <c r="G88" s="138"/>
      <c r="H88" s="137"/>
      <c r="I88" s="139"/>
    </row>
    <row r="89" spans="1:14" ht="15.75" thickBot="1" x14ac:dyDescent="0.3">
      <c r="A89" s="140" t="s">
        <v>149</v>
      </c>
      <c r="B89" s="141"/>
      <c r="C89" s="142">
        <v>0.56999999999999995</v>
      </c>
      <c r="D89" s="143" t="s">
        <v>161</v>
      </c>
      <c r="E89" s="142">
        <v>1.56</v>
      </c>
      <c r="F89" s="142" t="s">
        <v>274</v>
      </c>
      <c r="G89" s="141"/>
      <c r="H89" s="141"/>
      <c r="I89" s="144"/>
    </row>
    <row r="93" spans="1:14" x14ac:dyDescent="0.25">
      <c r="A93" s="129" t="s">
        <v>208</v>
      </c>
    </row>
    <row r="94" spans="1:14" x14ac:dyDescent="0.25">
      <c r="A94" s="129" t="s">
        <v>209</v>
      </c>
    </row>
    <row r="95" spans="1:14" x14ac:dyDescent="0.25">
      <c r="A95" s="129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workbookViewId="0">
      <selection activeCell="A27" sqref="A27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0"/>
      <c r="J1" s="70"/>
      <c r="K1" s="70"/>
      <c r="L1" s="70"/>
      <c r="M1" s="70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6" t="s">
        <v>271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8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29"/>
      <c r="J3" s="229"/>
      <c r="K3" s="229"/>
      <c r="L3" s="229"/>
      <c r="M3" s="229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29"/>
      <c r="J4" s="229"/>
      <c r="K4" s="229"/>
      <c r="L4" s="229"/>
      <c r="M4" s="229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5" t="s">
        <v>207</v>
      </c>
      <c r="B5" s="146" t="s">
        <v>250</v>
      </c>
      <c r="C5" s="147" t="str">
        <f>Calculateur!S2</f>
        <v>ΔStock moyen de long terme (tCO₂/ha)</v>
      </c>
      <c r="D5" s="147" t="str">
        <f>Calculateur!T2</f>
        <v>Δstock CO₂ 30 ans (tCO₂/ha)</v>
      </c>
      <c r="E5" s="147" t="s">
        <v>228</v>
      </c>
      <c r="F5" s="147" t="s">
        <v>239</v>
      </c>
      <c r="G5" s="147" t="s">
        <v>240</v>
      </c>
      <c r="H5" s="148" t="s">
        <v>241</v>
      </c>
      <c r="I5" s="149" t="s">
        <v>242</v>
      </c>
      <c r="J5" s="150" t="s">
        <v>243</v>
      </c>
      <c r="K5" s="151" t="s">
        <v>244</v>
      </c>
      <c r="L5" s="89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2" t="str">
        <f>IF('Données projet'!$B$9="","",'Données projet'!$B$9)</f>
        <v>Pin d'Alep</v>
      </c>
      <c r="B6" s="153">
        <f>'Données projet'!D9</f>
        <v>0.6</v>
      </c>
      <c r="C6" s="154">
        <f ca="1">IF(OR('Données projet'!B9="",'Données projet'!C9="",'Données projet'!C9=0%),0,Calculateur!S3)</f>
        <v>196.48726929442091</v>
      </c>
      <c r="D6" s="154">
        <f>IF(OR('Données projet'!B9="",'Données projet'!C9="",'Données projet'!C9=0%),0,Calculateur!T3)</f>
        <v>193.28400454669347</v>
      </c>
      <c r="E6" s="154">
        <f ca="1">MIN(C6,D6)</f>
        <v>193.28400454669347</v>
      </c>
      <c r="F6" s="154">
        <f ca="1">E6*B6</f>
        <v>115.97040272801607</v>
      </c>
      <c r="G6" s="154">
        <f ca="1">F6*(100%-'Données projet'!$C$24)*(100%-'Données projet'!$C$25)*(100%-'Données projet'!$C$26)*(100%-'Données projet'!$C$27)</f>
        <v>104.37336245521446</v>
      </c>
      <c r="H6" s="155">
        <f>IF(OR('Données projet'!B9="",'Données projet'!C9="",'Données projet'!C9=0%),0,AVERAGE(Calculateur!$AC$3:$AC$33)*B6)</f>
        <v>0.30767499594719189</v>
      </c>
      <c r="I6" s="156">
        <f>H6*(100%-'Données projet'!$C$24)*(100%-'Données projet'!$C$25)*(100%-'Données projet'!$C$26)*(100%-'Données projet'!$C$27)</f>
        <v>0.27690749635247269</v>
      </c>
      <c r="J6" s="157">
        <f>IF(OR('Données projet'!B9="",'Données projet'!C9="",'Données projet'!C9=0%),0,SUM(Calculateur!$V$3:$V$33)*VLOOKUP('Données projet'!$B$9,Paramètres!$A$1:$I$89,9,0)*B6)</f>
        <v>12.384</v>
      </c>
      <c r="K6" s="158">
        <f>J6*(100%-'Données projet'!$C$24)*(100%-'Données projet'!$C$25)*(100%-'Données projet'!$C$26)*(100%-'Données projet'!$C$27)</f>
        <v>11.1456</v>
      </c>
      <c r="L6" s="159">
        <f ca="1">G6+I6+K6</f>
        <v>115.79586995156694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0" t="str">
        <f>IF('Données projet'!$B$10="","",'Données projet'!$B$10)</f>
        <v>Chêne pubescent</v>
      </c>
      <c r="B7" s="161">
        <f>'Données projet'!D10</f>
        <v>0.6</v>
      </c>
      <c r="C7" s="154">
        <f ca="1">IF(OR('Données projet'!B10="",'Données projet'!C10="",'Données projet'!C10=0%),0,Calculateur!AN3)</f>
        <v>414.29294334114661</v>
      </c>
      <c r="D7" s="154">
        <f>IF(OR('Données projet'!B10="",'Données projet'!C10="",'Données projet'!C10=0%),0,Calculateur!AO3)</f>
        <v>178.72086185623849</v>
      </c>
      <c r="E7" s="154">
        <f t="shared" ref="E7:E15" ca="1" si="0">MIN(C7,D7)</f>
        <v>178.72086185623849</v>
      </c>
      <c r="F7" s="154">
        <f t="shared" ref="F7:F15" ca="1" si="1">E7*B7</f>
        <v>107.23251711374309</v>
      </c>
      <c r="G7" s="154">
        <f ca="1">F7*(100%-'Données projet'!$C$24)*(100%-'Données projet'!$C$25)*(100%-'Données projet'!$C$26)*(100%-'Données projet'!$C$27)</f>
        <v>96.509265402368783</v>
      </c>
      <c r="H7" s="162">
        <f>IF(OR('Données projet'!B10="",'Données projet'!C10="",'Données projet'!C10=0%),0,AVERAGE(Calculateur!$AX$3:$AX$33)*B7)</f>
        <v>0</v>
      </c>
      <c r="I7" s="156">
        <f>H7*(100%-'Données projet'!$C$24)*(100%-'Données projet'!$C$25)*(100%-'Données projet'!$C$26)*(100%-'Données projet'!$C$27)</f>
        <v>0</v>
      </c>
      <c r="J7" s="157">
        <f>IF(OR('Données projet'!B10="",'Données projet'!C10="",'Données projet'!C10=0%),0,SUM(Calculateur!$AQ$3:$AQ$33)*VLOOKUP('Données projet'!$B$10,Paramètres!$A$1:$I$89,9,0)*B7)</f>
        <v>0</v>
      </c>
      <c r="K7" s="158">
        <f>J7*(100%-'Données projet'!$C$24)*(100%-'Données projet'!$C$25)*(100%-'Données projet'!$C$26)*(100%-'Données projet'!$C$27)</f>
        <v>0</v>
      </c>
      <c r="L7" s="159">
        <f t="shared" ref="L7:L15" ca="1" si="2">G7+I7+K7</f>
        <v>96.509265402368783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0" t="str">
        <f>IF('Données projet'!$B$11="","",'Données projet'!$B$11)</f>
        <v>Cormier</v>
      </c>
      <c r="B8" s="161">
        <f>'Données projet'!D11</f>
        <v>0.3</v>
      </c>
      <c r="C8" s="154">
        <f ca="1">IF(OR('Données projet'!B11="",'Données projet'!C11="",'Données projet'!C11=0%),0,Calculateur!BI3)</f>
        <v>434.74983403680108</v>
      </c>
      <c r="D8" s="154">
        <f>IF(OR('Données projet'!B11="",'Données projet'!C11="",'Données projet'!C11=0%),0,Calculateur!BJ3)</f>
        <v>186.0840067781198</v>
      </c>
      <c r="E8" s="154">
        <f t="shared" ca="1" si="0"/>
        <v>186.0840067781198</v>
      </c>
      <c r="F8" s="154">
        <f t="shared" ca="1" si="1"/>
        <v>55.825202033435936</v>
      </c>
      <c r="G8" s="154">
        <f ca="1">F8*(100%-'Données projet'!$C$24)*(100%-'Données projet'!$C$25)*(100%-'Données projet'!$C$26)*(100%-'Données projet'!$C$27)</f>
        <v>50.242681830092344</v>
      </c>
      <c r="H8" s="162">
        <f>IF(OR('Données projet'!B11="",'Données projet'!C11="",'Données projet'!C11=0%),0,AVERAGE(Calculateur!$BS$3:$BS$33)*B8)</f>
        <v>0</v>
      </c>
      <c r="I8" s="156">
        <f>H8*(100%-'Données projet'!$C$24)*(100%-'Données projet'!$C$25)*(100%-'Données projet'!$C$26)*(100%-'Données projet'!$C$27)</f>
        <v>0</v>
      </c>
      <c r="J8" s="157">
        <f>IF(OR('Données projet'!B11="",'Données projet'!C11="",'Données projet'!C11=0%),0,SUM(Calculateur!$BL$3:$BL$33)*VLOOKUP('Données projet'!$B$11,Paramètres!$A$1:$I$89,9,0)*B8)</f>
        <v>0</v>
      </c>
      <c r="K8" s="158">
        <f>J8*(100%-'Données projet'!$C$24)*(100%-'Données projet'!$C$25)*(100%-'Données projet'!$C$26)*(100%-'Données projet'!$C$27)</f>
        <v>0</v>
      </c>
      <c r="L8" s="159">
        <f t="shared" ca="1" si="2"/>
        <v>50.242681830092344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0" t="str">
        <f>IF('Données projet'!$B$12="","",'Données projet'!$B$12)</f>
        <v>Micocoulier de Provence</v>
      </c>
      <c r="B9" s="161">
        <f>'Données projet'!D12</f>
        <v>0.2</v>
      </c>
      <c r="C9" s="154">
        <f ca="1">IF(OR('Données projet'!B12="",'Données projet'!C12="",'Données projet'!C12=0%),0,Calculateur!CD3)</f>
        <v>288.24759203983547</v>
      </c>
      <c r="D9" s="154">
        <f>IF(OR('Données projet'!B12="",'Données projet'!C12="",'Données projet'!C12=0%),0,Calculateur!CE3)</f>
        <v>188.86613033148794</v>
      </c>
      <c r="E9" s="154">
        <f t="shared" ca="1" si="0"/>
        <v>188.86613033148794</v>
      </c>
      <c r="F9" s="154">
        <f t="shared" ca="1" si="1"/>
        <v>37.773226066297589</v>
      </c>
      <c r="G9" s="154">
        <f ca="1">F9*(100%-'Données projet'!$C$24)*(100%-'Données projet'!$C$25)*(100%-'Données projet'!$C$26)*(100%-'Données projet'!$C$27)</f>
        <v>33.995903459667829</v>
      </c>
      <c r="H9" s="162">
        <f>IF(OR('Données projet'!B12="",'Données projet'!C12="",'Données projet'!C12=0%),0,AVERAGE(Calculateur!$CN$3:$CN$33)*B9)</f>
        <v>0</v>
      </c>
      <c r="I9" s="156">
        <f>H9*(100%-'Données projet'!$C$24)*(100%-'Données projet'!$C$25)*(100%-'Données projet'!$C$26)*(100%-'Données projet'!$C$27)</f>
        <v>0</v>
      </c>
      <c r="J9" s="157">
        <f>IF(OR('Données projet'!B12="",'Données projet'!C12="",'Données projet'!C12=0%),0,SUM(Calculateur!$CG$3:$CG$33)*VLOOKUP('Données projet'!$B$12,Paramètres!$A$1:$I$89,9,0)*B9)</f>
        <v>0.80128205128205132</v>
      </c>
      <c r="K9" s="158">
        <f>J9*(100%-'Données projet'!$C$24)*(100%-'Données projet'!$C$25)*(100%-'Données projet'!$C$26)*(100%-'Données projet'!$C$27)</f>
        <v>0.72115384615384626</v>
      </c>
      <c r="L9" s="159">
        <f t="shared" ca="1" si="2"/>
        <v>34.717057305821676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0" t="str">
        <f>IF('Données projet'!$B$13="","",'Données projet'!$B$13)</f>
        <v>Tilleul</v>
      </c>
      <c r="B10" s="161">
        <f>'Données projet'!D13</f>
        <v>0.1</v>
      </c>
      <c r="C10" s="154">
        <f ca="1">IF(OR('Données projet'!B13="",'Données projet'!C13="",'Données projet'!C13=0%),0,Calculateur!CY3)</f>
        <v>240.40157928925146</v>
      </c>
      <c r="D10" s="154">
        <f>IF(OR('Données projet'!B13="",'Données projet'!C13="",'Données projet'!C13=0%),0,Calculateur!CZ3)</f>
        <v>160.5013084380258</v>
      </c>
      <c r="E10" s="154">
        <f t="shared" ca="1" si="0"/>
        <v>160.5013084380258</v>
      </c>
      <c r="F10" s="154">
        <f t="shared" ca="1" si="1"/>
        <v>16.050130843802581</v>
      </c>
      <c r="G10" s="154">
        <f ca="1">F10*(100%-'Données projet'!$C$24)*(100%-'Données projet'!$C$25)*(100%-'Données projet'!$C$26)*(100%-'Données projet'!$C$27)</f>
        <v>14.445117759422324</v>
      </c>
      <c r="H10" s="162">
        <f>IF(OR('Données projet'!B13="",'Données projet'!C13="",'Données projet'!C13=0%),0,AVERAGE(Calculateur!$DI$3:$DI$33)*B10)</f>
        <v>0</v>
      </c>
      <c r="I10" s="156">
        <f>H10*(100%-'Données projet'!$C$24)*(100%-'Données projet'!$C$25)*(100%-'Données projet'!$C$26)*(100%-'Données projet'!$C$27)</f>
        <v>0</v>
      </c>
      <c r="J10" s="157">
        <f>IF(OR('Données projet'!B13="",'Données projet'!C13="",'Données projet'!C13=0%),0,SUM(Calculateur!$DB$3:$DB$33)*VLOOKUP('Données projet'!$B$13,Paramètres!$A$1:$I$89,9,0)*B10)</f>
        <v>0.40064102564102566</v>
      </c>
      <c r="K10" s="158">
        <f>J10*(100%-'Données projet'!$C$24)*(100%-'Données projet'!$C$25)*(100%-'Données projet'!$C$26)*(100%-'Données projet'!$C$27)</f>
        <v>0.36057692307692313</v>
      </c>
      <c r="L10" s="159">
        <f t="shared" ca="1" si="2"/>
        <v>14.805694682499247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0" t="str">
        <f>IF('Données projet'!$B$14="","",'Données projet'!$B$14)</f>
        <v>Alisier torminal</v>
      </c>
      <c r="B11" s="161">
        <f>'Données projet'!D14</f>
        <v>0.1</v>
      </c>
      <c r="C11" s="154">
        <f ca="1">IF(OR('Données projet'!B14="",'Données projet'!C14="",'Données projet'!C14=0%),0,Calculateur!DT3)</f>
        <v>398.93296311353788</v>
      </c>
      <c r="D11" s="154">
        <f>IF(OR('Données projet'!B14="",'Données projet'!C14="",'Données projet'!C14=0%),0,Calculateur!DU3)</f>
        <v>173.19148969173838</v>
      </c>
      <c r="E11" s="154">
        <f t="shared" ca="1" si="0"/>
        <v>173.19148969173838</v>
      </c>
      <c r="F11" s="154">
        <f t="shared" ca="1" si="1"/>
        <v>17.319148969173838</v>
      </c>
      <c r="G11" s="154">
        <f ca="1">F11*(100%-'Données projet'!$C$24)*(100%-'Données projet'!$C$25)*(100%-'Données projet'!$C$26)*(100%-'Données projet'!$C$27)</f>
        <v>15.587234072256456</v>
      </c>
      <c r="H11" s="162">
        <f>IF(OR('Données projet'!B14="",'Données projet'!C14="",'Données projet'!C14=0%),0,AVERAGE(Calculateur!$ED$3:$ED$33)*B11)</f>
        <v>0</v>
      </c>
      <c r="I11" s="156">
        <f>H11*(100%-'Données projet'!$C$24)*(100%-'Données projet'!$C$25)*(100%-'Données projet'!$C$26)*(100%-'Données projet'!$C$27)</f>
        <v>0</v>
      </c>
      <c r="J11" s="157">
        <f>IF(OR('Données projet'!B14="",'Données projet'!C14="",'Données projet'!C14=0%),0,SUM(Calculateur!$DW$3:$DW$33)*VLOOKUP('Données projet'!$B$14,Paramètres!$A$1:$I$89,9,0)*B11)</f>
        <v>0</v>
      </c>
      <c r="K11" s="158">
        <f>J11*(100%-'Données projet'!$C$24)*(100%-'Données projet'!$C$25)*(100%-'Données projet'!$C$26)*(100%-'Données projet'!$C$27)</f>
        <v>0</v>
      </c>
      <c r="L11" s="159">
        <f t="shared" ca="1" si="2"/>
        <v>15.587234072256456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0" t="str">
        <f>IF('Données projet'!$B$15="","",'Données projet'!$B$15)</f>
        <v>Erable champêtre</v>
      </c>
      <c r="B12" s="161">
        <f>'Données projet'!D15</f>
        <v>0.1</v>
      </c>
      <c r="C12" s="154">
        <f ca="1">IF(OR('Données projet'!B15="",'Données projet'!C15="",'Données projet'!C15=0%),0,Calculateur!EO3)</f>
        <v>226.37420733783091</v>
      </c>
      <c r="D12" s="154">
        <f>IF(OR('Données projet'!B15="",'Données projet'!C15="",'Données projet'!C15=0%),0,Calculateur!EP3)</f>
        <v>204.10961748628714</v>
      </c>
      <c r="E12" s="154">
        <f t="shared" ca="1" si="0"/>
        <v>204.10961748628714</v>
      </c>
      <c r="F12" s="154">
        <f t="shared" ca="1" si="1"/>
        <v>20.410961748628715</v>
      </c>
      <c r="G12" s="154">
        <f ca="1">F12*(100%-'Données projet'!$C$24)*(100%-'Données projet'!$C$25)*(100%-'Données projet'!$C$26)*(100%-'Données projet'!$C$27)</f>
        <v>18.369865573765843</v>
      </c>
      <c r="H12" s="162">
        <f>IF(OR('Données projet'!B15="",'Données projet'!C15="",'Données projet'!C15=0%),0,AVERAGE(Calculateur!$EY$3:$EY$33)*B12)</f>
        <v>0</v>
      </c>
      <c r="I12" s="156">
        <f>H12*(100%-'Données projet'!$C$24)*(100%-'Données projet'!$C$25)*(100%-'Données projet'!$C$26)*(100%-'Données projet'!$C$27)</f>
        <v>0</v>
      </c>
      <c r="J12" s="157">
        <f>IF(OR('Données projet'!B15="",'Données projet'!C15="",'Données projet'!C15=0%),0,SUM(Calculateur!$ER$3:$ER$33)*VLOOKUP('Données projet'!$B$15,Paramètres!$A$1:$I$89,9,0)*B12)</f>
        <v>0.42500000000000004</v>
      </c>
      <c r="K12" s="158">
        <f>J12*(100%-'Données projet'!$C$24)*(100%-'Données projet'!$C$25)*(100%-'Données projet'!$C$26)*(100%-'Données projet'!$C$27)</f>
        <v>0.38250000000000006</v>
      </c>
      <c r="L12" s="159">
        <f t="shared" ca="1" si="2"/>
        <v>18.752365573765843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0" t="str">
        <f>IF('Données projet'!$B$16="","",'Données projet'!$B$16)</f>
        <v/>
      </c>
      <c r="B13" s="161">
        <f>'Données projet'!D16</f>
        <v>0</v>
      </c>
      <c r="C13" s="154">
        <f>IF(OR('Données projet'!B16="",'Données projet'!C16="",'Données projet'!C16=0%),0,Calculateur!FJ3)</f>
        <v>0</v>
      </c>
      <c r="D13" s="154">
        <f>IF(OR('Données projet'!B16="",'Données projet'!C16="",'Données projet'!C16=0%),0,Calculateur!FK3)</f>
        <v>0</v>
      </c>
      <c r="E13" s="154">
        <f t="shared" si="0"/>
        <v>0</v>
      </c>
      <c r="F13" s="154">
        <f t="shared" si="1"/>
        <v>0</v>
      </c>
      <c r="G13" s="154">
        <f>F13*(100%-'Données projet'!$C$24)*(100%-'Données projet'!$C$25)*(100%-'Données projet'!$C$26)*(100%-'Données projet'!$C$27)</f>
        <v>0</v>
      </c>
      <c r="H13" s="162">
        <f>IF(OR('Données projet'!B16="",'Données projet'!C16="",'Données projet'!C16=0%),0,AVERAGE(Calculateur!$FT$3:$FT$33)*B13)</f>
        <v>0</v>
      </c>
      <c r="I13" s="156">
        <f>H13*(100%-'Données projet'!$C$24)*(100%-'Données projet'!$C$25)*(100%-'Données projet'!$C$26)*(100%-'Données projet'!$C$27)</f>
        <v>0</v>
      </c>
      <c r="J13" s="157">
        <f>IF(OR('Données projet'!C16="",'Données projet'!C16=0%),0,SUM(Calculateur!$FM$3:$FM$33)*VLOOKUP('Données projet'!$B$16,Paramètres!$A$1:$I$89,9,0)*B13)</f>
        <v>0</v>
      </c>
      <c r="K13" s="158">
        <f>J13*(100%-'Données projet'!$C$24)*(100%-'Données projet'!$C$25)*(100%-'Données projet'!$C$26)*(100%-'Données projet'!$C$27)</f>
        <v>0</v>
      </c>
      <c r="L13" s="159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0" t="str">
        <f>IF('Données projet'!$B$17="","",'Données projet'!$B$17)</f>
        <v/>
      </c>
      <c r="B14" s="161">
        <f>'Données projet'!D17</f>
        <v>0</v>
      </c>
      <c r="C14" s="154">
        <f>IF(OR('Données projet'!B17="",'Données projet'!C17="",'Données projet'!C17=0%),0,Calculateur!GE3)</f>
        <v>0</v>
      </c>
      <c r="D14" s="154">
        <f>IF(OR('Données projet'!B17="",'Données projet'!C17="",'Données projet'!C17=0%),0,Calculateur!GF3)</f>
        <v>0</v>
      </c>
      <c r="E14" s="154">
        <f t="shared" si="0"/>
        <v>0</v>
      </c>
      <c r="F14" s="154">
        <f t="shared" si="1"/>
        <v>0</v>
      </c>
      <c r="G14" s="154">
        <f>F14*(100%-'Données projet'!$C$24)*(100%-'Données projet'!$C$25)*(100%-'Données projet'!$C$26)*(100%-'Données projet'!$C$27)</f>
        <v>0</v>
      </c>
      <c r="H14" s="162">
        <f>IF(OR('Données projet'!B17="",'Données projet'!C17="",'Données projet'!C17=0%),0,AVERAGE(Calculateur!$GO$3:$GO$33)*B14)</f>
        <v>0</v>
      </c>
      <c r="I14" s="156">
        <f>H14*(100%-'Données projet'!$C$24)*(100%-'Données projet'!$C$25)*(100%-'Données projet'!$C$26)*(100%-'Données projet'!$C$27)</f>
        <v>0</v>
      </c>
      <c r="J14" s="157">
        <f>IF(OR('Données projet'!B17="",'Données projet'!C17="",'Données projet'!C17=0%),0,SUM(Calculateur!$GH$3:$GH$33)*VLOOKUP('Données projet'!$B$17,Paramètres!$A$1:$I$89,9,0)*B14)</f>
        <v>0</v>
      </c>
      <c r="K14" s="158">
        <f>J14*(100%-'Données projet'!$C$24)*(100%-'Données projet'!$C$25)*(100%-'Données projet'!$C$26)*(100%-'Données projet'!$C$27)</f>
        <v>0</v>
      </c>
      <c r="L14" s="159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3" t="str">
        <f>IF('Données projet'!B18="","",'Données projet'!B18)</f>
        <v/>
      </c>
      <c r="B15" s="164">
        <f>'Données projet'!D18</f>
        <v>0</v>
      </c>
      <c r="C15" s="165">
        <f>IF(OR('Données projet'!B18="",'Données projet'!C18="",'Données projet'!C18=0%),0,Calculateur!GZ3)</f>
        <v>0</v>
      </c>
      <c r="D15" s="165">
        <f>IF(OR('Données projet'!B18="",'Données projet'!C18="",'Données projet'!C18=0%),0,Calculateur!HA3)</f>
        <v>0</v>
      </c>
      <c r="E15" s="165">
        <f t="shared" si="0"/>
        <v>0</v>
      </c>
      <c r="F15" s="166">
        <f t="shared" si="1"/>
        <v>0</v>
      </c>
      <c r="G15" s="166">
        <f>F15*(100%-'Données projet'!$C$24)*(100%-'Données projet'!$C$25)*(100%-'Données projet'!$C$26)*(100%-'Données projet'!$C$27)</f>
        <v>0</v>
      </c>
      <c r="H15" s="167">
        <f>IF(OR('Données projet'!B18="",'Données projet'!C18="",'Données projet'!C18=0%),0,AVERAGE(Calculateur!$HJ$3:$HJ$33)*B15)</f>
        <v>0</v>
      </c>
      <c r="I15" s="168">
        <f>H15*(100%-'Données projet'!$C$24)*(100%-'Données projet'!$C$25)*(100%-'Données projet'!$C$26)*(100%-'Données projet'!$C$27)</f>
        <v>0</v>
      </c>
      <c r="J15" s="169">
        <f>IF(OR('Données projet'!B18="",'Données projet'!C18="",'Données projet'!C18=0%),0,SUM(Calculateur!$HC$3:$HC$33)*VLOOKUP('Données projet'!$B$18,Paramètres!$A$1:$I$89,9,0)*B15)</f>
        <v>0</v>
      </c>
      <c r="K15" s="170">
        <f>J15*(100%-'Données projet'!$C$24)*(100%-'Données projet'!$C$25)*(100%-'Données projet'!$C$26)*(100%-'Données projet'!$C$27)</f>
        <v>0</v>
      </c>
      <c r="L15" s="171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4"/>
      <c r="B16" s="231"/>
      <c r="C16" s="232"/>
      <c r="D16" s="25"/>
      <c r="E16" s="25"/>
      <c r="F16" s="172">
        <f t="shared" ref="F16:L16" ca="1" si="3">SUM(F6:F15)</f>
        <v>370.58158950309786</v>
      </c>
      <c r="G16" s="173">
        <f t="shared" ca="1" si="3"/>
        <v>333.52343055278806</v>
      </c>
      <c r="H16" s="174">
        <f t="shared" si="3"/>
        <v>0.30767499594719189</v>
      </c>
      <c r="I16" s="174">
        <f t="shared" si="3"/>
        <v>0.27690749635247269</v>
      </c>
      <c r="J16" s="175">
        <f t="shared" si="3"/>
        <v>14.010923076923078</v>
      </c>
      <c r="K16" s="175">
        <f t="shared" si="3"/>
        <v>12.60983076923077</v>
      </c>
      <c r="L16" s="176">
        <f t="shared" ca="1" si="3"/>
        <v>346.41016881837129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4"/>
      <c r="B17" s="231"/>
      <c r="C17" s="232"/>
      <c r="D17" s="229"/>
      <c r="E17" s="229"/>
      <c r="F17" s="318" t="s">
        <v>246</v>
      </c>
      <c r="G17" s="319"/>
      <c r="H17" s="319"/>
      <c r="I17" s="319"/>
      <c r="J17" s="319"/>
      <c r="K17" s="319"/>
      <c r="L17" s="319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4"/>
      <c r="B18" s="231"/>
      <c r="C18" s="232"/>
      <c r="D18" s="229"/>
      <c r="E18" s="229"/>
      <c r="F18" s="320"/>
      <c r="G18" s="320"/>
      <c r="H18" s="320"/>
      <c r="I18" s="320"/>
      <c r="J18" s="320"/>
      <c r="K18" s="320"/>
      <c r="L18" s="320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29"/>
      <c r="J19" s="229"/>
      <c r="K19" s="229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29"/>
      <c r="J20" s="229"/>
      <c r="K20" s="229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7" t="str">
        <f>A6</f>
        <v>Pin d'Alep</v>
      </c>
      <c r="B21" s="5"/>
      <c r="C21" s="5"/>
      <c r="D21" s="5"/>
      <c r="E21" s="5"/>
      <c r="F21" s="5"/>
      <c r="G21" s="5"/>
      <c r="H21" s="5"/>
      <c r="I21" s="229"/>
      <c r="J21" s="229"/>
      <c r="K21" s="229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29"/>
      <c r="J22" s="229"/>
      <c r="K22" s="229"/>
      <c r="L22" s="229"/>
      <c r="M22" s="229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29"/>
      <c r="J23" s="229"/>
      <c r="K23" s="229"/>
      <c r="L23" s="229"/>
      <c r="M23" s="229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29"/>
      <c r="J24" s="229"/>
      <c r="K24" s="229"/>
      <c r="L24" s="229"/>
      <c r="M24" s="229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29"/>
      <c r="J25" s="229"/>
      <c r="K25" s="229"/>
      <c r="L25" s="229"/>
      <c r="M25" s="229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29"/>
      <c r="J26" s="229"/>
      <c r="K26" s="229"/>
      <c r="L26" s="229"/>
      <c r="M26" s="229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29"/>
      <c r="J27" s="229"/>
      <c r="K27" s="229"/>
      <c r="L27" s="229"/>
      <c r="M27" s="229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29"/>
      <c r="J28" s="229"/>
      <c r="K28" s="229"/>
      <c r="L28" s="229"/>
      <c r="M28" s="229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29"/>
      <c r="J29" s="229"/>
      <c r="K29" s="229"/>
      <c r="L29" s="229"/>
      <c r="M29" s="229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29"/>
      <c r="J30" s="229"/>
      <c r="K30" s="229"/>
      <c r="L30" s="229"/>
      <c r="M30" s="229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29"/>
      <c r="J31" s="229"/>
      <c r="K31" s="229"/>
      <c r="L31" s="229"/>
      <c r="M31" s="229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29"/>
      <c r="J32" s="229"/>
      <c r="K32" s="229"/>
      <c r="L32" s="229"/>
      <c r="M32" s="229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29"/>
      <c r="J33" s="229"/>
      <c r="K33" s="229"/>
      <c r="L33" s="229"/>
      <c r="M33" s="229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29"/>
      <c r="J34" s="229"/>
      <c r="K34" s="229"/>
      <c r="L34" s="229"/>
      <c r="M34" s="229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29"/>
      <c r="J35" s="229"/>
      <c r="K35" s="229"/>
      <c r="L35" s="229"/>
      <c r="M35" s="229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29"/>
      <c r="J36" s="229"/>
      <c r="K36" s="229"/>
      <c r="L36" s="229"/>
      <c r="M36" s="229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29"/>
      <c r="J37" s="229"/>
      <c r="K37" s="229"/>
      <c r="L37" s="229"/>
      <c r="M37" s="229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29"/>
      <c r="J38" s="229"/>
      <c r="K38" s="229"/>
      <c r="L38" s="229"/>
      <c r="M38" s="229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7" t="str">
        <f>A7</f>
        <v>Chêne pubescent</v>
      </c>
      <c r="B39" s="5"/>
      <c r="C39" s="5"/>
      <c r="D39" s="5"/>
      <c r="E39" s="5"/>
      <c r="F39" s="5"/>
      <c r="G39" s="5"/>
      <c r="H39" s="5"/>
      <c r="I39" s="229"/>
      <c r="J39" s="229"/>
      <c r="K39" s="229"/>
      <c r="L39" s="229"/>
      <c r="M39" s="229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29"/>
      <c r="J40" s="229"/>
      <c r="K40" s="229"/>
      <c r="L40" s="229"/>
      <c r="M40" s="229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29"/>
      <c r="J41" s="229"/>
      <c r="K41" s="229"/>
      <c r="L41" s="229"/>
      <c r="M41" s="229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29"/>
      <c r="J42" s="229"/>
      <c r="K42" s="229"/>
      <c r="L42" s="229"/>
      <c r="M42" s="229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29"/>
      <c r="J43" s="229"/>
      <c r="K43" s="229"/>
      <c r="L43" s="229"/>
      <c r="M43" s="229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29"/>
      <c r="J44" s="229"/>
      <c r="K44" s="229"/>
      <c r="L44" s="229"/>
      <c r="M44" s="229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29"/>
      <c r="J45" s="229"/>
      <c r="K45" s="229"/>
      <c r="L45" s="229"/>
      <c r="M45" s="229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29"/>
      <c r="J46" s="229"/>
      <c r="K46" s="229"/>
      <c r="L46" s="229"/>
      <c r="M46" s="229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29"/>
      <c r="J47" s="229"/>
      <c r="K47" s="229"/>
      <c r="L47" s="229"/>
      <c r="M47" s="229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29"/>
      <c r="J48" s="229"/>
      <c r="K48" s="229"/>
      <c r="L48" s="229"/>
      <c r="M48" s="229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29"/>
      <c r="J49" s="229"/>
      <c r="K49" s="229"/>
      <c r="L49" s="229"/>
      <c r="M49" s="229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29"/>
      <c r="J50" s="229"/>
      <c r="K50" s="229"/>
      <c r="L50" s="229"/>
      <c r="M50" s="229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29"/>
      <c r="J51" s="229"/>
      <c r="K51" s="229"/>
      <c r="L51" s="229"/>
      <c r="M51" s="229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29"/>
      <c r="J52" s="229"/>
      <c r="K52" s="229"/>
      <c r="L52" s="229"/>
      <c r="M52" s="229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29"/>
      <c r="J53" s="229"/>
      <c r="K53" s="229"/>
      <c r="L53" s="229"/>
      <c r="M53" s="229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29"/>
      <c r="J54" s="229"/>
      <c r="K54" s="229"/>
      <c r="L54" s="229"/>
      <c r="M54" s="229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29"/>
      <c r="J55" s="229"/>
      <c r="K55" s="229"/>
      <c r="L55" s="229"/>
      <c r="M55" s="229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29"/>
      <c r="J56" s="229"/>
      <c r="K56" s="229"/>
      <c r="L56" s="229"/>
      <c r="M56" s="229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7" t="str">
        <f>A8</f>
        <v>Cormier</v>
      </c>
      <c r="B57" s="5"/>
      <c r="C57" s="5"/>
      <c r="D57" s="5"/>
      <c r="E57" s="5"/>
      <c r="F57" s="5"/>
      <c r="G57" s="5"/>
      <c r="H57" s="5"/>
      <c r="I57" s="229"/>
      <c r="J57" s="229"/>
      <c r="K57" s="229"/>
      <c r="L57" s="229"/>
      <c r="M57" s="229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29"/>
      <c r="J58" s="229"/>
      <c r="K58" s="229"/>
      <c r="L58" s="229"/>
      <c r="M58" s="229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29"/>
      <c r="J59" s="229"/>
      <c r="K59" s="229"/>
      <c r="L59" s="229"/>
      <c r="M59" s="229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29"/>
      <c r="J60" s="229"/>
      <c r="K60" s="229"/>
      <c r="L60" s="229"/>
      <c r="M60" s="229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29"/>
      <c r="J61" s="229"/>
      <c r="K61" s="229"/>
      <c r="L61" s="229"/>
      <c r="M61" s="229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29"/>
      <c r="J62" s="229"/>
      <c r="K62" s="229"/>
      <c r="L62" s="229"/>
      <c r="M62" s="229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29"/>
      <c r="J63" s="229"/>
      <c r="K63" s="229"/>
      <c r="L63" s="229"/>
      <c r="M63" s="229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29"/>
      <c r="J64" s="229"/>
      <c r="K64" s="229"/>
      <c r="L64" s="229"/>
      <c r="M64" s="229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29"/>
      <c r="J65" s="229"/>
      <c r="K65" s="229"/>
      <c r="L65" s="229"/>
      <c r="M65" s="229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29"/>
      <c r="J66" s="229"/>
      <c r="K66" s="229"/>
      <c r="L66" s="229"/>
      <c r="M66" s="229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29"/>
      <c r="J67" s="229"/>
      <c r="K67" s="229"/>
      <c r="L67" s="229"/>
      <c r="M67" s="229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29"/>
      <c r="J68" s="229"/>
      <c r="K68" s="229"/>
      <c r="L68" s="229"/>
      <c r="M68" s="229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29"/>
      <c r="J69" s="229"/>
      <c r="K69" s="229"/>
      <c r="L69" s="229"/>
      <c r="M69" s="229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29"/>
      <c r="J70" s="229"/>
      <c r="K70" s="229"/>
      <c r="L70" s="229"/>
      <c r="M70" s="229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29"/>
      <c r="J71" s="229"/>
      <c r="K71" s="229"/>
      <c r="L71" s="229"/>
      <c r="M71" s="229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29"/>
      <c r="J72" s="229"/>
      <c r="K72" s="229"/>
      <c r="L72" s="229"/>
      <c r="M72" s="229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29"/>
      <c r="J73" s="229"/>
      <c r="K73" s="229"/>
      <c r="L73" s="229"/>
      <c r="M73" s="229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29"/>
      <c r="J74" s="229"/>
      <c r="K74" s="229"/>
      <c r="L74" s="229"/>
      <c r="M74" s="229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29"/>
      <c r="J75" s="229"/>
      <c r="K75" s="229"/>
      <c r="L75" s="229"/>
      <c r="M75" s="229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7" t="str">
        <f>A9</f>
        <v>Micocoulier de Provence</v>
      </c>
      <c r="B76" s="5"/>
      <c r="C76" s="5"/>
      <c r="D76" s="5"/>
      <c r="E76" s="5"/>
      <c r="F76" s="5"/>
      <c r="G76" s="5"/>
      <c r="H76" s="5"/>
      <c r="I76" s="229"/>
      <c r="J76" s="229"/>
      <c r="K76" s="229"/>
      <c r="L76" s="229"/>
      <c r="M76" s="229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29"/>
      <c r="J77" s="229"/>
      <c r="K77" s="229"/>
      <c r="L77" s="229"/>
      <c r="M77" s="229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29"/>
      <c r="J78" s="229"/>
      <c r="K78" s="229"/>
      <c r="L78" s="229"/>
      <c r="M78" s="229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29"/>
      <c r="J79" s="229"/>
      <c r="K79" s="229"/>
      <c r="L79" s="229"/>
      <c r="M79" s="229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29"/>
      <c r="J80" s="229"/>
      <c r="K80" s="229"/>
      <c r="L80" s="229"/>
      <c r="M80" s="229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29"/>
      <c r="J81" s="229"/>
      <c r="K81" s="229"/>
      <c r="L81" s="229"/>
      <c r="M81" s="229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29"/>
      <c r="J82" s="229"/>
      <c r="K82" s="229"/>
      <c r="L82" s="229"/>
      <c r="M82" s="229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29"/>
      <c r="J83" s="229"/>
      <c r="K83" s="229"/>
      <c r="L83" s="229"/>
      <c r="M83" s="229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29"/>
      <c r="J84" s="229"/>
      <c r="K84" s="229"/>
      <c r="L84" s="229"/>
      <c r="M84" s="229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29"/>
      <c r="J85" s="229"/>
      <c r="K85" s="229"/>
      <c r="L85" s="229"/>
      <c r="M85" s="229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29"/>
      <c r="J86" s="229"/>
      <c r="K86" s="229"/>
      <c r="L86" s="229"/>
      <c r="M86" s="229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29"/>
      <c r="J87" s="229"/>
      <c r="K87" s="229"/>
      <c r="L87" s="229"/>
      <c r="M87" s="229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29"/>
      <c r="J88" s="229"/>
      <c r="K88" s="229"/>
      <c r="L88" s="229"/>
      <c r="M88" s="229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29"/>
      <c r="J89" s="229"/>
      <c r="K89" s="229"/>
      <c r="L89" s="229"/>
      <c r="M89" s="229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29"/>
      <c r="J90" s="229"/>
      <c r="K90" s="229"/>
      <c r="L90" s="229"/>
      <c r="M90" s="229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29"/>
      <c r="J91" s="229"/>
      <c r="K91" s="229"/>
      <c r="L91" s="229"/>
      <c r="M91" s="229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29"/>
      <c r="J92" s="229"/>
      <c r="K92" s="229"/>
      <c r="L92" s="229"/>
      <c r="M92" s="229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29"/>
      <c r="J93" s="229"/>
      <c r="K93" s="229"/>
      <c r="L93" s="229"/>
      <c r="M93" s="229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7" t="str">
        <f>A10</f>
        <v>Tilleul</v>
      </c>
      <c r="B94" s="5"/>
      <c r="C94" s="5"/>
      <c r="D94" s="5"/>
      <c r="E94" s="5"/>
      <c r="F94" s="5"/>
      <c r="G94" s="5"/>
      <c r="H94" s="5"/>
      <c r="I94" s="229"/>
      <c r="J94" s="229"/>
      <c r="K94" s="229"/>
      <c r="L94" s="229"/>
      <c r="M94" s="229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29"/>
      <c r="J95" s="229"/>
      <c r="K95" s="229"/>
      <c r="L95" s="229"/>
      <c r="M95" s="229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29"/>
      <c r="J96" s="229"/>
      <c r="K96" s="229"/>
      <c r="L96" s="229"/>
      <c r="M96" s="229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29"/>
      <c r="J97" s="229"/>
      <c r="K97" s="229"/>
      <c r="L97" s="229"/>
      <c r="M97" s="229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29"/>
      <c r="J98" s="229"/>
      <c r="K98" s="229"/>
      <c r="L98" s="229"/>
      <c r="M98" s="229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29"/>
      <c r="J99" s="229"/>
      <c r="K99" s="229"/>
      <c r="L99" s="229"/>
      <c r="M99" s="229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29"/>
      <c r="J100" s="229"/>
      <c r="K100" s="229"/>
      <c r="L100" s="229"/>
      <c r="M100" s="229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29"/>
      <c r="J101" s="229"/>
      <c r="K101" s="229"/>
      <c r="L101" s="229"/>
      <c r="M101" s="229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29"/>
      <c r="J102" s="229"/>
      <c r="K102" s="229"/>
      <c r="L102" s="229"/>
      <c r="M102" s="229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29"/>
      <c r="J103" s="229"/>
      <c r="K103" s="229"/>
      <c r="L103" s="229"/>
      <c r="M103" s="229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29"/>
      <c r="J104" s="229"/>
      <c r="K104" s="229"/>
      <c r="L104" s="229"/>
      <c r="M104" s="229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29"/>
      <c r="J105" s="229"/>
      <c r="K105" s="229"/>
      <c r="L105" s="229"/>
      <c r="M105" s="229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29"/>
      <c r="J106" s="229"/>
      <c r="K106" s="229"/>
      <c r="L106" s="229"/>
      <c r="M106" s="229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29"/>
      <c r="J107" s="229"/>
      <c r="K107" s="229"/>
      <c r="L107" s="229"/>
      <c r="M107" s="229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29"/>
      <c r="J108" s="229"/>
      <c r="K108" s="229"/>
      <c r="L108" s="229"/>
      <c r="M108" s="229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29"/>
      <c r="J109" s="229"/>
      <c r="K109" s="229"/>
      <c r="L109" s="229"/>
      <c r="M109" s="229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29"/>
      <c r="J110" s="229"/>
      <c r="K110" s="229"/>
      <c r="L110" s="229"/>
      <c r="M110" s="229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29"/>
      <c r="J111" s="229"/>
      <c r="K111" s="229"/>
      <c r="L111" s="229"/>
      <c r="M111" s="229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7" t="str">
        <f>A11</f>
        <v>Alisier torminal</v>
      </c>
      <c r="B112" s="5"/>
      <c r="C112" s="5"/>
      <c r="D112" s="5"/>
      <c r="E112" s="5"/>
      <c r="F112" s="5"/>
      <c r="G112" s="5"/>
      <c r="H112" s="5"/>
      <c r="I112" s="229"/>
      <c r="J112" s="229"/>
      <c r="K112" s="229"/>
      <c r="L112" s="229"/>
      <c r="M112" s="229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29"/>
      <c r="J113" s="229"/>
      <c r="K113" s="229"/>
      <c r="L113" s="229"/>
      <c r="M113" s="229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29"/>
      <c r="J114" s="229"/>
      <c r="K114" s="229"/>
      <c r="L114" s="229"/>
      <c r="M114" s="229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29"/>
      <c r="J115" s="229"/>
      <c r="K115" s="229"/>
      <c r="L115" s="229"/>
      <c r="M115" s="229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29"/>
      <c r="J116" s="229"/>
      <c r="K116" s="229"/>
      <c r="L116" s="229"/>
      <c r="M116" s="229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29"/>
      <c r="J117" s="229"/>
      <c r="K117" s="229"/>
      <c r="L117" s="229"/>
      <c r="M117" s="229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29"/>
      <c r="J118" s="229"/>
      <c r="K118" s="229"/>
      <c r="L118" s="229"/>
      <c r="M118" s="229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29"/>
      <c r="J119" s="229"/>
      <c r="K119" s="229"/>
      <c r="L119" s="229"/>
      <c r="M119" s="229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29"/>
      <c r="J120" s="229"/>
      <c r="K120" s="229"/>
      <c r="L120" s="229"/>
      <c r="M120" s="229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29"/>
      <c r="J121" s="229"/>
      <c r="K121" s="229"/>
      <c r="L121" s="229"/>
      <c r="M121" s="229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29"/>
      <c r="J122" s="229"/>
      <c r="K122" s="229"/>
      <c r="L122" s="229"/>
      <c r="M122" s="229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29"/>
      <c r="J123" s="229"/>
      <c r="K123" s="229"/>
      <c r="L123" s="229"/>
      <c r="M123" s="229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29"/>
      <c r="J124" s="229"/>
      <c r="K124" s="229"/>
      <c r="L124" s="229"/>
      <c r="M124" s="229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29"/>
      <c r="J125" s="229"/>
      <c r="K125" s="229"/>
      <c r="L125" s="229"/>
      <c r="M125" s="229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29"/>
      <c r="J126" s="229"/>
      <c r="K126" s="229"/>
      <c r="L126" s="229"/>
      <c r="M126" s="229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29"/>
      <c r="J127" s="229"/>
      <c r="K127" s="229"/>
      <c r="L127" s="229"/>
      <c r="M127" s="229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29"/>
      <c r="J128" s="229"/>
      <c r="K128" s="229"/>
      <c r="L128" s="229"/>
      <c r="M128" s="229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29"/>
      <c r="J129" s="229"/>
      <c r="K129" s="229"/>
      <c r="L129" s="229"/>
      <c r="M129" s="229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7" t="str">
        <f>A12</f>
        <v>Erable champêtre</v>
      </c>
      <c r="B130" s="5"/>
      <c r="C130" s="5"/>
      <c r="D130" s="5"/>
      <c r="E130" s="5"/>
      <c r="F130" s="5"/>
      <c r="G130" s="5"/>
      <c r="H130" s="5"/>
      <c r="I130" s="229"/>
      <c r="J130" s="229"/>
      <c r="K130" s="229"/>
      <c r="L130" s="229"/>
      <c r="M130" s="229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29"/>
      <c r="J131" s="229"/>
      <c r="K131" s="229"/>
      <c r="L131" s="229"/>
      <c r="M131" s="229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29"/>
      <c r="J132" s="229"/>
      <c r="K132" s="229"/>
      <c r="L132" s="229"/>
      <c r="M132" s="229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29"/>
      <c r="J133" s="229"/>
      <c r="K133" s="229"/>
      <c r="L133" s="229"/>
      <c r="M133" s="229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29"/>
      <c r="J134" s="229"/>
      <c r="K134" s="229"/>
      <c r="L134" s="229"/>
      <c r="M134" s="229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29"/>
      <c r="J135" s="229"/>
      <c r="K135" s="229"/>
      <c r="L135" s="229"/>
      <c r="M135" s="229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29"/>
      <c r="J136" s="229"/>
      <c r="K136" s="229"/>
      <c r="L136" s="229"/>
      <c r="M136" s="229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29"/>
      <c r="J137" s="229"/>
      <c r="K137" s="229"/>
      <c r="L137" s="229"/>
      <c r="M137" s="229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29"/>
      <c r="J138" s="229"/>
      <c r="K138" s="229"/>
      <c r="L138" s="229"/>
      <c r="M138" s="229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29"/>
      <c r="J139" s="229"/>
      <c r="K139" s="229"/>
      <c r="L139" s="229"/>
      <c r="M139" s="229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29"/>
      <c r="J140" s="229"/>
      <c r="K140" s="229"/>
      <c r="L140" s="229"/>
      <c r="M140" s="229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29"/>
      <c r="J141" s="229"/>
      <c r="K141" s="229"/>
      <c r="L141" s="229"/>
      <c r="M141" s="229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29"/>
      <c r="J142" s="229"/>
      <c r="K142" s="229"/>
      <c r="L142" s="229"/>
      <c r="M142" s="229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29"/>
      <c r="J143" s="229"/>
      <c r="K143" s="229"/>
      <c r="L143" s="229"/>
      <c r="M143" s="229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29"/>
      <c r="J144" s="229"/>
      <c r="K144" s="229"/>
      <c r="L144" s="229"/>
      <c r="M144" s="229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29"/>
      <c r="J145" s="229"/>
      <c r="K145" s="229"/>
      <c r="L145" s="229"/>
      <c r="M145" s="229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29"/>
      <c r="J146" s="229"/>
      <c r="K146" s="229"/>
      <c r="L146" s="229"/>
      <c r="M146" s="229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29"/>
      <c r="J147" s="229"/>
      <c r="K147" s="229"/>
      <c r="L147" s="229"/>
      <c r="M147" s="229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7" t="str">
        <f>A13</f>
        <v/>
      </c>
      <c r="B148" s="5"/>
      <c r="C148" s="5"/>
      <c r="D148" s="5"/>
      <c r="E148" s="5"/>
      <c r="F148" s="5"/>
      <c r="G148" s="5"/>
      <c r="H148" s="5"/>
      <c r="I148" s="229"/>
      <c r="J148" s="229"/>
      <c r="K148" s="229"/>
      <c r="L148" s="229"/>
      <c r="M148" s="229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29"/>
      <c r="J149" s="229"/>
      <c r="K149" s="229"/>
      <c r="L149" s="229"/>
      <c r="M149" s="229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29"/>
      <c r="J150" s="229"/>
      <c r="K150" s="229"/>
      <c r="L150" s="229"/>
      <c r="M150" s="229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29"/>
      <c r="J151" s="229"/>
      <c r="K151" s="229"/>
      <c r="L151" s="229"/>
      <c r="M151" s="229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29"/>
      <c r="J152" s="229"/>
      <c r="K152" s="229"/>
      <c r="L152" s="229"/>
      <c r="M152" s="229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29"/>
      <c r="J153" s="229"/>
      <c r="K153" s="229"/>
      <c r="L153" s="229"/>
      <c r="M153" s="229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29"/>
      <c r="J154" s="229"/>
      <c r="K154" s="229"/>
      <c r="L154" s="229"/>
      <c r="M154" s="229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29"/>
      <c r="J155" s="229"/>
      <c r="K155" s="229"/>
      <c r="L155" s="229"/>
      <c r="M155" s="229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29"/>
      <c r="J156" s="229"/>
      <c r="K156" s="229"/>
      <c r="L156" s="229"/>
      <c r="M156" s="229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29"/>
      <c r="J157" s="229"/>
      <c r="K157" s="229"/>
      <c r="L157" s="229"/>
      <c r="M157" s="229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29"/>
      <c r="J158" s="229"/>
      <c r="K158" s="229"/>
      <c r="L158" s="229"/>
      <c r="M158" s="229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29"/>
      <c r="J159" s="229"/>
      <c r="K159" s="229"/>
      <c r="L159" s="229"/>
      <c r="M159" s="229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29"/>
      <c r="J160" s="229"/>
      <c r="K160" s="229"/>
      <c r="L160" s="229"/>
      <c r="M160" s="229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29"/>
      <c r="J161" s="229"/>
      <c r="K161" s="229"/>
      <c r="L161" s="229"/>
      <c r="M161" s="229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29"/>
      <c r="J162" s="229"/>
      <c r="K162" s="229"/>
      <c r="L162" s="229"/>
      <c r="M162" s="229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29"/>
      <c r="J163" s="229"/>
      <c r="K163" s="229"/>
      <c r="L163" s="229"/>
      <c r="M163" s="229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29"/>
      <c r="J164" s="229"/>
      <c r="K164" s="229"/>
      <c r="L164" s="229"/>
      <c r="M164" s="229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29"/>
      <c r="J165" s="229"/>
      <c r="K165" s="229"/>
      <c r="L165" s="229"/>
      <c r="M165" s="229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7" t="str">
        <f>A14</f>
        <v/>
      </c>
      <c r="B166" s="5"/>
      <c r="C166" s="5"/>
      <c r="D166" s="5"/>
      <c r="E166" s="5"/>
      <c r="F166" s="5"/>
      <c r="G166" s="5"/>
      <c r="H166" s="5"/>
      <c r="I166" s="229"/>
      <c r="J166" s="229"/>
      <c r="K166" s="229"/>
      <c r="L166" s="229"/>
      <c r="M166" s="229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29"/>
      <c r="J167" s="229"/>
      <c r="K167" s="229"/>
      <c r="L167" s="229"/>
      <c r="M167" s="229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29"/>
      <c r="J168" s="229"/>
      <c r="K168" s="229"/>
      <c r="L168" s="229"/>
      <c r="M168" s="229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29"/>
      <c r="J169" s="229"/>
      <c r="K169" s="229"/>
      <c r="L169" s="229"/>
      <c r="M169" s="229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29"/>
      <c r="J170" s="229"/>
      <c r="K170" s="229"/>
      <c r="L170" s="229"/>
      <c r="M170" s="229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29"/>
      <c r="J171" s="229"/>
      <c r="K171" s="229"/>
      <c r="L171" s="229"/>
      <c r="M171" s="229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29"/>
      <c r="J172" s="229"/>
      <c r="K172" s="229"/>
      <c r="L172" s="229"/>
      <c r="M172" s="229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29"/>
      <c r="J173" s="229"/>
      <c r="K173" s="229"/>
      <c r="L173" s="229"/>
      <c r="M173" s="229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29"/>
      <c r="J174" s="229"/>
      <c r="K174" s="229"/>
      <c r="L174" s="229"/>
      <c r="M174" s="229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29"/>
      <c r="J175" s="229"/>
      <c r="K175" s="229"/>
      <c r="L175" s="229"/>
      <c r="M175" s="229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29"/>
      <c r="J176" s="229"/>
      <c r="K176" s="229"/>
      <c r="L176" s="229"/>
      <c r="M176" s="229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29"/>
      <c r="J177" s="229"/>
      <c r="K177" s="229"/>
      <c r="L177" s="229"/>
      <c r="M177" s="229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29"/>
      <c r="J178" s="229"/>
      <c r="K178" s="229"/>
      <c r="L178" s="229"/>
      <c r="M178" s="229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29"/>
      <c r="J179" s="229"/>
      <c r="K179" s="229"/>
      <c r="L179" s="229"/>
      <c r="M179" s="229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29"/>
      <c r="J180" s="229"/>
      <c r="K180" s="229"/>
      <c r="L180" s="229"/>
      <c r="M180" s="229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29"/>
      <c r="J181" s="229"/>
      <c r="K181" s="229"/>
      <c r="L181" s="229"/>
      <c r="M181" s="229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29"/>
      <c r="J182" s="229"/>
      <c r="K182" s="229"/>
      <c r="L182" s="229"/>
      <c r="M182" s="229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29"/>
      <c r="J183" s="229"/>
      <c r="K183" s="229"/>
      <c r="L183" s="229"/>
      <c r="M183" s="229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7" t="str">
        <f>A15</f>
        <v/>
      </c>
      <c r="B184" s="5"/>
      <c r="C184" s="5"/>
      <c r="D184" s="5"/>
      <c r="E184" s="5"/>
      <c r="F184" s="5"/>
      <c r="G184" s="5"/>
      <c r="H184" s="5"/>
      <c r="I184" s="229"/>
      <c r="J184" s="229"/>
      <c r="K184" s="229"/>
      <c r="L184" s="229"/>
      <c r="M184" s="229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29"/>
      <c r="J185" s="229"/>
      <c r="K185" s="229"/>
      <c r="L185" s="229"/>
      <c r="M185" s="229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29"/>
      <c r="J186" s="229"/>
      <c r="K186" s="229"/>
      <c r="L186" s="229"/>
      <c r="M186" s="229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29"/>
      <c r="J187" s="229"/>
      <c r="K187" s="229"/>
      <c r="L187" s="229"/>
      <c r="M187" s="229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29"/>
      <c r="J188" s="229"/>
      <c r="K188" s="229"/>
      <c r="L188" s="229"/>
      <c r="M188" s="229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29"/>
      <c r="J189" s="229"/>
      <c r="K189" s="229"/>
      <c r="L189" s="229"/>
      <c r="M189" s="229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29"/>
      <c r="J190" s="229"/>
      <c r="K190" s="229"/>
      <c r="L190" s="229"/>
      <c r="M190" s="229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29"/>
      <c r="J191" s="229"/>
      <c r="K191" s="229"/>
      <c r="L191" s="229"/>
      <c r="M191" s="229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29"/>
      <c r="J192" s="229"/>
      <c r="K192" s="229"/>
      <c r="L192" s="229"/>
      <c r="M192" s="229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29"/>
      <c r="J193" s="229"/>
      <c r="K193" s="229"/>
      <c r="L193" s="229"/>
      <c r="M193" s="229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29"/>
      <c r="J194" s="229"/>
      <c r="K194" s="229"/>
      <c r="L194" s="229"/>
      <c r="M194" s="229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29"/>
      <c r="J195" s="229"/>
      <c r="K195" s="229"/>
      <c r="L195" s="229"/>
      <c r="M195" s="229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29"/>
      <c r="J196" s="229"/>
      <c r="K196" s="229"/>
      <c r="L196" s="229"/>
      <c r="M196" s="229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29"/>
      <c r="J197" s="229"/>
      <c r="K197" s="229"/>
      <c r="L197" s="229"/>
      <c r="M197" s="229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29"/>
      <c r="J198" s="229"/>
      <c r="K198" s="229"/>
      <c r="L198" s="229"/>
      <c r="M198" s="229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29"/>
      <c r="J199" s="229"/>
      <c r="K199" s="229"/>
      <c r="L199" s="229"/>
      <c r="M199" s="229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29"/>
      <c r="J200" s="229"/>
      <c r="K200" s="229"/>
      <c r="L200" s="229"/>
      <c r="M200" s="229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29"/>
      <c r="J201" s="229"/>
      <c r="K201" s="229"/>
      <c r="L201" s="229"/>
      <c r="M201" s="229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29"/>
      <c r="J202" s="229"/>
      <c r="K202" s="229"/>
      <c r="L202" s="229"/>
      <c r="M202" s="229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0"/>
      <c r="J203" s="70"/>
      <c r="K203" s="70"/>
      <c r="L203" s="70"/>
      <c r="M203" s="229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0"/>
      <c r="J204" s="70"/>
      <c r="K204" s="70"/>
      <c r="L204" s="70"/>
      <c r="M204" s="70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0"/>
      <c r="J205" s="70"/>
      <c r="K205" s="70"/>
      <c r="L205" s="70"/>
      <c r="M205" s="70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0"/>
      <c r="J206" s="70"/>
      <c r="K206" s="70"/>
      <c r="L206" s="70"/>
      <c r="M206" s="70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0"/>
      <c r="J207" s="70"/>
      <c r="K207" s="70"/>
      <c r="L207" s="70"/>
      <c r="M207" s="70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0"/>
      <c r="J208" s="70"/>
      <c r="K208" s="70"/>
      <c r="L208" s="70"/>
      <c r="M208" s="70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0"/>
      <c r="J209" s="70"/>
      <c r="K209" s="70"/>
      <c r="L209" s="70"/>
      <c r="M209" s="70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0"/>
      <c r="J210" s="70"/>
      <c r="K210" s="70"/>
      <c r="L210" s="70"/>
      <c r="M210" s="70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0"/>
      <c r="J211" s="70"/>
      <c r="K211" s="70"/>
      <c r="L211" s="70"/>
      <c r="M211" s="70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0"/>
      <c r="J212" s="70"/>
      <c r="K212" s="70"/>
      <c r="L212" s="70"/>
      <c r="M212" s="70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0"/>
      <c r="J213" s="70"/>
      <c r="K213" s="70"/>
      <c r="L213" s="70"/>
      <c r="M213" s="70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0"/>
      <c r="J214" s="70"/>
      <c r="K214" s="70"/>
      <c r="L214" s="70"/>
      <c r="M214" s="70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0"/>
      <c r="J215" s="70"/>
      <c r="K215" s="70"/>
      <c r="L215" s="70"/>
      <c r="M215" s="70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0"/>
      <c r="J216" s="70"/>
      <c r="K216" s="70"/>
      <c r="L216" s="70"/>
      <c r="M216" s="70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0"/>
      <c r="J217" s="70"/>
      <c r="K217" s="70"/>
      <c r="L217" s="70"/>
      <c r="M217" s="70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0"/>
      <c r="J218" s="70"/>
      <c r="K218" s="70"/>
      <c r="L218" s="70"/>
      <c r="M218" s="70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0"/>
      <c r="J219" s="70"/>
      <c r="K219" s="70"/>
      <c r="L219" s="70"/>
      <c r="M219" s="70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0"/>
      <c r="J220" s="70"/>
      <c r="K220" s="70"/>
      <c r="L220" s="70"/>
      <c r="M220" s="70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0"/>
      <c r="J221" s="70"/>
      <c r="K221" s="70"/>
      <c r="L221" s="70"/>
      <c r="M221" s="70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0"/>
      <c r="J222" s="70"/>
      <c r="K222" s="70"/>
      <c r="L222" s="70"/>
      <c r="M222" s="70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0"/>
      <c r="J223" s="70"/>
      <c r="K223" s="70"/>
      <c r="L223" s="70"/>
      <c r="M223" s="70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0"/>
      <c r="J224" s="70"/>
      <c r="K224" s="70"/>
      <c r="L224" s="70"/>
      <c r="M224" s="70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0"/>
      <c r="J225" s="70"/>
      <c r="K225" s="70"/>
      <c r="L225" s="70"/>
      <c r="M225" s="70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0"/>
      <c r="J226" s="70"/>
      <c r="K226" s="70"/>
      <c r="L226" s="70"/>
      <c r="M226" s="70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0"/>
      <c r="J227" s="70"/>
      <c r="K227" s="70"/>
      <c r="L227" s="70"/>
      <c r="M227" s="70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0"/>
      <c r="J228" s="70"/>
      <c r="K228" s="70"/>
      <c r="L228" s="70"/>
      <c r="M228" s="70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0"/>
      <c r="J229" s="70"/>
      <c r="K229" s="70"/>
      <c r="L229" s="70"/>
      <c r="M229" s="70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0"/>
      <c r="J230" s="70"/>
      <c r="K230" s="70"/>
      <c r="L230" s="70"/>
      <c r="M230" s="70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0"/>
      <c r="J231" s="70"/>
      <c r="K231" s="70"/>
      <c r="L231" s="70"/>
      <c r="M231" s="70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0"/>
      <c r="J232" s="70"/>
      <c r="K232" s="70"/>
      <c r="L232" s="70"/>
      <c r="M232" s="70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0"/>
      <c r="J233" s="70"/>
      <c r="K233" s="70"/>
      <c r="L233" s="70"/>
      <c r="M233" s="70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0"/>
      <c r="J234" s="70"/>
      <c r="K234" s="70"/>
      <c r="L234" s="70"/>
      <c r="M234" s="70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0"/>
      <c r="J235" s="70"/>
      <c r="K235" s="70"/>
      <c r="L235" s="70"/>
      <c r="M235" s="70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0"/>
      <c r="J236" s="70"/>
      <c r="K236" s="70"/>
      <c r="L236" s="70"/>
      <c r="M236" s="70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0"/>
      <c r="J237" s="70"/>
      <c r="K237" s="70"/>
      <c r="L237" s="70"/>
      <c r="M237" s="70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0"/>
      <c r="J238" s="70"/>
      <c r="K238" s="70"/>
      <c r="L238" s="70"/>
      <c r="M238" s="70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0"/>
      <c r="J239" s="70"/>
      <c r="K239" s="70"/>
      <c r="L239" s="70"/>
      <c r="M239" s="70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0"/>
      <c r="J240" s="70"/>
      <c r="K240" s="70"/>
      <c r="L240" s="70"/>
      <c r="M240" s="70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0"/>
      <c r="J241" s="70"/>
      <c r="K241" s="70"/>
      <c r="L241" s="70"/>
      <c r="M241" s="70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0"/>
      <c r="J242" s="70"/>
      <c r="K242" s="70"/>
      <c r="L242" s="70"/>
      <c r="M242" s="70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0"/>
      <c r="J243" s="70"/>
      <c r="K243" s="70"/>
      <c r="L243" s="70"/>
      <c r="M243" s="70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0"/>
      <c r="J244" s="70"/>
      <c r="K244" s="70"/>
      <c r="L244" s="70"/>
      <c r="M244" s="70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0"/>
      <c r="J245" s="70"/>
      <c r="K245" s="70"/>
      <c r="L245" s="70"/>
      <c r="M245" s="70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0"/>
      <c r="J246" s="70"/>
      <c r="K246" s="70"/>
      <c r="L246" s="70"/>
      <c r="M246" s="70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0"/>
      <c r="J247" s="70"/>
      <c r="K247" s="70"/>
      <c r="L247" s="70"/>
      <c r="M247" s="70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0"/>
      <c r="J248" s="70"/>
      <c r="K248" s="70"/>
      <c r="L248" s="70"/>
      <c r="M248" s="70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0"/>
      <c r="J249" s="70"/>
      <c r="K249" s="70"/>
      <c r="L249" s="70"/>
      <c r="M249" s="70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0"/>
      <c r="J250" s="70"/>
      <c r="K250" s="70"/>
      <c r="L250" s="70"/>
      <c r="M250" s="70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0"/>
      <c r="J251" s="70"/>
      <c r="K251" s="70"/>
      <c r="L251" s="70"/>
      <c r="M251" s="70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0"/>
      <c r="J252" s="70"/>
      <c r="K252" s="70"/>
      <c r="L252" s="70"/>
      <c r="M252" s="70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0"/>
      <c r="J253" s="70"/>
      <c r="K253" s="70"/>
      <c r="L253" s="70"/>
      <c r="M253" s="70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0"/>
      <c r="J254" s="70"/>
      <c r="K254" s="70"/>
      <c r="L254" s="70"/>
      <c r="M254" s="70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0"/>
      <c r="J255" s="70"/>
      <c r="K255" s="70"/>
      <c r="L255" s="70"/>
      <c r="M255" s="70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0"/>
      <c r="J256" s="70"/>
      <c r="K256" s="70"/>
      <c r="L256" s="70"/>
      <c r="M256" s="70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0"/>
      <c r="J257" s="70"/>
      <c r="K257" s="70"/>
      <c r="L257" s="70"/>
      <c r="M257" s="70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0"/>
      <c r="J258" s="70"/>
      <c r="K258" s="70"/>
      <c r="L258" s="70"/>
      <c r="M258" s="70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0"/>
      <c r="J259" s="70"/>
      <c r="K259" s="70"/>
      <c r="L259" s="70"/>
      <c r="M259" s="70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0"/>
      <c r="J260" s="70"/>
      <c r="K260" s="70"/>
      <c r="L260" s="70"/>
      <c r="M260" s="70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0"/>
      <c r="J261" s="70"/>
      <c r="K261" s="70"/>
      <c r="L261" s="70"/>
      <c r="M261" s="70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0"/>
      <c r="J262" s="70"/>
      <c r="K262" s="70"/>
      <c r="L262" s="70"/>
      <c r="M262" s="70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0"/>
      <c r="J263" s="70"/>
      <c r="K263" s="70"/>
      <c r="L263" s="70"/>
      <c r="M263" s="70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0"/>
      <c r="J264" s="70"/>
      <c r="K264" s="70"/>
      <c r="L264" s="70"/>
      <c r="M264" s="70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0"/>
      <c r="J265" s="70"/>
      <c r="K265" s="70"/>
      <c r="L265" s="70"/>
      <c r="M265" s="70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0"/>
      <c r="J266" s="70"/>
      <c r="K266" s="70"/>
      <c r="L266" s="70"/>
      <c r="M266" s="70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0"/>
      <c r="J267" s="70"/>
      <c r="K267" s="70"/>
      <c r="L267" s="70"/>
      <c r="M267" s="70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0"/>
      <c r="J268" s="70"/>
      <c r="K268" s="70"/>
      <c r="L268" s="70"/>
      <c r="M268" s="70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0"/>
      <c r="J269" s="70"/>
      <c r="K269" s="70"/>
      <c r="L269" s="70"/>
      <c r="M269" s="70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0"/>
      <c r="J270" s="70"/>
      <c r="K270" s="70"/>
      <c r="L270" s="70"/>
      <c r="M270" s="70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0"/>
      <c r="J271" s="70"/>
      <c r="K271" s="70"/>
      <c r="L271" s="70"/>
      <c r="M271" s="70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0"/>
      <c r="J272" s="70"/>
      <c r="K272" s="70"/>
      <c r="L272" s="70"/>
      <c r="M272" s="70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0"/>
      <c r="J273" s="70"/>
      <c r="K273" s="70"/>
      <c r="L273" s="70"/>
      <c r="M273" s="70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0"/>
      <c r="J274" s="70"/>
      <c r="K274" s="70"/>
      <c r="L274" s="70"/>
      <c r="M274" s="70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0"/>
      <c r="J275" s="70"/>
      <c r="K275" s="70"/>
      <c r="L275" s="70"/>
      <c r="M275" s="70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0"/>
      <c r="J276" s="70"/>
      <c r="K276" s="70"/>
      <c r="L276" s="70"/>
      <c r="M276" s="70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0"/>
      <c r="J277" s="70"/>
      <c r="K277" s="70"/>
      <c r="L277" s="70"/>
      <c r="M277" s="70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0"/>
      <c r="J278" s="70"/>
      <c r="K278" s="70"/>
      <c r="L278" s="70"/>
      <c r="M278" s="70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0"/>
      <c r="J279" s="70"/>
      <c r="K279" s="70"/>
      <c r="L279" s="70"/>
      <c r="M279" s="70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0"/>
      <c r="J280" s="70"/>
      <c r="K280" s="70"/>
      <c r="L280" s="70"/>
      <c r="M280" s="70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0"/>
      <c r="J281" s="70"/>
      <c r="K281" s="70"/>
      <c r="L281" s="70"/>
      <c r="M281" s="70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0"/>
      <c r="J282" s="70"/>
      <c r="K282" s="70"/>
      <c r="L282" s="70"/>
      <c r="M282" s="70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0"/>
      <c r="J283" s="70"/>
      <c r="K283" s="70"/>
      <c r="L283" s="70"/>
      <c r="M283" s="70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0"/>
      <c r="J284" s="70"/>
      <c r="K284" s="70"/>
      <c r="L284" s="70"/>
      <c r="M284" s="70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0"/>
      <c r="J285" s="70"/>
      <c r="K285" s="70"/>
      <c r="L285" s="70"/>
      <c r="M285" s="70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0"/>
      <c r="J286" s="70"/>
      <c r="K286" s="70"/>
      <c r="L286" s="70"/>
      <c r="M286" s="70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0"/>
      <c r="J287" s="70"/>
      <c r="K287" s="70"/>
      <c r="L287" s="70"/>
      <c r="M287" s="70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0"/>
      <c r="J288" s="70"/>
      <c r="K288" s="70"/>
      <c r="L288" s="70"/>
      <c r="M288" s="70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0"/>
      <c r="J289" s="70"/>
      <c r="K289" s="70"/>
      <c r="L289" s="70"/>
      <c r="M289" s="70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0"/>
      <c r="J290" s="70"/>
      <c r="K290" s="70"/>
      <c r="L290" s="70"/>
      <c r="M290" s="70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0"/>
      <c r="J291" s="70"/>
      <c r="K291" s="70"/>
      <c r="L291" s="70"/>
      <c r="M291" s="70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0"/>
      <c r="J292" s="70"/>
      <c r="K292" s="70"/>
      <c r="L292" s="70"/>
      <c r="M292" s="70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0"/>
      <c r="J293" s="70"/>
      <c r="K293" s="70"/>
      <c r="L293" s="70"/>
      <c r="M293" s="70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0"/>
      <c r="J294" s="70"/>
      <c r="K294" s="70"/>
      <c r="L294" s="70"/>
      <c r="M294" s="70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0"/>
      <c r="J295" s="70"/>
      <c r="K295" s="70"/>
      <c r="L295" s="70"/>
      <c r="M295" s="70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0"/>
      <c r="J296" s="70"/>
      <c r="K296" s="70"/>
      <c r="L296" s="70"/>
      <c r="M296" s="70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0"/>
      <c r="J297" s="70"/>
      <c r="K297" s="70"/>
      <c r="L297" s="70"/>
      <c r="M297" s="70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0"/>
      <c r="J298" s="70"/>
      <c r="K298" s="70"/>
      <c r="L298" s="70"/>
      <c r="M298" s="70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0"/>
      <c r="J299" s="70"/>
      <c r="K299" s="70"/>
      <c r="L299" s="70"/>
      <c r="M299" s="70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0"/>
      <c r="J300" s="70"/>
      <c r="K300" s="70"/>
      <c r="L300" s="70"/>
      <c r="M300" s="70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0"/>
      <c r="J301" s="70"/>
      <c r="K301" s="70"/>
      <c r="L301" s="70"/>
      <c r="M301" s="70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0"/>
      <c r="J302" s="70"/>
      <c r="K302" s="70"/>
      <c r="L302" s="70"/>
      <c r="M302" s="70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0"/>
      <c r="J303" s="70"/>
      <c r="K303" s="70"/>
      <c r="L303" s="70"/>
      <c r="M303" s="70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0"/>
      <c r="J304" s="70"/>
      <c r="K304" s="70"/>
      <c r="L304" s="70"/>
      <c r="M304" s="70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0"/>
      <c r="J305" s="70"/>
      <c r="K305" s="70"/>
      <c r="L305" s="70"/>
      <c r="M305" s="70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0"/>
      <c r="J306" s="70"/>
      <c r="K306" s="70"/>
      <c r="L306" s="70"/>
      <c r="M306" s="70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0"/>
      <c r="J307" s="70"/>
      <c r="K307" s="70"/>
      <c r="L307" s="70"/>
      <c r="M307" s="70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0"/>
      <c r="J308" s="70"/>
      <c r="K308" s="70"/>
      <c r="L308" s="70"/>
      <c r="M308" s="70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0"/>
      <c r="J309" s="70"/>
      <c r="K309" s="70"/>
      <c r="L309" s="70"/>
      <c r="M309" s="70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0"/>
      <c r="J310" s="70"/>
      <c r="K310" s="70"/>
      <c r="L310" s="70"/>
      <c r="M310" s="70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0"/>
      <c r="J311" s="70"/>
      <c r="K311" s="70"/>
      <c r="L311" s="70"/>
      <c r="M311" s="70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0"/>
      <c r="J312" s="70"/>
      <c r="K312" s="70"/>
      <c r="L312" s="70"/>
      <c r="M312" s="70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0"/>
      <c r="J313" s="70"/>
      <c r="K313" s="70"/>
      <c r="L313" s="70"/>
      <c r="M313" s="70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0"/>
      <c r="J314" s="70"/>
      <c r="K314" s="70"/>
      <c r="L314" s="70"/>
      <c r="M314" s="70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0"/>
      <c r="J315" s="70"/>
      <c r="K315" s="70"/>
      <c r="L315" s="70"/>
      <c r="M315" s="70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0"/>
      <c r="J316" s="70"/>
      <c r="K316" s="70"/>
      <c r="L316" s="70"/>
      <c r="M316" s="70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0"/>
      <c r="J317" s="70"/>
      <c r="K317" s="70"/>
      <c r="L317" s="70"/>
      <c r="M317" s="70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0"/>
      <c r="J318" s="70"/>
      <c r="K318" s="70"/>
      <c r="L318" s="70"/>
      <c r="M318" s="70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0"/>
      <c r="J319" s="70"/>
      <c r="K319" s="70"/>
      <c r="L319" s="70"/>
      <c r="M319" s="70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0"/>
      <c r="J320" s="70"/>
      <c r="K320" s="70"/>
      <c r="L320" s="70"/>
      <c r="M320" s="70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0"/>
      <c r="J321" s="70"/>
      <c r="K321" s="70"/>
      <c r="L321" s="70"/>
      <c r="M321" s="70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0"/>
      <c r="J322" s="70"/>
      <c r="K322" s="70"/>
      <c r="L322" s="70"/>
      <c r="M322" s="70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0"/>
      <c r="J323" s="70"/>
      <c r="K323" s="70"/>
      <c r="L323" s="70"/>
      <c r="M323" s="70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0"/>
      <c r="J324" s="70"/>
      <c r="K324" s="70"/>
      <c r="L324" s="70"/>
      <c r="M324" s="70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0"/>
      <c r="J325" s="70"/>
      <c r="K325" s="70"/>
      <c r="L325" s="70"/>
      <c r="M325" s="70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0"/>
      <c r="J326" s="70"/>
      <c r="K326" s="70"/>
      <c r="L326" s="70"/>
      <c r="M326" s="70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0"/>
      <c r="J327" s="70"/>
      <c r="K327" s="70"/>
      <c r="L327" s="70"/>
      <c r="M327" s="70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0"/>
      <c r="J328" s="70"/>
      <c r="K328" s="70"/>
      <c r="L328" s="70"/>
      <c r="M328" s="70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0"/>
      <c r="J329" s="70"/>
      <c r="K329" s="70"/>
      <c r="L329" s="70"/>
      <c r="M329" s="70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0"/>
      <c r="J330" s="70"/>
      <c r="K330" s="70"/>
      <c r="L330" s="70"/>
      <c r="M330" s="70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0"/>
      <c r="J331" s="70"/>
      <c r="K331" s="70"/>
      <c r="L331" s="70"/>
      <c r="M331" s="70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0"/>
      <c r="J332" s="70"/>
      <c r="K332" s="70"/>
      <c r="L332" s="70"/>
      <c r="M332" s="70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0"/>
      <c r="J333" s="70"/>
      <c r="K333" s="70"/>
      <c r="L333" s="70"/>
      <c r="M333" s="70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0"/>
      <c r="J334" s="70"/>
      <c r="K334" s="70"/>
      <c r="L334" s="70"/>
      <c r="M334" s="70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0"/>
      <c r="J335" s="70"/>
      <c r="K335" s="70"/>
      <c r="L335" s="70"/>
      <c r="M335" s="70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0"/>
      <c r="J336" s="70"/>
      <c r="K336" s="70"/>
      <c r="L336" s="70"/>
      <c r="M336" s="70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0"/>
      <c r="J337" s="70"/>
      <c r="K337" s="70"/>
      <c r="L337" s="70"/>
      <c r="M337" s="70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0"/>
      <c r="J338" s="70"/>
      <c r="K338" s="70"/>
      <c r="L338" s="70"/>
      <c r="M338" s="70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0"/>
      <c r="J339" s="70"/>
      <c r="K339" s="70"/>
      <c r="L339" s="70"/>
      <c r="M339" s="70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0"/>
      <c r="J340" s="70"/>
      <c r="K340" s="70"/>
      <c r="L340" s="70"/>
      <c r="M340" s="70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0"/>
      <c r="J341" s="70"/>
      <c r="K341" s="70"/>
      <c r="L341" s="70"/>
      <c r="M341" s="70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0"/>
      <c r="J342" s="70"/>
      <c r="K342" s="70"/>
      <c r="L342" s="70"/>
      <c r="M342" s="70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0"/>
      <c r="J343" s="70"/>
      <c r="K343" s="70"/>
      <c r="L343" s="70"/>
      <c r="M343" s="70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0"/>
      <c r="J344" s="70"/>
      <c r="K344" s="70"/>
      <c r="L344" s="70"/>
      <c r="M344" s="70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0"/>
      <c r="J345" s="70"/>
      <c r="K345" s="70"/>
      <c r="L345" s="70"/>
      <c r="M345" s="70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0"/>
      <c r="J346" s="70"/>
      <c r="K346" s="70"/>
      <c r="L346" s="70"/>
      <c r="M346" s="70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0"/>
      <c r="J347" s="70"/>
      <c r="K347" s="70"/>
      <c r="L347" s="70"/>
      <c r="M347" s="70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0"/>
      <c r="J348" s="70"/>
      <c r="K348" s="70"/>
      <c r="L348" s="70"/>
      <c r="M348" s="70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0"/>
      <c r="J349" s="70"/>
      <c r="K349" s="70"/>
      <c r="L349" s="70"/>
      <c r="M349" s="70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0"/>
      <c r="J350" s="70"/>
      <c r="K350" s="70"/>
      <c r="L350" s="70"/>
      <c r="M350" s="70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0"/>
      <c r="J351" s="70"/>
      <c r="K351" s="70"/>
      <c r="L351" s="70"/>
      <c r="M351" s="70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0"/>
      <c r="J352" s="70"/>
      <c r="K352" s="70"/>
      <c r="L352" s="70"/>
      <c r="M352" s="70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0"/>
      <c r="J353" s="70"/>
      <c r="K353" s="70"/>
      <c r="L353" s="70"/>
      <c r="M353" s="70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0"/>
      <c r="J354" s="70"/>
      <c r="K354" s="70"/>
      <c r="L354" s="70"/>
      <c r="M354" s="70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0"/>
      <c r="J355" s="70"/>
      <c r="K355" s="70"/>
      <c r="L355" s="70"/>
      <c r="M355" s="70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0"/>
      <c r="J356" s="70"/>
      <c r="K356" s="70"/>
      <c r="L356" s="70"/>
      <c r="M356" s="70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abSelected="1" topLeftCell="Q7" zoomScale="90" zoomScaleNormal="90" workbookViewId="0">
      <selection activeCell="I21" sqref="I2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0"/>
      <c r="G1" s="70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6" t="s">
        <v>272</v>
      </c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8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0" customFormat="1" x14ac:dyDescent="0.25">
      <c r="A3" s="97"/>
      <c r="B3" s="97"/>
      <c r="C3" s="97"/>
      <c r="D3" s="97"/>
      <c r="E3" s="97"/>
      <c r="F3" s="178"/>
      <c r="G3" s="178"/>
      <c r="H3" s="179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</row>
    <row r="4" spans="1:42" s="200" customFormat="1" x14ac:dyDescent="0.25">
      <c r="A4" s="97"/>
      <c r="B4" s="97"/>
      <c r="C4" s="97"/>
      <c r="D4" s="97"/>
      <c r="E4" s="97"/>
      <c r="G4" s="178"/>
      <c r="H4" s="324" t="s">
        <v>315</v>
      </c>
      <c r="I4" s="324"/>
      <c r="K4" s="321" t="s">
        <v>253</v>
      </c>
      <c r="L4" s="322"/>
      <c r="M4" s="266">
        <v>4.4999999999999998E-2</v>
      </c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</row>
    <row r="5" spans="1:42" s="200" customFormat="1" x14ac:dyDescent="0.25">
      <c r="A5" s="97"/>
      <c r="B5" s="97"/>
      <c r="C5" s="97"/>
      <c r="D5" s="97"/>
      <c r="E5" s="97"/>
      <c r="G5" s="178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</row>
    <row r="6" spans="1:42" s="200" customFormat="1" ht="15.75" thickBot="1" x14ac:dyDescent="0.3">
      <c r="A6" s="97"/>
      <c r="B6" s="97"/>
      <c r="C6" s="97"/>
      <c r="D6" s="97"/>
      <c r="E6" s="97"/>
      <c r="F6" s="227"/>
      <c r="G6" s="178"/>
      <c r="H6" s="180"/>
      <c r="I6" s="180"/>
      <c r="J6" s="180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</row>
    <row r="7" spans="1:42" s="200" customFormat="1" ht="27.75" customHeight="1" thickBot="1" x14ac:dyDescent="0.45">
      <c r="A7" s="273"/>
      <c r="B7" s="274"/>
      <c r="C7" s="274"/>
      <c r="D7" s="274"/>
      <c r="E7" s="275"/>
      <c r="F7" s="275" t="s">
        <v>192</v>
      </c>
      <c r="G7" s="276"/>
      <c r="H7" s="274"/>
      <c r="I7" s="274"/>
      <c r="J7" s="277"/>
      <c r="K7" s="271"/>
      <c r="L7" s="272"/>
      <c r="M7" s="272"/>
      <c r="N7" s="278" t="s">
        <v>191</v>
      </c>
      <c r="O7" s="278"/>
      <c r="P7" s="279"/>
      <c r="Q7" s="280"/>
      <c r="R7" s="332" t="s">
        <v>310</v>
      </c>
      <c r="S7" s="333"/>
      <c r="T7" s="333"/>
      <c r="U7" s="333"/>
      <c r="V7" s="334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</row>
    <row r="8" spans="1:42" x14ac:dyDescent="0.25">
      <c r="A8" s="25"/>
      <c r="C8" s="25"/>
      <c r="D8" s="25"/>
      <c r="E8" s="25"/>
      <c r="F8" s="219"/>
      <c r="G8" s="219"/>
      <c r="H8" s="5"/>
      <c r="I8" s="5"/>
      <c r="J8" s="212"/>
      <c r="K8" s="223"/>
      <c r="L8" s="25"/>
      <c r="M8" s="25"/>
      <c r="N8" s="25"/>
      <c r="O8" s="25"/>
      <c r="P8" s="25"/>
      <c r="Q8" s="263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58" t="s">
        <v>311</v>
      </c>
      <c r="C9" s="25"/>
      <c r="D9" s="25"/>
      <c r="E9" s="25"/>
      <c r="F9" s="259"/>
      <c r="G9" s="258" t="s">
        <v>314</v>
      </c>
      <c r="J9" s="212"/>
      <c r="K9" s="223"/>
      <c r="O9" s="25"/>
      <c r="P9" s="25"/>
      <c r="Q9" s="263"/>
      <c r="R9" s="25"/>
      <c r="S9" s="5"/>
      <c r="T9" s="183" t="s">
        <v>262</v>
      </c>
      <c r="U9" s="186" t="s">
        <v>249</v>
      </c>
      <c r="V9" s="183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58" t="s">
        <v>317</v>
      </c>
      <c r="C10" s="25"/>
      <c r="D10" s="25"/>
      <c r="E10" s="25"/>
      <c r="F10" s="259"/>
      <c r="G10" s="258" t="s">
        <v>316</v>
      </c>
      <c r="J10" s="212"/>
      <c r="K10" s="223"/>
      <c r="O10" s="25"/>
      <c r="P10" s="25"/>
      <c r="Q10" s="263"/>
      <c r="R10" s="25"/>
      <c r="S10" s="183" t="str">
        <f>B14</f>
        <v>Pin d'Alep</v>
      </c>
      <c r="T10" s="18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650.80715785709879</v>
      </c>
      <c r="U10" s="188">
        <f>'Données projet'!D9</f>
        <v>0.6</v>
      </c>
      <c r="V10" s="187">
        <f>U10*T10</f>
        <v>390.48429471425925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58" t="s">
        <v>312</v>
      </c>
      <c r="B11" s="25"/>
      <c r="C11" s="25"/>
      <c r="D11" s="25"/>
      <c r="E11" s="25"/>
      <c r="F11" s="259"/>
      <c r="G11" s="258" t="s">
        <v>313</v>
      </c>
      <c r="J11" s="212"/>
      <c r="K11" s="223"/>
      <c r="M11" s="5"/>
      <c r="N11" s="5"/>
      <c r="O11" s="25"/>
      <c r="P11" s="25"/>
      <c r="Q11" s="263"/>
      <c r="R11" s="25"/>
      <c r="S11" s="183" t="str">
        <f>B45</f>
        <v>Chêne pubescent</v>
      </c>
      <c r="T11" s="270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270.48654733210861</v>
      </c>
      <c r="U11" s="188">
        <f>'Données projet'!D10</f>
        <v>0.6</v>
      </c>
      <c r="V11" s="187">
        <f t="shared" ref="V11" si="0">U11*T11</f>
        <v>162.29192839926517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59"/>
      <c r="G12" s="1"/>
      <c r="J12" s="212"/>
      <c r="K12" s="223"/>
      <c r="L12" s="215"/>
      <c r="M12" s="25"/>
      <c r="N12" s="25"/>
      <c r="O12" s="25"/>
      <c r="P12" s="25"/>
      <c r="Q12" s="263"/>
      <c r="R12" s="25"/>
      <c r="S12" s="183" t="str">
        <f>B76</f>
        <v>Cormier</v>
      </c>
      <c r="T12" s="270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270.48654733210861</v>
      </c>
      <c r="U12" s="188">
        <f>'Données projet'!D11</f>
        <v>0.3</v>
      </c>
      <c r="V12" s="187">
        <f t="shared" ref="V12:V19" si="1">U12*T12</f>
        <v>81.145964199632587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59"/>
      <c r="J13" s="25"/>
      <c r="K13" s="223"/>
      <c r="L13" s="182" t="s">
        <v>257</v>
      </c>
      <c r="M13" s="25"/>
      <c r="N13" s="25"/>
      <c r="O13" s="25"/>
      <c r="P13" s="25"/>
      <c r="Q13" s="263"/>
      <c r="R13" s="25"/>
      <c r="S13" s="183" t="str">
        <f>B107</f>
        <v>Micocoulier de Provence</v>
      </c>
      <c r="T13" s="270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311.67442994831481</v>
      </c>
      <c r="U13" s="188">
        <f>'Données projet'!D12</f>
        <v>0.2</v>
      </c>
      <c r="V13" s="187">
        <f t="shared" si="1"/>
        <v>62.334885989662965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4" t="str">
        <f>IF('Données projet'!$B$9="","",'Données projet'!$B$9)</f>
        <v>Pin d'Alep</v>
      </c>
      <c r="C14" s="5"/>
      <c r="D14" s="5"/>
      <c r="E14" s="5"/>
      <c r="F14" s="259"/>
      <c r="G14" s="219"/>
      <c r="H14" s="183" t="s">
        <v>178</v>
      </c>
      <c r="I14" s="183" t="s">
        <v>290</v>
      </c>
      <c r="J14" s="213"/>
      <c r="K14" s="181"/>
      <c r="L14" s="215"/>
      <c r="M14" s="25"/>
      <c r="N14" s="25"/>
      <c r="O14" s="5"/>
      <c r="P14" s="5"/>
      <c r="Q14" s="264"/>
      <c r="R14" s="5"/>
      <c r="S14" s="183" t="str">
        <f>B138</f>
        <v>Tilleul</v>
      </c>
      <c r="T14" s="270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311.67442994831481</v>
      </c>
      <c r="U14" s="188">
        <f>'Données projet'!D13</f>
        <v>0.1</v>
      </c>
      <c r="V14" s="187">
        <f t="shared" si="1"/>
        <v>31.167442994831482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59"/>
      <c r="G15" s="325" t="s">
        <v>318</v>
      </c>
      <c r="H15" s="201">
        <v>0</v>
      </c>
      <c r="I15" s="202">
        <v>0</v>
      </c>
      <c r="J15" s="214"/>
      <c r="K15" s="223"/>
      <c r="L15" s="215"/>
      <c r="M15" s="25"/>
      <c r="N15" s="25"/>
      <c r="O15" s="25"/>
      <c r="P15" s="25"/>
      <c r="Q15" s="263"/>
      <c r="R15" s="25"/>
      <c r="S15" s="183" t="str">
        <f>B169</f>
        <v>Alisier torminal</v>
      </c>
      <c r="T15" s="270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270.48654733210861</v>
      </c>
      <c r="U15" s="188">
        <f>'Données projet'!D14</f>
        <v>0.1</v>
      </c>
      <c r="V15" s="187">
        <f t="shared" si="1"/>
        <v>27.048654733210864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5" t="s">
        <v>180</v>
      </c>
      <c r="B16" s="51" t="s">
        <v>256</v>
      </c>
      <c r="C16" s="51" t="s">
        <v>255</v>
      </c>
      <c r="D16" s="255" t="s">
        <v>252</v>
      </c>
      <c r="E16" s="255" t="s">
        <v>320</v>
      </c>
      <c r="F16" s="259"/>
      <c r="G16" s="325"/>
      <c r="H16" s="201"/>
      <c r="I16" s="202"/>
      <c r="J16" s="214"/>
      <c r="K16" s="223"/>
      <c r="L16" s="321" t="s">
        <v>254</v>
      </c>
      <c r="M16" s="322"/>
      <c r="N16" s="2"/>
      <c r="O16" s="25"/>
      <c r="P16" s="25"/>
      <c r="Q16" s="263"/>
      <c r="R16" s="25"/>
      <c r="S16" s="183" t="str">
        <f>B200</f>
        <v>Erable champêtre</v>
      </c>
      <c r="T16" s="270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396.53280724786657</v>
      </c>
      <c r="U16" s="188">
        <f>'Données projet'!D15</f>
        <v>0.1</v>
      </c>
      <c r="V16" s="187">
        <f t="shared" si="1"/>
        <v>39.653280724786661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08">
        <v>0</v>
      </c>
      <c r="B17" s="211" t="s">
        <v>132</v>
      </c>
      <c r="C17" s="210" t="s">
        <v>132</v>
      </c>
      <c r="D17" s="209" t="s">
        <v>132</v>
      </c>
      <c r="E17" s="204"/>
      <c r="F17" s="259"/>
      <c r="G17" s="325"/>
      <c r="J17" s="214"/>
      <c r="K17" s="223"/>
      <c r="L17" s="292" t="s">
        <v>289</v>
      </c>
      <c r="M17" s="294"/>
      <c r="N17" s="185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3"/>
      <c r="R17" s="25"/>
      <c r="S17" s="183" t="str">
        <f>B231</f>
        <v/>
      </c>
      <c r="T17" s="270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8">
        <f>'Données projet'!D16</f>
        <v>0</v>
      </c>
      <c r="V17" s="187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08">
        <v>1</v>
      </c>
      <c r="B18" s="211" t="s">
        <v>132</v>
      </c>
      <c r="C18" s="210" t="s">
        <v>132</v>
      </c>
      <c r="D18" s="209" t="s">
        <v>132</v>
      </c>
      <c r="E18" s="204"/>
      <c r="F18" s="259"/>
      <c r="G18" s="325"/>
      <c r="J18" s="214"/>
      <c r="K18" s="223"/>
      <c r="L18" s="292" t="s">
        <v>255</v>
      </c>
      <c r="M18" s="294"/>
      <c r="N18" s="203"/>
      <c r="O18" s="25"/>
      <c r="P18" s="25"/>
      <c r="Q18" s="263"/>
      <c r="R18" s="25"/>
      <c r="S18" s="183" t="str">
        <f>B262</f>
        <v/>
      </c>
      <c r="T18" s="270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8">
        <f>'Données projet'!D17</f>
        <v>0</v>
      </c>
      <c r="V18" s="187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08">
        <v>2</v>
      </c>
      <c r="B19" s="211" t="s">
        <v>132</v>
      </c>
      <c r="C19" s="210" t="s">
        <v>132</v>
      </c>
      <c r="D19" s="209" t="s">
        <v>132</v>
      </c>
      <c r="E19" s="204"/>
      <c r="F19" s="259"/>
      <c r="G19" s="325"/>
      <c r="H19" s="230" t="s">
        <v>178</v>
      </c>
      <c r="I19" s="230" t="s">
        <v>287</v>
      </c>
      <c r="J19" s="258"/>
      <c r="K19" s="181"/>
      <c r="L19" s="321" t="s">
        <v>288</v>
      </c>
      <c r="M19" s="322"/>
      <c r="N19" s="189">
        <f>N17*N18</f>
        <v>0</v>
      </c>
      <c r="O19" s="25"/>
      <c r="P19" s="5"/>
      <c r="Q19" s="264"/>
      <c r="R19" s="5"/>
      <c r="S19" s="183" t="str">
        <f>B293</f>
        <v/>
      </c>
      <c r="T19" s="270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8">
        <f>'Données projet'!D18</f>
        <v>0</v>
      </c>
      <c r="V19" s="187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08">
        <v>3</v>
      </c>
      <c r="B20" s="211" t="s">
        <v>132</v>
      </c>
      <c r="C20" s="210" t="s">
        <v>132</v>
      </c>
      <c r="D20" s="209" t="s">
        <v>132</v>
      </c>
      <c r="E20" s="204"/>
      <c r="F20" s="259"/>
      <c r="G20" s="325"/>
      <c r="H20" s="201">
        <v>0</v>
      </c>
      <c r="I20" s="202">
        <v>7000</v>
      </c>
      <c r="J20" s="5"/>
      <c r="K20" s="181"/>
      <c r="O20" s="25"/>
      <c r="P20" s="5"/>
      <c r="Q20" s="264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08">
        <v>4</v>
      </c>
      <c r="B21" s="211" t="s">
        <v>132</v>
      </c>
      <c r="C21" s="210" t="s">
        <v>132</v>
      </c>
      <c r="D21" s="209" t="s">
        <v>132</v>
      </c>
      <c r="E21" s="204"/>
      <c r="F21" s="259"/>
      <c r="H21" s="201"/>
      <c r="I21" s="202"/>
      <c r="K21" s="181"/>
      <c r="O21" s="25"/>
      <c r="P21" s="5"/>
      <c r="Q21" s="264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08">
        <v>5</v>
      </c>
      <c r="B22" s="211" t="s">
        <v>132</v>
      </c>
      <c r="C22" s="210" t="s">
        <v>132</v>
      </c>
      <c r="D22" s="209" t="s">
        <v>132</v>
      </c>
      <c r="E22" s="204"/>
      <c r="F22" s="259"/>
      <c r="H22" s="201"/>
      <c r="I22" s="202"/>
      <c r="K22" s="181"/>
      <c r="O22" s="25"/>
      <c r="P22" s="5"/>
      <c r="Q22" s="264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0">
        <f>'Données projet'!A36</f>
        <v>30</v>
      </c>
      <c r="B23" s="191">
        <f>'Données projet'!D36</f>
        <v>48</v>
      </c>
      <c r="C23" s="204">
        <v>10</v>
      </c>
      <c r="D23" s="192">
        <f>B23*C23</f>
        <v>480</v>
      </c>
      <c r="E23" s="204"/>
      <c r="F23" s="259"/>
      <c r="H23" s="201"/>
      <c r="I23" s="202"/>
      <c r="K23" s="223"/>
      <c r="L23" s="323" t="s">
        <v>260</v>
      </c>
      <c r="M23" s="323"/>
      <c r="N23" s="323"/>
      <c r="O23" s="25"/>
      <c r="P23" s="25"/>
      <c r="Q23" s="263"/>
      <c r="R23" s="25"/>
      <c r="S23" s="183" t="s">
        <v>264</v>
      </c>
      <c r="T23" s="33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-13205.873548244352</v>
      </c>
      <c r="U23" s="337"/>
      <c r="V23" s="337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0">
        <f>'Données projet'!A37</f>
        <v>45</v>
      </c>
      <c r="B24" s="191">
        <f>'Données projet'!D37</f>
        <v>73</v>
      </c>
      <c r="C24" s="204">
        <v>10</v>
      </c>
      <c r="D24" s="192">
        <f t="shared" ref="D24:D42" si="2">B24*C24</f>
        <v>730</v>
      </c>
      <c r="E24" s="204"/>
      <c r="F24" s="262"/>
      <c r="H24" s="201"/>
      <c r="I24" s="202"/>
      <c r="K24" s="223"/>
      <c r="O24" s="25"/>
      <c r="P24" s="25"/>
      <c r="Q24" s="263"/>
      <c r="R24" s="25"/>
      <c r="S24" s="183" t="s">
        <v>261</v>
      </c>
      <c r="T24" s="338">
        <f ca="1">'Scénario référence'!$B$8*$M$30*'Données projet'!$C$5+('Scénario référence'!B9+'Scénario référence'!B10+'Scénario référence'!F8+'Scénario référence'!F9)*$N$19/(1+M4)^N16*'Données projet'!$C$5</f>
        <v>4783.8531246530774</v>
      </c>
      <c r="U24" s="338"/>
      <c r="V24" s="338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0">
        <f>'Données projet'!A38</f>
        <v>60</v>
      </c>
      <c r="B25" s="191">
        <f>'Données projet'!D38</f>
        <v>77</v>
      </c>
      <c r="C25" s="204">
        <v>20</v>
      </c>
      <c r="D25" s="192">
        <f t="shared" si="2"/>
        <v>1540</v>
      </c>
      <c r="E25" s="204"/>
      <c r="F25" s="262"/>
      <c r="G25" s="1"/>
      <c r="H25" s="201"/>
      <c r="I25" s="202"/>
      <c r="K25" s="223"/>
      <c r="L25" s="269" t="s">
        <v>285</v>
      </c>
      <c r="M25" s="269"/>
      <c r="N25" s="269"/>
      <c r="O25" s="269"/>
      <c r="P25" s="203">
        <v>106</v>
      </c>
      <c r="Q25" s="263"/>
      <c r="R25" s="25"/>
      <c r="S25" s="196" t="s">
        <v>266</v>
      </c>
      <c r="T25" s="339">
        <f ca="1">T23-T24</f>
        <v>-17989.726672897428</v>
      </c>
      <c r="U25" s="339"/>
      <c r="V25" s="339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0">
        <f>'Données projet'!A39</f>
        <v>80</v>
      </c>
      <c r="B26" s="191">
        <f>'Données projet'!D39</f>
        <v>264</v>
      </c>
      <c r="C26" s="204">
        <v>40</v>
      </c>
      <c r="D26" s="192">
        <f t="shared" si="2"/>
        <v>10560</v>
      </c>
      <c r="E26" s="204"/>
      <c r="F26" s="262"/>
      <c r="G26" s="257"/>
      <c r="H26" s="201"/>
      <c r="I26" s="202"/>
      <c r="K26" s="223"/>
      <c r="L26" s="326" t="s">
        <v>258</v>
      </c>
      <c r="M26" s="327"/>
      <c r="N26" s="327"/>
      <c r="O26" s="327"/>
      <c r="P26" s="328"/>
      <c r="Q26" s="263"/>
      <c r="R26" s="25"/>
      <c r="S26" s="196" t="s">
        <v>265</v>
      </c>
      <c r="T26" s="336" t="str">
        <f ca="1">IF(T25&lt;0,"Votre projet est additionnel","Votre projet n'est pas additionnel")</f>
        <v>Votre projet est additionnel</v>
      </c>
      <c r="U26" s="336"/>
      <c r="V26" s="336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0">
        <f>'Données projet'!A40</f>
        <v>0</v>
      </c>
      <c r="B27" s="191">
        <f>'Données projet'!D40</f>
        <v>0</v>
      </c>
      <c r="C27" s="204"/>
      <c r="D27" s="192">
        <f t="shared" si="2"/>
        <v>0</v>
      </c>
      <c r="E27" s="204"/>
      <c r="F27" s="262"/>
      <c r="G27" s="257"/>
      <c r="H27" s="201"/>
      <c r="I27" s="202"/>
      <c r="K27" s="223"/>
      <c r="L27" s="329"/>
      <c r="M27" s="330"/>
      <c r="N27" s="330"/>
      <c r="O27" s="330"/>
      <c r="P27" s="331"/>
      <c r="Q27" s="263"/>
      <c r="R27" s="25"/>
      <c r="S27" s="335" t="s">
        <v>267</v>
      </c>
      <c r="T27" s="335"/>
      <c r="U27" s="335"/>
      <c r="V27" s="33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0">
        <f>'Données projet'!A41</f>
        <v>0</v>
      </c>
      <c r="B28" s="191">
        <f>'Données projet'!D41</f>
        <v>0</v>
      </c>
      <c r="C28" s="204"/>
      <c r="D28" s="192">
        <f t="shared" si="2"/>
        <v>0</v>
      </c>
      <c r="E28" s="204"/>
      <c r="F28" s="262"/>
      <c r="G28" s="220"/>
      <c r="H28" s="201"/>
      <c r="I28" s="202"/>
      <c r="K28" s="223"/>
      <c r="Q28" s="263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0">
        <f>'Données projet'!A42</f>
        <v>0</v>
      </c>
      <c r="B29" s="191">
        <f>'Données projet'!D42</f>
        <v>0</v>
      </c>
      <c r="C29" s="204"/>
      <c r="D29" s="192">
        <f t="shared" si="2"/>
        <v>0</v>
      </c>
      <c r="E29" s="204"/>
      <c r="F29" s="262"/>
      <c r="G29" s="216"/>
      <c r="H29" s="201"/>
      <c r="I29" s="202"/>
      <c r="K29" s="223"/>
      <c r="O29" s="25"/>
      <c r="P29" s="25"/>
      <c r="Q29" s="263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0">
        <f>'Données projet'!A43</f>
        <v>0</v>
      </c>
      <c r="B30" s="191">
        <f>'Données projet'!D43</f>
        <v>0</v>
      </c>
      <c r="C30" s="204"/>
      <c r="D30" s="192">
        <f t="shared" si="2"/>
        <v>0</v>
      </c>
      <c r="E30" s="204"/>
      <c r="F30" s="262"/>
      <c r="G30" s="216"/>
      <c r="H30" s="201"/>
      <c r="I30" s="202"/>
      <c r="K30" s="193"/>
      <c r="L30" s="183" t="s">
        <v>259</v>
      </c>
      <c r="M30" s="194">
        <f ca="1">SUM(OFFSET($P$33,0,0,MIN('Données projet'!$E$9:$E$18)+1,1))</f>
        <v>2391.9265623265387</v>
      </c>
      <c r="O30" s="5"/>
      <c r="P30" s="5"/>
      <c r="Q30" s="264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0">
        <f>'Données projet'!A44</f>
        <v>0</v>
      </c>
      <c r="B31" s="191">
        <f>'Données projet'!D44</f>
        <v>0</v>
      </c>
      <c r="C31" s="204"/>
      <c r="D31" s="192">
        <f t="shared" si="2"/>
        <v>0</v>
      </c>
      <c r="E31" s="204"/>
      <c r="F31" s="262"/>
      <c r="G31" s="216"/>
      <c r="H31" s="201"/>
      <c r="I31" s="202"/>
      <c r="K31" s="181"/>
      <c r="Q31" s="263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0">
        <f>'Données projet'!A45</f>
        <v>0</v>
      </c>
      <c r="B32" s="191">
        <f>'Données projet'!D45</f>
        <v>0</v>
      </c>
      <c r="C32" s="204"/>
      <c r="D32" s="192">
        <f t="shared" si="2"/>
        <v>0</v>
      </c>
      <c r="E32" s="204"/>
      <c r="F32" s="262"/>
      <c r="G32" s="216"/>
      <c r="H32" s="201"/>
      <c r="I32" s="202"/>
      <c r="K32" s="181"/>
      <c r="N32" s="5"/>
      <c r="O32" s="268" t="s">
        <v>178</v>
      </c>
      <c r="P32" s="268" t="s">
        <v>252</v>
      </c>
      <c r="Q32" s="263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0">
        <f>'Données projet'!A46</f>
        <v>0</v>
      </c>
      <c r="B33" s="191">
        <f>'Données projet'!D46</f>
        <v>0</v>
      </c>
      <c r="C33" s="204"/>
      <c r="D33" s="192">
        <f t="shared" si="2"/>
        <v>0</v>
      </c>
      <c r="E33" s="204"/>
      <c r="F33" s="262"/>
      <c r="G33" s="216"/>
      <c r="H33" s="201"/>
      <c r="I33" s="202"/>
      <c r="K33" s="181"/>
      <c r="L33" s="5"/>
      <c r="M33" s="5"/>
      <c r="N33" s="5"/>
      <c r="O33" s="205">
        <v>0</v>
      </c>
      <c r="P33" s="195">
        <f t="shared" ref="P33:P64" si="3">$P$25/(1+$M$4)^O33</f>
        <v>106</v>
      </c>
      <c r="Q33" s="263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0">
        <f>'Données projet'!A47</f>
        <v>0</v>
      </c>
      <c r="B34" s="191">
        <f>'Données projet'!D47</f>
        <v>0</v>
      </c>
      <c r="C34" s="204"/>
      <c r="D34" s="192">
        <f t="shared" si="2"/>
        <v>0</v>
      </c>
      <c r="E34" s="204"/>
      <c r="F34" s="262"/>
      <c r="G34" s="216"/>
      <c r="H34" s="201"/>
      <c r="I34" s="202"/>
      <c r="K34" s="181"/>
      <c r="L34" s="282"/>
      <c r="M34" s="282"/>
      <c r="N34" s="283"/>
      <c r="O34" s="205">
        <f>IF(O33+1&lt;=MIN('Données projet'!$E$9:$E$18),O33+1,"STOP")</f>
        <v>1</v>
      </c>
      <c r="P34" s="195">
        <f t="shared" si="3"/>
        <v>101.43540669856461</v>
      </c>
      <c r="Q34" s="263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0">
        <f>'Données projet'!A48</f>
        <v>0</v>
      </c>
      <c r="B35" s="191">
        <f>'Données projet'!D48</f>
        <v>0</v>
      </c>
      <c r="C35" s="204"/>
      <c r="D35" s="192">
        <f t="shared" si="2"/>
        <v>0</v>
      </c>
      <c r="E35" s="204"/>
      <c r="F35" s="262"/>
      <c r="G35" s="216"/>
      <c r="H35" s="201"/>
      <c r="I35" s="202"/>
      <c r="K35" s="181"/>
      <c r="L35" s="282"/>
      <c r="M35" s="282"/>
      <c r="N35" s="283"/>
      <c r="O35" s="205">
        <f>IF(O34+1&lt;=MIN('Données projet'!$E$9:$E$18),O34+1,"STOP")</f>
        <v>2</v>
      </c>
      <c r="P35" s="195">
        <f t="shared" si="3"/>
        <v>97.067374831162311</v>
      </c>
      <c r="Q35" s="263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0">
        <f>'Données projet'!A49</f>
        <v>0</v>
      </c>
      <c r="B36" s="191">
        <f>'Données projet'!D49</f>
        <v>0</v>
      </c>
      <c r="C36" s="204"/>
      <c r="D36" s="192">
        <f t="shared" si="2"/>
        <v>0</v>
      </c>
      <c r="E36" s="204"/>
      <c r="F36" s="262"/>
      <c r="G36" s="216"/>
      <c r="H36" s="201"/>
      <c r="I36" s="202"/>
      <c r="K36" s="181"/>
      <c r="L36" s="25"/>
      <c r="M36" s="25"/>
      <c r="N36" s="25"/>
      <c r="O36" s="205">
        <f>IF(O35+1&lt;=MIN('Données projet'!$E$9:$E$18),O35+1,"STOP")</f>
        <v>3</v>
      </c>
      <c r="P36" s="195">
        <f t="shared" si="3"/>
        <v>92.887440029820382</v>
      </c>
      <c r="Q36" s="263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0">
        <f>'Données projet'!A50</f>
        <v>0</v>
      </c>
      <c r="B37" s="191">
        <f>'Données projet'!D50</f>
        <v>0</v>
      </c>
      <c r="C37" s="204"/>
      <c r="D37" s="192">
        <f t="shared" si="2"/>
        <v>0</v>
      </c>
      <c r="E37" s="204"/>
      <c r="F37" s="262"/>
      <c r="G37" s="216"/>
      <c r="H37" s="201"/>
      <c r="I37" s="202"/>
      <c r="K37" s="181"/>
      <c r="L37" s="25"/>
      <c r="M37" s="25"/>
      <c r="N37" s="25"/>
      <c r="O37" s="205">
        <f>IF(O36+1&lt;=MIN('Données projet'!$E$9:$E$18),O36+1,"STOP")</f>
        <v>4</v>
      </c>
      <c r="P37" s="195">
        <f t="shared" si="3"/>
        <v>88.887502420880779</v>
      </c>
      <c r="Q37" s="263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0">
        <f>'Données projet'!A51</f>
        <v>0</v>
      </c>
      <c r="B38" s="191">
        <f>'Données projet'!D51</f>
        <v>0</v>
      </c>
      <c r="C38" s="204"/>
      <c r="D38" s="192">
        <f t="shared" si="2"/>
        <v>0</v>
      </c>
      <c r="E38" s="204"/>
      <c r="F38" s="262"/>
      <c r="G38" s="216"/>
      <c r="H38" s="201"/>
      <c r="I38" s="202"/>
      <c r="K38" s="181"/>
      <c r="L38" s="25"/>
      <c r="M38" s="25"/>
      <c r="N38" s="25"/>
      <c r="O38" s="205">
        <f>IF(O37+1&lt;=MIN('Données projet'!$E$9:$E$18),O37+1,"STOP")</f>
        <v>5</v>
      </c>
      <c r="P38" s="195">
        <f t="shared" si="3"/>
        <v>85.059810929072512</v>
      </c>
      <c r="Q38" s="263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0">
        <f>'Données projet'!A52</f>
        <v>0</v>
      </c>
      <c r="B39" s="191">
        <f>'Données projet'!D52</f>
        <v>0</v>
      </c>
      <c r="C39" s="204"/>
      <c r="D39" s="192">
        <f t="shared" si="2"/>
        <v>0</v>
      </c>
      <c r="E39" s="204"/>
      <c r="F39" s="262"/>
      <c r="G39" s="216"/>
      <c r="H39" s="201"/>
      <c r="I39" s="202"/>
      <c r="K39" s="223"/>
      <c r="L39" s="25"/>
      <c r="M39" s="25"/>
      <c r="N39" s="25"/>
      <c r="O39" s="205">
        <f>IF(O38+1&lt;=MIN('Données projet'!$E$9:$E$18),O38+1,"STOP")</f>
        <v>6</v>
      </c>
      <c r="P39" s="195">
        <f t="shared" si="3"/>
        <v>81.396948257485676</v>
      </c>
      <c r="Q39" s="263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0">
        <f>'Données projet'!A53</f>
        <v>0</v>
      </c>
      <c r="B40" s="191">
        <f>'Données projet'!D53</f>
        <v>0</v>
      </c>
      <c r="C40" s="204"/>
      <c r="D40" s="192">
        <f t="shared" si="2"/>
        <v>0</v>
      </c>
      <c r="E40" s="204"/>
      <c r="F40" s="262"/>
      <c r="G40" s="216"/>
      <c r="H40" s="201"/>
      <c r="I40" s="202"/>
      <c r="K40" s="223"/>
      <c r="L40" s="25"/>
      <c r="M40" s="25"/>
      <c r="N40" s="25"/>
      <c r="O40" s="205">
        <f>IF(O39+1&lt;=MIN('Données projet'!$E$9:$E$18),O39+1,"STOP")</f>
        <v>7</v>
      </c>
      <c r="P40" s="195">
        <f t="shared" si="3"/>
        <v>77.891816514340363</v>
      </c>
      <c r="Q40" s="263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0">
        <f>'Données projet'!A54</f>
        <v>0</v>
      </c>
      <c r="B41" s="191">
        <f>'Données projet'!D54</f>
        <v>0</v>
      </c>
      <c r="C41" s="204"/>
      <c r="D41" s="192">
        <f t="shared" si="2"/>
        <v>0</v>
      </c>
      <c r="E41" s="204"/>
      <c r="F41" s="262"/>
      <c r="G41" s="216"/>
      <c r="H41" s="201"/>
      <c r="I41" s="202"/>
      <c r="K41" s="223"/>
      <c r="L41" s="25"/>
      <c r="M41" s="25"/>
      <c r="N41" s="25"/>
      <c r="O41" s="205">
        <f>IF(O40+1&lt;=MIN('Données projet'!$E$9:$E$18),O40+1,"STOP")</f>
        <v>8</v>
      </c>
      <c r="P41" s="195">
        <f t="shared" si="3"/>
        <v>74.537623458698931</v>
      </c>
      <c r="Q41" s="263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0">
        <f>'Données projet'!A55</f>
        <v>0</v>
      </c>
      <c r="B42" s="191">
        <f>'Données projet'!D55</f>
        <v>0</v>
      </c>
      <c r="C42" s="204"/>
      <c r="D42" s="192">
        <f t="shared" si="2"/>
        <v>0</v>
      </c>
      <c r="E42" s="204"/>
      <c r="F42" s="262"/>
      <c r="G42" s="216"/>
      <c r="H42" s="201"/>
      <c r="I42" s="202"/>
      <c r="K42" s="223"/>
      <c r="L42" s="25"/>
      <c r="M42" s="25"/>
      <c r="N42" s="25"/>
      <c r="O42" s="205">
        <f>IF(O41+1&lt;=MIN('Données projet'!$E$9:$E$18),O41+1,"STOP")</f>
        <v>9</v>
      </c>
      <c r="P42" s="195">
        <f t="shared" si="3"/>
        <v>71.327869338467877</v>
      </c>
      <c r="Q42" s="263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7"/>
      <c r="B43" s="197"/>
      <c r="C43" s="197"/>
      <c r="D43" s="254"/>
      <c r="E43" s="254"/>
      <c r="F43" s="267"/>
      <c r="G43" s="216"/>
      <c r="H43" s="201"/>
      <c r="I43" s="202"/>
      <c r="K43" s="223"/>
      <c r="L43" s="25"/>
      <c r="M43" s="25"/>
      <c r="N43" s="25"/>
      <c r="O43" s="205">
        <f>IF(O42+1&lt;=MIN('Données projet'!$E$9:$E$18),O42+1,"STOP")</f>
        <v>10</v>
      </c>
      <c r="P43" s="195">
        <f t="shared" si="3"/>
        <v>68.256334295184587</v>
      </c>
      <c r="Q43" s="264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59"/>
      <c r="G44" s="216"/>
      <c r="H44" s="201"/>
      <c r="I44" s="202"/>
      <c r="K44" s="223"/>
      <c r="L44" s="25"/>
      <c r="M44" s="25"/>
      <c r="N44" s="25"/>
      <c r="O44" s="205">
        <f>IF(O43+1&lt;=MIN('Données projet'!$E$9:$E$18),O43+1,"STOP")</f>
        <v>11</v>
      </c>
      <c r="P44" s="195">
        <f t="shared" si="3"/>
        <v>65.317066311181421</v>
      </c>
      <c r="Q44" s="264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4" t="str">
        <f>IF('Données projet'!$B$10="","",'Données projet'!$B$10)</f>
        <v>Chêne pubescent</v>
      </c>
      <c r="C45" s="5"/>
      <c r="D45" s="5"/>
      <c r="E45" s="5"/>
      <c r="F45" s="259"/>
      <c r="G45" s="216"/>
      <c r="H45" s="201"/>
      <c r="I45" s="202"/>
      <c r="J45" s="25"/>
      <c r="K45" s="223"/>
      <c r="L45" s="25"/>
      <c r="M45" s="25"/>
      <c r="N45" s="25"/>
      <c r="O45" s="205">
        <f>IF(O44+1&lt;=MIN('Données projet'!$E$9:$E$18),O44+1,"STOP")</f>
        <v>12</v>
      </c>
      <c r="P45" s="195">
        <f t="shared" si="3"/>
        <v>62.504369675771713</v>
      </c>
      <c r="Q45" s="264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59"/>
      <c r="G46" s="216"/>
      <c r="H46" s="201"/>
      <c r="I46" s="202"/>
      <c r="J46" s="25"/>
      <c r="K46" s="223"/>
      <c r="L46" s="218"/>
      <c r="M46" s="218"/>
      <c r="N46" s="218"/>
      <c r="O46" s="205">
        <f>IF(O45+1&lt;=MIN('Données projet'!$E$9:$E$18),O45+1,"STOP")</f>
        <v>13</v>
      </c>
      <c r="P46" s="198">
        <f t="shared" si="3"/>
        <v>59.812793948106894</v>
      </c>
      <c r="Q46" s="264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5" t="s">
        <v>180</v>
      </c>
      <c r="B47" s="51" t="s">
        <v>256</v>
      </c>
      <c r="C47" s="51" t="s">
        <v>255</v>
      </c>
      <c r="D47" s="255" t="s">
        <v>252</v>
      </c>
      <c r="E47" s="255" t="s">
        <v>320</v>
      </c>
      <c r="F47" s="260"/>
      <c r="G47" s="216"/>
      <c r="H47" s="201"/>
      <c r="I47" s="202"/>
      <c r="J47" s="25"/>
      <c r="K47" s="223"/>
      <c r="L47" s="5"/>
      <c r="M47" s="5"/>
      <c r="N47" s="5"/>
      <c r="O47" s="205">
        <f>IF(O46+1&lt;=MIN('Données projet'!$E$9:$E$18),O46+1,"STOP")</f>
        <v>14</v>
      </c>
      <c r="P47" s="195">
        <f t="shared" si="3"/>
        <v>57.237123395317617</v>
      </c>
      <c r="Q47" s="264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08">
        <v>0</v>
      </c>
      <c r="B48" s="211" t="s">
        <v>132</v>
      </c>
      <c r="C48" s="210" t="s">
        <v>132</v>
      </c>
      <c r="D48" s="209" t="s">
        <v>132</v>
      </c>
      <c r="E48" s="204"/>
      <c r="F48" s="260"/>
      <c r="G48" s="216"/>
      <c r="H48" s="201"/>
      <c r="I48" s="202"/>
      <c r="J48" s="25"/>
      <c r="K48" s="223"/>
      <c r="L48" s="5"/>
      <c r="M48" s="5"/>
      <c r="N48" s="5"/>
      <c r="O48" s="205">
        <f>IF(O47+1&lt;=MIN('Données projet'!$E$9:$E$18),O47+1,"STOP")</f>
        <v>15</v>
      </c>
      <c r="P48" s="195">
        <f t="shared" si="3"/>
        <v>54.772366885471399</v>
      </c>
      <c r="Q48" s="264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6" customFormat="1" ht="17.25" customHeight="1" x14ac:dyDescent="0.25">
      <c r="A49" s="208">
        <v>1</v>
      </c>
      <c r="B49" s="211" t="s">
        <v>132</v>
      </c>
      <c r="C49" s="210" t="s">
        <v>132</v>
      </c>
      <c r="D49" s="209" t="s">
        <v>132</v>
      </c>
      <c r="E49" s="204"/>
      <c r="F49" s="260"/>
      <c r="G49" s="217"/>
      <c r="H49" s="201"/>
      <c r="I49" s="202"/>
      <c r="J49" s="218"/>
      <c r="K49" s="225"/>
      <c r="L49" s="5"/>
      <c r="M49" s="5"/>
      <c r="N49" s="5"/>
      <c r="O49" s="205">
        <f>IF(O48+1&lt;=MIN('Données projet'!$E$9:$E$18),O48+1,"STOP")</f>
        <v>16</v>
      </c>
      <c r="P49" s="195">
        <f t="shared" si="3"/>
        <v>52.413748215762126</v>
      </c>
      <c r="Q49" s="265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</row>
    <row r="50" spans="1:56" x14ac:dyDescent="0.25">
      <c r="A50" s="208">
        <v>2</v>
      </c>
      <c r="B50" s="211" t="s">
        <v>132</v>
      </c>
      <c r="C50" s="210" t="s">
        <v>132</v>
      </c>
      <c r="D50" s="209" t="s">
        <v>132</v>
      </c>
      <c r="E50" s="204"/>
      <c r="F50" s="260"/>
      <c r="G50" s="219"/>
      <c r="H50" s="201"/>
      <c r="I50" s="202"/>
      <c r="J50" s="25"/>
      <c r="K50" s="181"/>
      <c r="L50" s="5"/>
      <c r="M50" s="5"/>
      <c r="N50" s="5"/>
      <c r="O50" s="205">
        <f>IF(O49+1&lt;=MIN('Données projet'!$E$9:$E$18),O49+1,"STOP")</f>
        <v>17</v>
      </c>
      <c r="P50" s="195">
        <f t="shared" si="3"/>
        <v>50.156696857188635</v>
      </c>
      <c r="Q50" s="264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08">
        <v>3</v>
      </c>
      <c r="B51" s="211" t="s">
        <v>132</v>
      </c>
      <c r="C51" s="210" t="s">
        <v>132</v>
      </c>
      <c r="D51" s="209" t="s">
        <v>132</v>
      </c>
      <c r="E51" s="204"/>
      <c r="F51" s="260"/>
      <c r="G51" s="219"/>
      <c r="H51" s="201"/>
      <c r="I51" s="202"/>
      <c r="J51" s="25"/>
      <c r="K51" s="181"/>
      <c r="L51" s="5"/>
      <c r="M51" s="5"/>
      <c r="N51" s="5"/>
      <c r="O51" s="205">
        <f>IF(O50+1&lt;=MIN('Données projet'!$E$9:$E$18),O50+1,"STOP")</f>
        <v>18</v>
      </c>
      <c r="P51" s="195">
        <f t="shared" si="3"/>
        <v>47.996839097788182</v>
      </c>
      <c r="Q51" s="264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08">
        <v>4</v>
      </c>
      <c r="B52" s="211" t="s">
        <v>132</v>
      </c>
      <c r="C52" s="210" t="s">
        <v>132</v>
      </c>
      <c r="D52" s="209" t="s">
        <v>132</v>
      </c>
      <c r="E52" s="204"/>
      <c r="F52" s="260"/>
      <c r="G52" s="219"/>
      <c r="H52" s="201"/>
      <c r="I52" s="202"/>
      <c r="J52" s="25"/>
      <c r="K52" s="181"/>
      <c r="L52" s="5"/>
      <c r="M52" s="5"/>
      <c r="N52" s="5"/>
      <c r="O52" s="205">
        <f>IF(O51+1&lt;=MIN('Données projet'!$E$9:$E$18),O51+1,"STOP")</f>
        <v>19</v>
      </c>
      <c r="P52" s="195">
        <f t="shared" si="3"/>
        <v>45.929989567261416</v>
      </c>
      <c r="Q52" s="264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08">
        <v>5</v>
      </c>
      <c r="B53" s="211" t="s">
        <v>132</v>
      </c>
      <c r="C53" s="210" t="s">
        <v>132</v>
      </c>
      <c r="D53" s="209" t="s">
        <v>132</v>
      </c>
      <c r="E53" s="204"/>
      <c r="F53" s="260"/>
      <c r="G53" s="220"/>
      <c r="H53" s="201"/>
      <c r="I53" s="202"/>
      <c r="J53" s="25"/>
      <c r="K53" s="181"/>
      <c r="L53" s="5"/>
      <c r="M53" s="5"/>
      <c r="N53" s="5"/>
      <c r="O53" s="205">
        <f>IF(O52+1&lt;=MIN('Données projet'!$E$9:$E$18),O52+1,"STOP")</f>
        <v>20</v>
      </c>
      <c r="P53" s="195">
        <f t="shared" si="3"/>
        <v>43.952143126565964</v>
      </c>
      <c r="Q53" s="264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0">
        <f>'Données projet'!A62</f>
        <v>25</v>
      </c>
      <c r="B54" s="191">
        <f>'Données projet'!D62</f>
        <v>0</v>
      </c>
      <c r="C54" s="202"/>
      <c r="D54" s="189">
        <f>B54*C54</f>
        <v>0</v>
      </c>
      <c r="E54" s="204"/>
      <c r="F54" s="261"/>
      <c r="G54" s="220"/>
      <c r="H54" s="201"/>
      <c r="I54" s="202"/>
      <c r="J54" s="25"/>
      <c r="K54" s="181"/>
      <c r="L54" s="5"/>
      <c r="M54" s="5"/>
      <c r="N54" s="5"/>
      <c r="O54" s="205">
        <f>IF(O53+1&lt;=MIN('Données projet'!$E$9:$E$18),O53+1,"STOP")</f>
        <v>21</v>
      </c>
      <c r="P54" s="195">
        <f t="shared" si="3"/>
        <v>42.05946710676168</v>
      </c>
      <c r="Q54" s="264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0">
        <f>'Données projet'!A63</f>
        <v>30</v>
      </c>
      <c r="B55" s="191">
        <f>'Données projet'!D63</f>
        <v>0</v>
      </c>
      <c r="C55" s="202"/>
      <c r="D55" s="189">
        <f t="shared" ref="D55:D73" si="4">B55*C55</f>
        <v>0</v>
      </c>
      <c r="E55" s="204"/>
      <c r="F55" s="261"/>
      <c r="G55" s="220"/>
      <c r="H55" s="201"/>
      <c r="I55" s="202"/>
      <c r="J55" s="25"/>
      <c r="K55" s="181"/>
      <c r="L55" s="5"/>
      <c r="M55" s="5"/>
      <c r="N55" s="5"/>
      <c r="O55" s="205">
        <f>IF(O54+1&lt;=MIN('Données projet'!$E$9:$E$18),O54+1,"STOP")</f>
        <v>22</v>
      </c>
      <c r="P55" s="195">
        <f t="shared" si="3"/>
        <v>40.248293882068609</v>
      </c>
      <c r="Q55" s="264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0">
        <f>'Données projet'!A64</f>
        <v>35</v>
      </c>
      <c r="B56" s="191">
        <f>'Données projet'!D64</f>
        <v>13</v>
      </c>
      <c r="C56" s="202">
        <v>10</v>
      </c>
      <c r="D56" s="189">
        <f t="shared" si="4"/>
        <v>130</v>
      </c>
      <c r="E56" s="204"/>
      <c r="F56" s="261"/>
      <c r="G56" s="220"/>
      <c r="H56" s="201"/>
      <c r="I56" s="202"/>
      <c r="J56" s="25"/>
      <c r="K56" s="181"/>
      <c r="L56" s="5"/>
      <c r="M56" s="5"/>
      <c r="N56" s="5"/>
      <c r="O56" s="205">
        <f>IF(O55+1&lt;=MIN('Données projet'!$E$9:$E$18),O55+1,"STOP")</f>
        <v>23</v>
      </c>
      <c r="P56" s="195">
        <f t="shared" si="3"/>
        <v>38.515113762745081</v>
      </c>
      <c r="Q56" s="264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0">
        <f>'Données projet'!A65</f>
        <v>40</v>
      </c>
      <c r="B57" s="191">
        <f>'Données projet'!D65</f>
        <v>0</v>
      </c>
      <c r="C57" s="202"/>
      <c r="D57" s="189">
        <f t="shared" si="4"/>
        <v>0</v>
      </c>
      <c r="E57" s="204"/>
      <c r="F57" s="261"/>
      <c r="G57" s="220"/>
      <c r="H57" s="201"/>
      <c r="I57" s="202"/>
      <c r="J57" s="25"/>
      <c r="K57" s="181"/>
      <c r="L57" s="5"/>
      <c r="M57" s="5"/>
      <c r="N57" s="5"/>
      <c r="O57" s="205">
        <f>IF(O56+1&lt;=MIN('Données projet'!$E$9:$E$18),O56+1,"STOP")</f>
        <v>24</v>
      </c>
      <c r="P57" s="195">
        <f t="shared" si="3"/>
        <v>36.856568194014436</v>
      </c>
      <c r="Q57" s="264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0">
        <f>'Données projet'!A66</f>
        <v>45</v>
      </c>
      <c r="B58" s="191">
        <f>'Données projet'!D66</f>
        <v>28</v>
      </c>
      <c r="C58" s="202">
        <v>10</v>
      </c>
      <c r="D58" s="189">
        <f t="shared" si="4"/>
        <v>280</v>
      </c>
      <c r="E58" s="204"/>
      <c r="F58" s="261"/>
      <c r="G58" s="220"/>
      <c r="H58" s="201"/>
      <c r="I58" s="202"/>
      <c r="J58" s="25"/>
      <c r="K58" s="181"/>
      <c r="L58" s="5"/>
      <c r="M58" s="5"/>
      <c r="N58" s="5"/>
      <c r="O58" s="205">
        <f>IF(O57+1&lt;=MIN('Données projet'!$E$9:$E$18),O57+1,"STOP")</f>
        <v>25</v>
      </c>
      <c r="P58" s="195">
        <f t="shared" si="3"/>
        <v>35.269443247860707</v>
      </c>
      <c r="Q58" s="264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0">
        <f>'Données projet'!A67</f>
        <v>50</v>
      </c>
      <c r="B59" s="191">
        <f>'Données projet'!D67</f>
        <v>0</v>
      </c>
      <c r="C59" s="202"/>
      <c r="D59" s="189">
        <f t="shared" si="4"/>
        <v>0</v>
      </c>
      <c r="E59" s="204"/>
      <c r="F59" s="261"/>
      <c r="G59" s="220"/>
      <c r="H59" s="201"/>
      <c r="I59" s="202"/>
      <c r="J59" s="25"/>
      <c r="K59" s="181"/>
      <c r="L59" s="5"/>
      <c r="M59" s="5"/>
      <c r="N59" s="5"/>
      <c r="O59" s="205">
        <f>IF(O58+1&lt;=MIN('Données projet'!$E$9:$E$18),O58+1,"STOP")</f>
        <v>26</v>
      </c>
      <c r="P59" s="195">
        <f t="shared" si="3"/>
        <v>33.750663395082029</v>
      </c>
      <c r="Q59" s="264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0">
        <f>'Données projet'!A68</f>
        <v>55</v>
      </c>
      <c r="B60" s="191">
        <f>'Données projet'!D68</f>
        <v>28</v>
      </c>
      <c r="C60" s="202">
        <v>15</v>
      </c>
      <c r="D60" s="189">
        <f t="shared" si="4"/>
        <v>420</v>
      </c>
      <c r="E60" s="204"/>
      <c r="F60" s="261"/>
      <c r="G60" s="221"/>
      <c r="H60" s="201"/>
      <c r="I60" s="202"/>
      <c r="J60" s="25"/>
      <c r="K60" s="181"/>
      <c r="L60" s="5"/>
      <c r="M60" s="5"/>
      <c r="N60" s="5"/>
      <c r="O60" s="205">
        <f>IF(O59+1&lt;=MIN('Données projet'!$E$9:$E$18),O59+1,"STOP")</f>
        <v>27</v>
      </c>
      <c r="P60" s="195">
        <f t="shared" si="3"/>
        <v>32.297285545533036</v>
      </c>
      <c r="Q60" s="264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0">
        <f>'Données projet'!A69</f>
        <v>60</v>
      </c>
      <c r="B61" s="191">
        <f>'Données projet'!D69</f>
        <v>0</v>
      </c>
      <c r="C61" s="202"/>
      <c r="D61" s="189">
        <f t="shared" si="4"/>
        <v>0</v>
      </c>
      <c r="E61" s="204"/>
      <c r="F61" s="261"/>
      <c r="G61" s="221"/>
      <c r="H61" s="201"/>
      <c r="I61" s="202"/>
      <c r="J61" s="25"/>
      <c r="K61" s="181"/>
      <c r="L61" s="5"/>
      <c r="M61" s="5"/>
      <c r="N61" s="5"/>
      <c r="O61" s="205">
        <f>IF(O60+1&lt;=MIN('Données projet'!$E$9:$E$18),O60+1,"STOP")</f>
        <v>28</v>
      </c>
      <c r="P61" s="195">
        <f t="shared" si="3"/>
        <v>30.9064933450077</v>
      </c>
      <c r="Q61" s="264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0">
        <f>'Données projet'!A70</f>
        <v>65</v>
      </c>
      <c r="B62" s="191">
        <f>'Données projet'!D70</f>
        <v>28</v>
      </c>
      <c r="C62" s="202">
        <v>20</v>
      </c>
      <c r="D62" s="189">
        <f t="shared" si="4"/>
        <v>560</v>
      </c>
      <c r="E62" s="204"/>
      <c r="F62" s="261"/>
      <c r="G62" s="221"/>
      <c r="H62" s="201"/>
      <c r="I62" s="202"/>
      <c r="J62" s="25"/>
      <c r="K62" s="181"/>
      <c r="L62" s="5"/>
      <c r="M62" s="5"/>
      <c r="N62" s="5"/>
      <c r="O62" s="205">
        <f>IF(O61+1&lt;=MIN('Données projet'!$E$9:$E$18),O61+1,"STOP")</f>
        <v>29</v>
      </c>
      <c r="P62" s="195">
        <f t="shared" si="3"/>
        <v>29.575591717710711</v>
      </c>
      <c r="Q62" s="264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0">
        <f>'Données projet'!A71</f>
        <v>70</v>
      </c>
      <c r="B63" s="191">
        <f>'Données projet'!D71</f>
        <v>0</v>
      </c>
      <c r="C63" s="202"/>
      <c r="D63" s="189">
        <f t="shared" si="4"/>
        <v>0</v>
      </c>
      <c r="E63" s="204"/>
      <c r="F63" s="261"/>
      <c r="G63" s="221"/>
      <c r="H63" s="201"/>
      <c r="I63" s="202"/>
      <c r="J63" s="25"/>
      <c r="K63" s="181"/>
      <c r="L63" s="5"/>
      <c r="M63" s="5"/>
      <c r="N63" s="5"/>
      <c r="O63" s="205">
        <f>IF(O62+1&lt;=MIN('Données projet'!$E$9:$E$18),O62+1,"STOP")</f>
        <v>30</v>
      </c>
      <c r="P63" s="195">
        <f t="shared" si="3"/>
        <v>28.302001643742319</v>
      </c>
      <c r="Q63" s="264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0">
        <f>'Données projet'!A72</f>
        <v>75</v>
      </c>
      <c r="B64" s="191">
        <f>'Données projet'!D72</f>
        <v>28</v>
      </c>
      <c r="C64" s="202">
        <v>30</v>
      </c>
      <c r="D64" s="189">
        <f t="shared" si="4"/>
        <v>840</v>
      </c>
      <c r="E64" s="204"/>
      <c r="F64" s="261"/>
      <c r="G64" s="221"/>
      <c r="H64" s="201"/>
      <c r="I64" s="202"/>
      <c r="J64" s="222"/>
      <c r="K64" s="181"/>
      <c r="L64" s="5"/>
      <c r="M64" s="5"/>
      <c r="N64" s="5"/>
      <c r="O64" s="205">
        <f>IF(O63+1&lt;=MIN('Données projet'!$E$9:$E$18),O63+1,"STOP")</f>
        <v>31</v>
      </c>
      <c r="P64" s="195">
        <f t="shared" si="3"/>
        <v>27.083255161475897</v>
      </c>
      <c r="Q64" s="264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0">
        <f>'Données projet'!A73</f>
        <v>80</v>
      </c>
      <c r="B65" s="191">
        <f>'Données projet'!D73</f>
        <v>0</v>
      </c>
      <c r="C65" s="202"/>
      <c r="D65" s="189">
        <f t="shared" si="4"/>
        <v>0</v>
      </c>
      <c r="E65" s="204"/>
      <c r="F65" s="261"/>
      <c r="G65" s="221"/>
      <c r="H65" s="201"/>
      <c r="I65" s="202"/>
      <c r="J65" s="199"/>
      <c r="K65" s="181"/>
      <c r="L65" s="5"/>
      <c r="M65" s="5"/>
      <c r="N65" s="5"/>
      <c r="O65" s="205">
        <f>IF(O64+1&lt;=MIN('Données projet'!$E$9:$E$18),O64+1,"STOP")</f>
        <v>32</v>
      </c>
      <c r="P65" s="195">
        <f t="shared" ref="P65:P96" si="5">$P$25/(1+$M$4)^O65</f>
        <v>25.916990585144415</v>
      </c>
      <c r="Q65" s="264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0">
        <f>'Données projet'!A74</f>
        <v>85</v>
      </c>
      <c r="B66" s="191">
        <f>'Données projet'!D74</f>
        <v>28</v>
      </c>
      <c r="C66" s="202">
        <v>40</v>
      </c>
      <c r="D66" s="189">
        <f t="shared" si="4"/>
        <v>1120</v>
      </c>
      <c r="E66" s="204"/>
      <c r="F66" s="261"/>
      <c r="G66" s="221"/>
      <c r="H66" s="201"/>
      <c r="I66" s="202"/>
      <c r="J66" s="199"/>
      <c r="K66" s="181"/>
      <c r="L66" s="5"/>
      <c r="M66" s="5"/>
      <c r="N66" s="5"/>
      <c r="O66" s="205">
        <f>IF(O65+1&lt;=MIN('Données projet'!$E$9:$E$18),O65+1,"STOP")</f>
        <v>33</v>
      </c>
      <c r="P66" s="195">
        <f t="shared" si="5"/>
        <v>24.800947928367865</v>
      </c>
      <c r="Q66" s="264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0">
        <f>'Données projet'!A75</f>
        <v>90</v>
      </c>
      <c r="B67" s="191">
        <f>'Données projet'!D75</f>
        <v>0</v>
      </c>
      <c r="C67" s="202"/>
      <c r="D67" s="189">
        <f t="shared" si="4"/>
        <v>0</v>
      </c>
      <c r="E67" s="204"/>
      <c r="F67" s="261"/>
      <c r="G67" s="221"/>
      <c r="H67" s="201"/>
      <c r="I67" s="202"/>
      <c r="J67" s="199"/>
      <c r="K67" s="181"/>
      <c r="L67" s="5"/>
      <c r="M67" s="5"/>
      <c r="N67" s="5"/>
      <c r="O67" s="205">
        <f>IF(O66+1&lt;=MIN('Données projet'!$E$9:$E$18),O66+1,"STOP")</f>
        <v>34</v>
      </c>
      <c r="P67" s="195">
        <f t="shared" si="5"/>
        <v>23.732964524753939</v>
      </c>
      <c r="Q67" s="264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0">
        <f>'Données projet'!A76</f>
        <v>100</v>
      </c>
      <c r="B68" s="191">
        <f>'Données projet'!D76</f>
        <v>42</v>
      </c>
      <c r="C68" s="202">
        <v>50</v>
      </c>
      <c r="D68" s="189">
        <f t="shared" si="4"/>
        <v>2100</v>
      </c>
      <c r="E68" s="204"/>
      <c r="F68" s="261"/>
      <c r="G68" s="221"/>
      <c r="H68" s="201"/>
      <c r="I68" s="202"/>
      <c r="J68" s="199"/>
      <c r="K68" s="181"/>
      <c r="L68" s="5"/>
      <c r="M68" s="5"/>
      <c r="N68" s="5"/>
      <c r="O68" s="205">
        <f>IF(O67+1&lt;=MIN('Données projet'!$E$9:$E$18),O67+1,"STOP")</f>
        <v>35</v>
      </c>
      <c r="P68" s="195">
        <f t="shared" si="5"/>
        <v>22.71097083708511</v>
      </c>
      <c r="Q68" s="264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0">
        <f>'Données projet'!A77</f>
        <v>110</v>
      </c>
      <c r="B69" s="191">
        <f>'Données projet'!D77</f>
        <v>0</v>
      </c>
      <c r="C69" s="202"/>
      <c r="D69" s="189">
        <f t="shared" si="4"/>
        <v>0</v>
      </c>
      <c r="E69" s="204"/>
      <c r="F69" s="261"/>
      <c r="G69" s="221"/>
      <c r="H69" s="201"/>
      <c r="I69" s="202"/>
      <c r="J69" s="199"/>
      <c r="K69" s="181"/>
      <c r="L69" s="5"/>
      <c r="M69" s="5"/>
      <c r="N69" s="5"/>
      <c r="O69" s="205">
        <f>IF(O68+1&lt;=MIN('Données projet'!$E$9:$E$18),O68+1,"STOP")</f>
        <v>36</v>
      </c>
      <c r="P69" s="195">
        <f t="shared" si="5"/>
        <v>21.732986446971399</v>
      </c>
      <c r="Q69" s="264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0">
        <f>'Données projet'!A78</f>
        <v>120</v>
      </c>
      <c r="B70" s="191">
        <f>'Données projet'!D78</f>
        <v>52</v>
      </c>
      <c r="C70" s="202">
        <v>60</v>
      </c>
      <c r="D70" s="189">
        <f t="shared" si="4"/>
        <v>3120</v>
      </c>
      <c r="E70" s="204"/>
      <c r="F70" s="261"/>
      <c r="G70" s="221"/>
      <c r="H70" s="201"/>
      <c r="I70" s="202"/>
      <c r="J70" s="199"/>
      <c r="K70" s="181"/>
      <c r="L70" s="5"/>
      <c r="M70" s="5"/>
      <c r="N70" s="5"/>
      <c r="O70" s="205">
        <f>IF(O69+1&lt;=MIN('Données projet'!$E$9:$E$18),O69+1,"STOP")</f>
        <v>37</v>
      </c>
      <c r="P70" s="195">
        <f t="shared" si="5"/>
        <v>20.797116217197512</v>
      </c>
      <c r="Q70" s="264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0">
        <f>'Données projet'!A79</f>
        <v>130</v>
      </c>
      <c r="B71" s="191">
        <f>'Données projet'!D79</f>
        <v>0</v>
      </c>
      <c r="C71" s="202"/>
      <c r="D71" s="189">
        <f t="shared" si="4"/>
        <v>0</v>
      </c>
      <c r="E71" s="204"/>
      <c r="F71" s="261"/>
      <c r="G71" s="221"/>
      <c r="H71" s="201"/>
      <c r="I71" s="202"/>
      <c r="J71" s="199"/>
      <c r="K71" s="181"/>
      <c r="L71" s="5"/>
      <c r="M71" s="5"/>
      <c r="N71" s="5"/>
      <c r="O71" s="205">
        <f>IF(O70+1&lt;=MIN('Données projet'!$E$9:$E$18),O70+1,"STOP")</f>
        <v>38</v>
      </c>
      <c r="P71" s="195">
        <f t="shared" si="5"/>
        <v>19.901546619327767</v>
      </c>
      <c r="Q71" s="264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0">
        <f>'Données projet'!A80</f>
        <v>140</v>
      </c>
      <c r="B72" s="191">
        <f>'Données projet'!D80</f>
        <v>0</v>
      </c>
      <c r="C72" s="202"/>
      <c r="D72" s="189">
        <f t="shared" si="4"/>
        <v>0</v>
      </c>
      <c r="E72" s="204"/>
      <c r="F72" s="261"/>
      <c r="G72" s="221"/>
      <c r="H72" s="201"/>
      <c r="I72" s="202"/>
      <c r="J72" s="5"/>
      <c r="K72" s="181"/>
      <c r="L72" s="5"/>
      <c r="M72" s="5"/>
      <c r="N72" s="5"/>
      <c r="O72" s="205">
        <f>IF(O71+1&lt;=MIN('Données projet'!$E$9:$E$18),O71+1,"STOP")</f>
        <v>39</v>
      </c>
      <c r="P72" s="195">
        <f t="shared" si="5"/>
        <v>19.04454221945241</v>
      </c>
      <c r="Q72" s="264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0">
        <f>'Données projet'!A81</f>
        <v>150</v>
      </c>
      <c r="B73" s="191">
        <f>'Données projet'!D81</f>
        <v>262</v>
      </c>
      <c r="C73" s="202">
        <v>100</v>
      </c>
      <c r="D73" s="189">
        <f t="shared" si="4"/>
        <v>26200</v>
      </c>
      <c r="E73" s="204"/>
      <c r="F73" s="261"/>
      <c r="G73" s="221"/>
      <c r="H73" s="201"/>
      <c r="I73" s="202"/>
      <c r="J73" s="5"/>
      <c r="K73" s="181"/>
      <c r="L73" s="5"/>
      <c r="M73" s="5"/>
      <c r="N73" s="5"/>
      <c r="O73" s="205">
        <f>IF(O72+1&lt;=MIN('Données projet'!$E$9:$E$18),O72+1,"STOP")</f>
        <v>40</v>
      </c>
      <c r="P73" s="195">
        <f t="shared" si="5"/>
        <v>18.224442315265467</v>
      </c>
      <c r="Q73" s="264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59"/>
      <c r="G74" s="221"/>
      <c r="H74" s="201"/>
      <c r="I74" s="202"/>
      <c r="J74" s="5"/>
      <c r="K74" s="181"/>
      <c r="L74" s="5"/>
      <c r="M74" s="5"/>
      <c r="N74" s="5"/>
      <c r="O74" s="205">
        <f>IF(O73+1&lt;=MIN('Données projet'!$E$9:$E$18),O73+1,"STOP")</f>
        <v>41</v>
      </c>
      <c r="P74" s="195">
        <f t="shared" si="5"/>
        <v>17.439657717957388</v>
      </c>
      <c r="Q74" s="264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59"/>
      <c r="G75" s="221"/>
      <c r="H75" s="201"/>
      <c r="I75" s="202"/>
      <c r="J75" s="5"/>
      <c r="K75" s="181"/>
      <c r="L75" s="5"/>
      <c r="M75" s="5"/>
      <c r="N75" s="5"/>
      <c r="O75" s="205">
        <f>IF(O74+1&lt;=MIN('Données projet'!$E$9:$E$18),O74+1,"STOP")</f>
        <v>42</v>
      </c>
      <c r="P75" s="195">
        <f t="shared" si="5"/>
        <v>16.688667672686499</v>
      </c>
      <c r="Q75" s="264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4" t="str">
        <f>IF('Données projet'!B11="","",'Données projet'!B11)</f>
        <v>Cormier</v>
      </c>
      <c r="C76" s="5"/>
      <c r="D76" s="5"/>
      <c r="E76" s="5"/>
      <c r="F76" s="259"/>
      <c r="G76" s="221"/>
      <c r="H76" s="201"/>
      <c r="I76" s="202"/>
      <c r="J76" s="5"/>
      <c r="K76" s="181"/>
      <c r="L76" s="5"/>
      <c r="M76" s="5"/>
      <c r="N76" s="5"/>
      <c r="O76" s="205">
        <f>IF(O75+1&lt;=MIN('Données projet'!$E$9:$E$18),O75+1,"STOP")</f>
        <v>43</v>
      </c>
      <c r="P76" s="195">
        <f t="shared" si="5"/>
        <v>15.97001691166172</v>
      </c>
      <c r="Q76" s="264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59"/>
      <c r="G77" s="221"/>
      <c r="H77" s="201"/>
      <c r="I77" s="202"/>
      <c r="J77" s="5"/>
      <c r="K77" s="181"/>
      <c r="L77" s="5"/>
      <c r="M77" s="5"/>
      <c r="N77" s="5"/>
      <c r="O77" s="205">
        <f>IF(O76+1&lt;=MIN('Données projet'!$E$9:$E$18),O76+1,"STOP")</f>
        <v>44</v>
      </c>
      <c r="P77" s="195">
        <f t="shared" si="5"/>
        <v>15.282312834126051</v>
      </c>
      <c r="Q77" s="264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5" t="s">
        <v>180</v>
      </c>
      <c r="B78" s="51" t="s">
        <v>256</v>
      </c>
      <c r="C78" s="51" t="s">
        <v>255</v>
      </c>
      <c r="D78" s="255" t="s">
        <v>252</v>
      </c>
      <c r="E78" s="255" t="s">
        <v>320</v>
      </c>
      <c r="F78" s="260"/>
      <c r="G78" s="221"/>
      <c r="H78" s="201"/>
      <c r="I78" s="202"/>
      <c r="J78" s="5"/>
      <c r="K78" s="181"/>
      <c r="L78" s="5"/>
      <c r="M78" s="5"/>
      <c r="N78" s="5"/>
      <c r="O78" s="205">
        <f>IF(O77+1&lt;=MIN('Données projet'!$E$9:$E$18),O77+1,"STOP")</f>
        <v>45</v>
      </c>
      <c r="P78" s="195">
        <f t="shared" si="5"/>
        <v>14.624222807776125</v>
      </c>
      <c r="Q78" s="264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08">
        <v>0</v>
      </c>
      <c r="B79" s="211" t="s">
        <v>132</v>
      </c>
      <c r="C79" s="210" t="s">
        <v>132</v>
      </c>
      <c r="D79" s="209" t="s">
        <v>132</v>
      </c>
      <c r="E79" s="204"/>
      <c r="F79" s="260"/>
      <c r="G79" s="221"/>
      <c r="H79" s="201"/>
      <c r="I79" s="202"/>
      <c r="J79" s="5"/>
      <c r="K79" s="181"/>
      <c r="L79" s="5"/>
      <c r="M79" s="5"/>
      <c r="N79" s="5"/>
      <c r="O79" s="205">
        <f>IF(O78+1&lt;=MIN('Données projet'!$E$9:$E$18),O78+1,"STOP")</f>
        <v>46</v>
      </c>
      <c r="P79" s="195">
        <f t="shared" si="5"/>
        <v>13.99447158638864</v>
      </c>
      <c r="Q79" s="264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08">
        <v>1</v>
      </c>
      <c r="B80" s="211" t="s">
        <v>132</v>
      </c>
      <c r="C80" s="210" t="s">
        <v>132</v>
      </c>
      <c r="D80" s="209" t="s">
        <v>132</v>
      </c>
      <c r="E80" s="204"/>
      <c r="F80" s="260"/>
      <c r="G80" s="219"/>
      <c r="H80" s="201"/>
      <c r="I80" s="202"/>
      <c r="J80" s="5"/>
      <c r="K80" s="181"/>
      <c r="L80" s="5"/>
      <c r="M80" s="5"/>
      <c r="N80" s="5"/>
      <c r="O80" s="205">
        <f>IF(O79+1&lt;=MIN('Données projet'!$E$9:$E$18),O79+1,"STOP")</f>
        <v>47</v>
      </c>
      <c r="P80" s="195">
        <f t="shared" si="5"/>
        <v>13.391838838649415</v>
      </c>
      <c r="Q80" s="264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08">
        <v>2</v>
      </c>
      <c r="B81" s="211" t="s">
        <v>132</v>
      </c>
      <c r="C81" s="210" t="s">
        <v>132</v>
      </c>
      <c r="D81" s="209" t="s">
        <v>132</v>
      </c>
      <c r="E81" s="204"/>
      <c r="F81" s="260"/>
      <c r="G81" s="219"/>
      <c r="H81" s="201"/>
      <c r="I81" s="202"/>
      <c r="J81" s="5"/>
      <c r="K81" s="181"/>
      <c r="L81" s="5"/>
      <c r="M81" s="5"/>
      <c r="N81" s="5"/>
      <c r="O81" s="205">
        <f>IF(O80+1&lt;=MIN('Données projet'!$E$9:$E$18),O80+1,"STOP")</f>
        <v>48</v>
      </c>
      <c r="P81" s="195">
        <f t="shared" si="5"/>
        <v>12.815156783396574</v>
      </c>
      <c r="Q81" s="264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08">
        <v>3</v>
      </c>
      <c r="B82" s="211" t="s">
        <v>132</v>
      </c>
      <c r="C82" s="210" t="s">
        <v>132</v>
      </c>
      <c r="D82" s="209" t="s">
        <v>132</v>
      </c>
      <c r="E82" s="204"/>
      <c r="F82" s="260"/>
      <c r="G82" s="219"/>
      <c r="H82" s="201"/>
      <c r="I82" s="202"/>
      <c r="J82" s="5"/>
      <c r="K82" s="181"/>
      <c r="L82" s="5"/>
      <c r="M82" s="5"/>
      <c r="N82" s="5"/>
      <c r="O82" s="205">
        <f>IF(O81+1&lt;=MIN('Données projet'!$E$9:$E$18),O81+1,"STOP")</f>
        <v>49</v>
      </c>
      <c r="P82" s="195">
        <f t="shared" si="5"/>
        <v>12.263307926695285</v>
      </c>
      <c r="Q82" s="264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08">
        <v>4</v>
      </c>
      <c r="B83" s="211" t="s">
        <v>132</v>
      </c>
      <c r="C83" s="210" t="s">
        <v>132</v>
      </c>
      <c r="D83" s="209" t="s">
        <v>132</v>
      </c>
      <c r="E83" s="204"/>
      <c r="F83" s="260"/>
      <c r="G83" s="219"/>
      <c r="H83" s="201"/>
      <c r="I83" s="202"/>
      <c r="J83" s="5"/>
      <c r="K83" s="181"/>
      <c r="L83" s="5"/>
      <c r="M83" s="5"/>
      <c r="N83" s="5"/>
      <c r="O83" s="205">
        <f>IF(O82+1&lt;=MIN('Données projet'!$E$9:$E$18),O82+1,"STOP")</f>
        <v>50</v>
      </c>
      <c r="P83" s="195">
        <f t="shared" si="5"/>
        <v>11.735222896359128</v>
      </c>
      <c r="Q83" s="264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08">
        <v>5</v>
      </c>
      <c r="B84" s="211" t="s">
        <v>132</v>
      </c>
      <c r="C84" s="210" t="s">
        <v>132</v>
      </c>
      <c r="D84" s="209" t="s">
        <v>132</v>
      </c>
      <c r="E84" s="204"/>
      <c r="F84" s="260"/>
      <c r="G84" s="220"/>
      <c r="H84" s="201"/>
      <c r="I84" s="202"/>
      <c r="J84" s="5"/>
      <c r="K84" s="181"/>
      <c r="L84" s="5"/>
      <c r="M84" s="5"/>
      <c r="N84" s="5"/>
      <c r="O84" s="205">
        <f>IF(O83+1&lt;=MIN('Données projet'!$E$9:$E$18),O83+1,"STOP")</f>
        <v>51</v>
      </c>
      <c r="P84" s="195">
        <f t="shared" si="5"/>
        <v>11.229878369721654</v>
      </c>
      <c r="Q84" s="264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0">
        <f>'Données projet'!A88</f>
        <v>25</v>
      </c>
      <c r="B85" s="191">
        <f>'Données projet'!D88</f>
        <v>0</v>
      </c>
      <c r="C85" s="202"/>
      <c r="D85" s="189">
        <f>B85*C85</f>
        <v>0</v>
      </c>
      <c r="E85" s="204"/>
      <c r="F85" s="261"/>
      <c r="G85" s="220"/>
      <c r="H85" s="201"/>
      <c r="I85" s="202"/>
      <c r="J85" s="5"/>
      <c r="K85" s="181"/>
      <c r="L85" s="5"/>
      <c r="M85" s="5"/>
      <c r="N85" s="5"/>
      <c r="O85" s="205">
        <f>IF(O84+1&lt;=MIN('Données projet'!$E$9:$E$18),O84+1,"STOP")</f>
        <v>52</v>
      </c>
      <c r="P85" s="195">
        <f t="shared" si="5"/>
        <v>10.746295090642732</v>
      </c>
      <c r="Q85" s="264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0">
        <f>'Données projet'!A89</f>
        <v>30</v>
      </c>
      <c r="B86" s="191">
        <f>'Données projet'!D89</f>
        <v>0</v>
      </c>
      <c r="C86" s="202"/>
      <c r="D86" s="189">
        <f t="shared" ref="D86:D104" si="6">B86*C86</f>
        <v>0</v>
      </c>
      <c r="E86" s="204"/>
      <c r="F86" s="261"/>
      <c r="G86" s="220"/>
      <c r="H86" s="201"/>
      <c r="I86" s="202"/>
      <c r="J86" s="5"/>
      <c r="K86" s="181"/>
      <c r="L86" s="5"/>
      <c r="M86" s="5"/>
      <c r="N86" s="5"/>
      <c r="O86" s="205">
        <f>IF(O85+1&lt;=MIN('Données projet'!$E$9:$E$18),O85+1,"STOP")</f>
        <v>53</v>
      </c>
      <c r="P86" s="195">
        <f t="shared" si="5"/>
        <v>10.283535971906922</v>
      </c>
      <c r="Q86" s="264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0">
        <f>'Données projet'!A90</f>
        <v>35</v>
      </c>
      <c r="B87" s="191">
        <f>'Données projet'!D90</f>
        <v>13</v>
      </c>
      <c r="C87" s="202">
        <v>10</v>
      </c>
      <c r="D87" s="189">
        <f t="shared" si="6"/>
        <v>130</v>
      </c>
      <c r="E87" s="204"/>
      <c r="F87" s="261"/>
      <c r="G87" s="220"/>
      <c r="H87" s="201"/>
      <c r="I87" s="202"/>
      <c r="J87" s="5"/>
      <c r="K87" s="181"/>
      <c r="L87" s="5"/>
      <c r="M87" s="5"/>
      <c r="N87" s="5"/>
      <c r="O87" s="205">
        <f>IF(O86+1&lt;=MIN('Données projet'!$E$9:$E$18),O86+1,"STOP")</f>
        <v>54</v>
      </c>
      <c r="P87" s="195">
        <f t="shared" si="5"/>
        <v>9.8407042793367712</v>
      </c>
      <c r="Q87" s="264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0">
        <f>'Données projet'!A91</f>
        <v>40</v>
      </c>
      <c r="B88" s="191">
        <f>'Données projet'!D91</f>
        <v>0</v>
      </c>
      <c r="C88" s="202"/>
      <c r="D88" s="189">
        <f t="shared" si="6"/>
        <v>0</v>
      </c>
      <c r="E88" s="204"/>
      <c r="F88" s="261"/>
      <c r="G88" s="220"/>
      <c r="H88" s="201"/>
      <c r="I88" s="202"/>
      <c r="J88" s="5"/>
      <c r="K88" s="181"/>
      <c r="L88" s="5"/>
      <c r="M88" s="5"/>
      <c r="N88" s="5"/>
      <c r="O88" s="205">
        <f>IF(O87+1&lt;=MIN('Données projet'!$E$9:$E$18),O87+1,"STOP")</f>
        <v>55</v>
      </c>
      <c r="P88" s="195">
        <f t="shared" si="5"/>
        <v>9.4169418941021714</v>
      </c>
      <c r="Q88" s="264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0">
        <f>'Données projet'!A92</f>
        <v>45</v>
      </c>
      <c r="B89" s="191">
        <f>'Données projet'!D92</f>
        <v>28</v>
      </c>
      <c r="C89" s="202">
        <v>10</v>
      </c>
      <c r="D89" s="189">
        <f t="shared" si="6"/>
        <v>280</v>
      </c>
      <c r="E89" s="204"/>
      <c r="F89" s="261"/>
      <c r="G89" s="220"/>
      <c r="H89" s="201"/>
      <c r="I89" s="202"/>
      <c r="J89" s="5"/>
      <c r="K89" s="181"/>
      <c r="L89" s="5"/>
      <c r="M89" s="5"/>
      <c r="N89" s="5"/>
      <c r="O89" s="205">
        <f>IF(O88+1&lt;=MIN('Données projet'!$E$9:$E$18),O88+1,"STOP")</f>
        <v>56</v>
      </c>
      <c r="P89" s="195">
        <f t="shared" si="5"/>
        <v>9.0114276498585397</v>
      </c>
      <c r="Q89" s="264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0">
        <f>'Données projet'!A93</f>
        <v>50</v>
      </c>
      <c r="B90" s="191">
        <f>'Données projet'!D93</f>
        <v>0</v>
      </c>
      <c r="C90" s="202"/>
      <c r="D90" s="189">
        <f t="shared" si="6"/>
        <v>0</v>
      </c>
      <c r="E90" s="204"/>
      <c r="F90" s="261"/>
      <c r="G90" s="220"/>
      <c r="H90" s="201"/>
      <c r="I90" s="202"/>
      <c r="J90" s="5"/>
      <c r="K90" s="181"/>
      <c r="L90" s="5"/>
      <c r="M90" s="5"/>
      <c r="N90" s="5"/>
      <c r="O90" s="205">
        <f>IF(O89+1&lt;=MIN('Données projet'!$E$9:$E$18),O89+1,"STOP")</f>
        <v>57</v>
      </c>
      <c r="P90" s="195">
        <f t="shared" si="5"/>
        <v>8.6233757414914258</v>
      </c>
      <c r="Q90" s="264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0">
        <f>'Données projet'!A94</f>
        <v>55</v>
      </c>
      <c r="B91" s="191">
        <f>'Données projet'!D94</f>
        <v>28</v>
      </c>
      <c r="C91" s="202">
        <v>15</v>
      </c>
      <c r="D91" s="189">
        <f t="shared" si="6"/>
        <v>420</v>
      </c>
      <c r="E91" s="204"/>
      <c r="F91" s="261"/>
      <c r="G91" s="221"/>
      <c r="H91" s="201"/>
      <c r="I91" s="202"/>
      <c r="J91" s="5"/>
      <c r="K91" s="181"/>
      <c r="L91" s="5"/>
      <c r="M91" s="5"/>
      <c r="N91" s="5"/>
      <c r="O91" s="205">
        <f>IF(O90+1&lt;=MIN('Données projet'!$E$9:$E$18),O90+1,"STOP")</f>
        <v>58</v>
      </c>
      <c r="P91" s="195">
        <f t="shared" si="5"/>
        <v>8.2520342023841415</v>
      </c>
      <c r="Q91" s="264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0">
        <f>'Données projet'!A95</f>
        <v>60</v>
      </c>
      <c r="B92" s="191">
        <f>'Données projet'!D95</f>
        <v>0</v>
      </c>
      <c r="C92" s="202"/>
      <c r="D92" s="189">
        <f t="shared" si="6"/>
        <v>0</v>
      </c>
      <c r="E92" s="204"/>
      <c r="F92" s="261"/>
      <c r="G92" s="221"/>
      <c r="H92" s="201"/>
      <c r="I92" s="202"/>
      <c r="J92" s="5"/>
      <c r="K92" s="181"/>
      <c r="L92" s="5"/>
      <c r="M92" s="5"/>
      <c r="N92" s="5"/>
      <c r="O92" s="205">
        <f>IF(O91+1&lt;=MIN('Données projet'!$E$9:$E$18),O91+1,"STOP")</f>
        <v>59</v>
      </c>
      <c r="P92" s="195">
        <f t="shared" si="5"/>
        <v>7.8966834472575522</v>
      </c>
      <c r="Q92" s="264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0">
        <f>'Données projet'!A96</f>
        <v>65</v>
      </c>
      <c r="B93" s="191">
        <f>'Données projet'!D96</f>
        <v>28</v>
      </c>
      <c r="C93" s="202">
        <v>20</v>
      </c>
      <c r="D93" s="189">
        <f t="shared" si="6"/>
        <v>560</v>
      </c>
      <c r="E93" s="204"/>
      <c r="F93" s="261"/>
      <c r="G93" s="221"/>
      <c r="H93" s="201"/>
      <c r="I93" s="202"/>
      <c r="J93" s="5"/>
      <c r="K93" s="181"/>
      <c r="L93" s="5"/>
      <c r="M93" s="5"/>
      <c r="N93" s="5"/>
      <c r="O93" s="205">
        <f>IF(O92+1&lt;=MIN('Données projet'!$E$9:$E$18),O92+1,"STOP")</f>
        <v>60</v>
      </c>
      <c r="P93" s="195">
        <f t="shared" si="5"/>
        <v>7.556634877758424</v>
      </c>
      <c r="Q93" s="264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0">
        <f>'Données projet'!A97</f>
        <v>70</v>
      </c>
      <c r="B94" s="191">
        <f>'Données projet'!D97</f>
        <v>0</v>
      </c>
      <c r="C94" s="202"/>
      <c r="D94" s="189">
        <f t="shared" si="6"/>
        <v>0</v>
      </c>
      <c r="E94" s="204"/>
      <c r="F94" s="261"/>
      <c r="G94" s="221"/>
      <c r="H94" s="201"/>
      <c r="I94" s="202"/>
      <c r="J94" s="5"/>
      <c r="K94" s="181"/>
      <c r="L94" s="5"/>
      <c r="M94" s="5"/>
      <c r="N94" s="5"/>
      <c r="O94" s="205">
        <f>IF(O93+1&lt;=MIN('Données projet'!$E$9:$E$18),O93+1,"STOP")</f>
        <v>61</v>
      </c>
      <c r="P94" s="195">
        <f t="shared" si="5"/>
        <v>7.2312295480941851</v>
      </c>
      <c r="Q94" s="264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0">
        <f>'Données projet'!A98</f>
        <v>75</v>
      </c>
      <c r="B95" s="191">
        <f>'Données projet'!D98</f>
        <v>28</v>
      </c>
      <c r="C95" s="202">
        <v>30</v>
      </c>
      <c r="D95" s="189">
        <f t="shared" si="6"/>
        <v>840</v>
      </c>
      <c r="E95" s="204"/>
      <c r="F95" s="261"/>
      <c r="G95" s="221"/>
      <c r="H95" s="201"/>
      <c r="I95" s="202"/>
      <c r="J95" s="5"/>
      <c r="K95" s="181"/>
      <c r="L95" s="5"/>
      <c r="M95" s="5"/>
      <c r="N95" s="5"/>
      <c r="O95" s="205">
        <f>IF(O94+1&lt;=MIN('Données projet'!$E$9:$E$18),O94+1,"STOP")</f>
        <v>62</v>
      </c>
      <c r="P95" s="195">
        <f t="shared" si="5"/>
        <v>6.9198368881284091</v>
      </c>
      <c r="Q95" s="264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0">
        <f>'Données projet'!A99</f>
        <v>80</v>
      </c>
      <c r="B96" s="191">
        <f>'Données projet'!D99</f>
        <v>0</v>
      </c>
      <c r="C96" s="202"/>
      <c r="D96" s="189">
        <f t="shared" si="6"/>
        <v>0</v>
      </c>
      <c r="E96" s="204"/>
      <c r="F96" s="261"/>
      <c r="G96" s="221"/>
      <c r="H96" s="201"/>
      <c r="I96" s="202"/>
      <c r="J96" s="5"/>
      <c r="K96" s="181"/>
      <c r="L96" s="5"/>
      <c r="M96" s="5"/>
      <c r="N96" s="5"/>
      <c r="O96" s="205">
        <f>IF(O95+1&lt;=MIN('Données projet'!$E$9:$E$18),O95+1,"STOP")</f>
        <v>63</v>
      </c>
      <c r="P96" s="195">
        <f t="shared" si="5"/>
        <v>6.6218534814625913</v>
      </c>
      <c r="Q96" s="264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0">
        <f>'Données projet'!A100</f>
        <v>85</v>
      </c>
      <c r="B97" s="191">
        <f>'Données projet'!D100</f>
        <v>28</v>
      </c>
      <c r="C97" s="202">
        <v>40</v>
      </c>
      <c r="D97" s="189">
        <f t="shared" si="6"/>
        <v>1120</v>
      </c>
      <c r="E97" s="204"/>
      <c r="F97" s="261"/>
      <c r="G97" s="221"/>
      <c r="H97" s="201"/>
      <c r="I97" s="202"/>
      <c r="J97" s="5"/>
      <c r="K97" s="181"/>
      <c r="L97" s="5"/>
      <c r="M97" s="5"/>
      <c r="N97" s="5"/>
      <c r="O97" s="205">
        <f>IF(O96+1&lt;=MIN('Données projet'!$E$9:$E$18),O96+1,"STOP")</f>
        <v>64</v>
      </c>
      <c r="P97" s="195">
        <f t="shared" ref="P97:P128" si="7">$P$25/(1+$M$4)^O97</f>
        <v>6.3367018961364545</v>
      </c>
      <c r="Q97" s="264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0">
        <f>'Données projet'!A101</f>
        <v>90</v>
      </c>
      <c r="B98" s="191">
        <f>'Données projet'!D101</f>
        <v>0</v>
      </c>
      <c r="C98" s="202"/>
      <c r="D98" s="189">
        <f t="shared" si="6"/>
        <v>0</v>
      </c>
      <c r="E98" s="204"/>
      <c r="F98" s="261"/>
      <c r="G98" s="221"/>
      <c r="H98" s="201"/>
      <c r="I98" s="202"/>
      <c r="J98" s="5"/>
      <c r="K98" s="181"/>
      <c r="L98" s="5"/>
      <c r="M98" s="5"/>
      <c r="N98" s="5"/>
      <c r="O98" s="205">
        <f>IF(O97+1&lt;=MIN('Données projet'!$E$9:$E$18),O97+1,"STOP")</f>
        <v>65</v>
      </c>
      <c r="P98" s="195">
        <f t="shared" si="7"/>
        <v>6.0638295656808179</v>
      </c>
      <c r="Q98" s="264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0">
        <f>'Données projet'!A102</f>
        <v>100</v>
      </c>
      <c r="B99" s="191">
        <f>'Données projet'!D102</f>
        <v>42</v>
      </c>
      <c r="C99" s="202">
        <v>50</v>
      </c>
      <c r="D99" s="189">
        <f t="shared" si="6"/>
        <v>2100</v>
      </c>
      <c r="E99" s="204"/>
      <c r="F99" s="261"/>
      <c r="G99" s="221"/>
      <c r="H99" s="201"/>
      <c r="I99" s="202"/>
      <c r="J99" s="5"/>
      <c r="K99" s="181"/>
      <c r="L99" s="5"/>
      <c r="M99" s="5"/>
      <c r="N99" s="5"/>
      <c r="O99" s="205">
        <f>IF(O98+1&lt;=MIN('Données projet'!$E$9:$E$18),O98+1,"STOP")</f>
        <v>66</v>
      </c>
      <c r="P99" s="195">
        <f t="shared" si="7"/>
        <v>5.802707718354851</v>
      </c>
      <c r="Q99" s="264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0">
        <f>'Données projet'!A103</f>
        <v>110</v>
      </c>
      <c r="B100" s="191">
        <f>'Données projet'!D103</f>
        <v>0</v>
      </c>
      <c r="C100" s="202"/>
      <c r="D100" s="189">
        <f t="shared" si="6"/>
        <v>0</v>
      </c>
      <c r="E100" s="204"/>
      <c r="F100" s="261"/>
      <c r="G100" s="221"/>
      <c r="H100" s="201"/>
      <c r="I100" s="202"/>
      <c r="J100" s="5"/>
      <c r="K100" s="181"/>
      <c r="L100" s="5"/>
      <c r="M100" s="5"/>
      <c r="N100" s="5"/>
      <c r="O100" s="205">
        <f>IF(O99+1&lt;=MIN('Données projet'!$E$9:$E$18),O99+1,"STOP")</f>
        <v>67</v>
      </c>
      <c r="P100" s="195">
        <f t="shared" si="7"/>
        <v>5.5528303524926805</v>
      </c>
      <c r="Q100" s="264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0">
        <f>'Données projet'!A104</f>
        <v>120</v>
      </c>
      <c r="B101" s="191">
        <f>'Données projet'!D104</f>
        <v>52</v>
      </c>
      <c r="C101" s="202">
        <v>60</v>
      </c>
      <c r="D101" s="189">
        <f t="shared" si="6"/>
        <v>3120</v>
      </c>
      <c r="E101" s="204"/>
      <c r="F101" s="261"/>
      <c r="G101" s="221"/>
      <c r="H101" s="201"/>
      <c r="I101" s="202"/>
      <c r="J101" s="5"/>
      <c r="K101" s="181"/>
      <c r="L101" s="5"/>
      <c r="M101" s="5"/>
      <c r="N101" s="5"/>
      <c r="O101" s="205">
        <f>IF(O100+1&lt;=MIN('Données projet'!$E$9:$E$18),O100+1,"STOP")</f>
        <v>68</v>
      </c>
      <c r="P101" s="195">
        <f t="shared" si="7"/>
        <v>5.313713255973858</v>
      </c>
      <c r="Q101" s="264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0">
        <f>'Données projet'!A105</f>
        <v>130</v>
      </c>
      <c r="B102" s="191">
        <f>'Données projet'!D105</f>
        <v>0</v>
      </c>
      <c r="C102" s="202"/>
      <c r="D102" s="189">
        <f t="shared" si="6"/>
        <v>0</v>
      </c>
      <c r="E102" s="204"/>
      <c r="F102" s="261"/>
      <c r="G102" s="221"/>
      <c r="H102" s="201"/>
      <c r="I102" s="202"/>
      <c r="J102" s="5"/>
      <c r="K102" s="181"/>
      <c r="L102" s="5"/>
      <c r="M102" s="5"/>
      <c r="N102" s="5"/>
      <c r="O102" s="205">
        <f>IF(O101+1&lt;=MIN('Données projet'!$E$9:$E$18),O101+1,"STOP")</f>
        <v>69</v>
      </c>
      <c r="P102" s="195">
        <f t="shared" si="7"/>
        <v>5.0848930679175677</v>
      </c>
      <c r="Q102" s="264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0">
        <f>'Données projet'!A106</f>
        <v>140</v>
      </c>
      <c r="B103" s="191">
        <f>'Données projet'!D106</f>
        <v>0</v>
      </c>
      <c r="C103" s="202"/>
      <c r="D103" s="189">
        <f t="shared" si="6"/>
        <v>0</v>
      </c>
      <c r="E103" s="204"/>
      <c r="F103" s="261"/>
      <c r="G103" s="221"/>
      <c r="H103" s="201"/>
      <c r="I103" s="202"/>
      <c r="J103" s="5"/>
      <c r="K103" s="181"/>
      <c r="L103" s="5"/>
      <c r="M103" s="5"/>
      <c r="N103" s="5"/>
      <c r="O103" s="205">
        <f>IF(O102+1&lt;=MIN('Données projet'!$E$9:$E$18),O102+1,"STOP")</f>
        <v>70</v>
      </c>
      <c r="P103" s="195">
        <f t="shared" si="7"/>
        <v>4.8659263807823621</v>
      </c>
      <c r="Q103" s="264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0">
        <f>'Données projet'!A107</f>
        <v>150</v>
      </c>
      <c r="B104" s="191">
        <f>'Données projet'!D107</f>
        <v>262</v>
      </c>
      <c r="C104" s="202">
        <v>100</v>
      </c>
      <c r="D104" s="189">
        <f t="shared" si="6"/>
        <v>26200</v>
      </c>
      <c r="E104" s="204"/>
      <c r="F104" s="261"/>
      <c r="G104" s="221"/>
      <c r="H104" s="201"/>
      <c r="I104" s="202"/>
      <c r="J104" s="5"/>
      <c r="K104" s="181"/>
      <c r="L104" s="5"/>
      <c r="M104" s="5"/>
      <c r="N104" s="5"/>
      <c r="O104" s="205">
        <f>IF(O103+1&lt;=MIN('Données projet'!$E$9:$E$18),O103+1,"STOP")</f>
        <v>71</v>
      </c>
      <c r="P104" s="195">
        <f t="shared" si="7"/>
        <v>4.6563888811314476</v>
      </c>
      <c r="Q104" s="264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59"/>
      <c r="G105" s="221"/>
      <c r="H105" s="201"/>
      <c r="I105" s="202"/>
      <c r="J105" s="5"/>
      <c r="K105" s="181"/>
      <c r="L105" s="5"/>
      <c r="M105" s="5"/>
      <c r="N105" s="5"/>
      <c r="O105" s="205">
        <f>IF(O104+1&lt;=MIN('Données projet'!$E$9:$E$18),O104+1,"STOP")</f>
        <v>72</v>
      </c>
      <c r="P105" s="195">
        <f t="shared" si="7"/>
        <v>4.4558745273985156</v>
      </c>
      <c r="Q105" s="264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59"/>
      <c r="G106" s="221"/>
      <c r="H106" s="201"/>
      <c r="I106" s="202"/>
      <c r="J106" s="5"/>
      <c r="K106" s="181"/>
      <c r="L106" s="5"/>
      <c r="M106" s="5"/>
      <c r="N106" s="5"/>
      <c r="O106" s="205">
        <f>IF(O105+1&lt;=MIN('Données projet'!$E$9:$E$18),O105+1,"STOP")</f>
        <v>73</v>
      </c>
      <c r="P106" s="195">
        <f t="shared" si="7"/>
        <v>4.2639947630607802</v>
      </c>
      <c r="Q106" s="264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4" t="str">
        <f>IF('Données projet'!B12="","",'Données projet'!B12)</f>
        <v>Micocoulier de Provence</v>
      </c>
      <c r="C107" s="5"/>
      <c r="D107" s="5"/>
      <c r="E107" s="5"/>
      <c r="F107" s="259"/>
      <c r="G107" s="221"/>
      <c r="H107" s="201"/>
      <c r="I107" s="202"/>
      <c r="J107" s="5"/>
      <c r="K107" s="181"/>
      <c r="L107" s="5"/>
      <c r="M107" s="5"/>
      <c r="N107" s="5"/>
      <c r="O107" s="205">
        <f>IF(O106+1&lt;=MIN('Données projet'!$E$9:$E$18),O106+1,"STOP")</f>
        <v>74</v>
      </c>
      <c r="P107" s="195">
        <f t="shared" si="7"/>
        <v>4.0803777636945275</v>
      </c>
      <c r="Q107" s="264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59"/>
      <c r="G108" s="221"/>
      <c r="H108" s="201"/>
      <c r="I108" s="202"/>
      <c r="J108" s="5"/>
      <c r="K108" s="181"/>
      <c r="L108" s="5"/>
      <c r="M108" s="5"/>
      <c r="N108" s="5"/>
      <c r="O108" s="205">
        <f>IF(O107+1&lt;=MIN('Données projet'!$E$9:$E$18),O107+1,"STOP")</f>
        <v>75</v>
      </c>
      <c r="P108" s="195">
        <f t="shared" si="7"/>
        <v>3.9046677164540928</v>
      </c>
      <c r="Q108" s="264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5" t="s">
        <v>180</v>
      </c>
      <c r="B109" s="51" t="s">
        <v>256</v>
      </c>
      <c r="C109" s="51" t="s">
        <v>255</v>
      </c>
      <c r="D109" s="255" t="s">
        <v>252</v>
      </c>
      <c r="E109" s="255" t="s">
        <v>320</v>
      </c>
      <c r="F109" s="260"/>
      <c r="G109" s="221"/>
      <c r="H109" s="201"/>
      <c r="I109" s="202"/>
      <c r="J109" s="5"/>
      <c r="K109" s="181"/>
      <c r="L109" s="5"/>
      <c r="M109" s="5"/>
      <c r="N109" s="5"/>
      <c r="O109" s="205">
        <f>IF(O108+1&lt;=MIN('Données projet'!$E$9:$E$18),O108+1,"STOP")</f>
        <v>76</v>
      </c>
      <c r="P109" s="195">
        <f t="shared" si="7"/>
        <v>3.7365241305780801</v>
      </c>
      <c r="Q109" s="264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08">
        <v>0</v>
      </c>
      <c r="B110" s="211" t="s">
        <v>132</v>
      </c>
      <c r="C110" s="210" t="s">
        <v>132</v>
      </c>
      <c r="D110" s="209" t="s">
        <v>132</v>
      </c>
      <c r="E110" s="204"/>
      <c r="F110" s="260"/>
      <c r="G110" s="221"/>
      <c r="H110" s="201"/>
      <c r="I110" s="202"/>
      <c r="J110" s="5"/>
      <c r="K110" s="181"/>
      <c r="L110" s="5"/>
      <c r="M110" s="5"/>
      <c r="N110" s="5"/>
      <c r="O110" s="205">
        <f>IF(O109+1&lt;=MIN('Données projet'!$E$9:$E$18),O109+1,"STOP")</f>
        <v>77</v>
      </c>
      <c r="P110" s="195">
        <f t="shared" si="7"/>
        <v>3.5756211775866795</v>
      </c>
      <c r="Q110" s="264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08">
        <v>1</v>
      </c>
      <c r="B111" s="211" t="s">
        <v>132</v>
      </c>
      <c r="C111" s="210" t="s">
        <v>132</v>
      </c>
      <c r="D111" s="209" t="s">
        <v>132</v>
      </c>
      <c r="E111" s="204"/>
      <c r="F111" s="260"/>
      <c r="G111" s="219"/>
      <c r="H111" s="201"/>
      <c r="I111" s="202"/>
      <c r="J111" s="5"/>
      <c r="K111" s="181"/>
      <c r="L111" s="5"/>
      <c r="M111" s="5"/>
      <c r="N111" s="5"/>
      <c r="O111" s="205">
        <f>IF(O110+1&lt;=MIN('Données projet'!$E$9:$E$18),O110+1,"STOP")</f>
        <v>78</v>
      </c>
      <c r="P111" s="195">
        <f t="shared" si="7"/>
        <v>3.4216470598915603</v>
      </c>
      <c r="Q111" s="264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08">
        <v>2</v>
      </c>
      <c r="B112" s="211" t="s">
        <v>132</v>
      </c>
      <c r="C112" s="210" t="s">
        <v>132</v>
      </c>
      <c r="D112" s="209" t="s">
        <v>132</v>
      </c>
      <c r="E112" s="204"/>
      <c r="F112" s="260"/>
      <c r="G112" s="219"/>
      <c r="H112" s="201"/>
      <c r="I112" s="202"/>
      <c r="J112" s="5"/>
      <c r="K112" s="181"/>
      <c r="L112" s="5"/>
      <c r="M112" s="5"/>
      <c r="N112" s="5"/>
      <c r="O112" s="205">
        <f>IF(O111+1&lt;=MIN('Données projet'!$E$9:$E$18),O111+1,"STOP")</f>
        <v>79</v>
      </c>
      <c r="P112" s="195">
        <f t="shared" si="7"/>
        <v>3.2743034065947945</v>
      </c>
      <c r="Q112" s="264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08">
        <v>3</v>
      </c>
      <c r="B113" s="211" t="s">
        <v>132</v>
      </c>
      <c r="C113" s="210" t="s">
        <v>132</v>
      </c>
      <c r="D113" s="209" t="s">
        <v>132</v>
      </c>
      <c r="E113" s="204"/>
      <c r="F113" s="260"/>
      <c r="G113" s="219"/>
      <c r="H113" s="201"/>
      <c r="I113" s="202"/>
      <c r="J113" s="5"/>
      <c r="K113" s="181"/>
      <c r="L113" s="5"/>
      <c r="M113" s="5"/>
      <c r="N113" s="5"/>
      <c r="O113" s="205">
        <f>IF(O112+1&lt;=MIN('Données projet'!$E$9:$E$18),O112+1,"STOP")</f>
        <v>80</v>
      </c>
      <c r="P113" s="195">
        <f t="shared" si="7"/>
        <v>3.1333046953060242</v>
      </c>
      <c r="Q113" s="264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08">
        <v>4</v>
      </c>
      <c r="B114" s="211" t="s">
        <v>132</v>
      </c>
      <c r="C114" s="210" t="s">
        <v>132</v>
      </c>
      <c r="D114" s="209" t="s">
        <v>132</v>
      </c>
      <c r="E114" s="204"/>
      <c r="F114" s="260"/>
      <c r="G114" s="219"/>
      <c r="H114" s="201"/>
      <c r="I114" s="202"/>
      <c r="J114" s="5"/>
      <c r="K114" s="181"/>
      <c r="L114" s="5"/>
      <c r="M114" s="5"/>
      <c r="N114" s="5"/>
      <c r="O114" s="205" t="str">
        <f>IF(O113+1&lt;=MIN('Données projet'!$E$9:$E$18),O113+1,"STOP")</f>
        <v>STOP</v>
      </c>
      <c r="P114" s="195" t="e">
        <f t="shared" si="7"/>
        <v>#VALUE!</v>
      </c>
      <c r="Q114" s="264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08">
        <v>5</v>
      </c>
      <c r="B115" s="211" t="s">
        <v>132</v>
      </c>
      <c r="C115" s="210" t="s">
        <v>132</v>
      </c>
      <c r="D115" s="209" t="s">
        <v>132</v>
      </c>
      <c r="E115" s="204"/>
      <c r="F115" s="260"/>
      <c r="G115" s="220"/>
      <c r="H115" s="201"/>
      <c r="I115" s="202"/>
      <c r="J115" s="5"/>
      <c r="K115" s="181"/>
      <c r="L115" s="5"/>
      <c r="M115" s="5"/>
      <c r="N115" s="5"/>
      <c r="O115" s="205" t="e">
        <f>IF(O114+1&lt;=MIN('Données projet'!$E$9:$E$18),O114+1,"STOP")</f>
        <v>#VALUE!</v>
      </c>
      <c r="P115" s="195" t="e">
        <f t="shared" si="7"/>
        <v>#VALUE!</v>
      </c>
      <c r="Q115" s="264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0">
        <f>'Données projet'!A114</f>
        <v>20</v>
      </c>
      <c r="B116" s="191">
        <f>'Données projet'!D114</f>
        <v>0</v>
      </c>
      <c r="C116" s="202"/>
      <c r="D116" s="189">
        <f>B116*C116</f>
        <v>0</v>
      </c>
      <c r="E116" s="204"/>
      <c r="F116" s="261"/>
      <c r="G116" s="220"/>
      <c r="H116" s="201"/>
      <c r="I116" s="202"/>
      <c r="J116" s="5"/>
      <c r="K116" s="181"/>
      <c r="L116" s="5"/>
      <c r="M116" s="5"/>
      <c r="N116" s="5"/>
      <c r="O116" s="205" t="e">
        <f>IF(O115+1&lt;=MIN('Données projet'!$E$9:$E$18),O115+1,"STOP")</f>
        <v>#VALUE!</v>
      </c>
      <c r="P116" s="195" t="e">
        <f t="shared" si="7"/>
        <v>#VALUE!</v>
      </c>
      <c r="Q116" s="264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0">
        <f>'Données projet'!A115</f>
        <v>25</v>
      </c>
      <c r="B117" s="191">
        <f>'Données projet'!D115</f>
        <v>16.025641025641026</v>
      </c>
      <c r="C117" s="202">
        <v>10</v>
      </c>
      <c r="D117" s="189">
        <f t="shared" ref="D117:D135" si="8">B117*C117</f>
        <v>160.25641025641025</v>
      </c>
      <c r="E117" s="204"/>
      <c r="F117" s="261"/>
      <c r="G117" s="220"/>
      <c r="H117" s="201"/>
      <c r="I117" s="202"/>
      <c r="J117" s="5"/>
      <c r="K117" s="181"/>
      <c r="L117" s="5"/>
      <c r="M117" s="5"/>
      <c r="N117" s="5"/>
      <c r="O117" s="205" t="e">
        <f>IF(O116+1&lt;=MIN('Données projet'!$E$9:$E$18),O116+1,"STOP")</f>
        <v>#VALUE!</v>
      </c>
      <c r="P117" s="195" t="e">
        <f t="shared" si="7"/>
        <v>#VALUE!</v>
      </c>
      <c r="Q117" s="264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0">
        <f>'Données projet'!A116</f>
        <v>30</v>
      </c>
      <c r="B118" s="191">
        <f>'Données projet'!D116</f>
        <v>0</v>
      </c>
      <c r="C118" s="202"/>
      <c r="D118" s="189">
        <f t="shared" si="8"/>
        <v>0</v>
      </c>
      <c r="E118" s="204"/>
      <c r="F118" s="261"/>
      <c r="G118" s="220"/>
      <c r="H118" s="201"/>
      <c r="I118" s="202"/>
      <c r="J118" s="5"/>
      <c r="K118" s="181"/>
      <c r="L118" s="5"/>
      <c r="M118" s="5"/>
      <c r="N118" s="5"/>
      <c r="O118" s="205" t="e">
        <f>IF(O117+1&lt;=MIN('Données projet'!$E$9:$E$18),O117+1,"STOP")</f>
        <v>#VALUE!</v>
      </c>
      <c r="P118" s="195" t="e">
        <f t="shared" si="7"/>
        <v>#VALUE!</v>
      </c>
      <c r="Q118" s="264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0">
        <f>'Données projet'!A117</f>
        <v>35</v>
      </c>
      <c r="B119" s="191">
        <f>'Données projet'!D117</f>
        <v>21.153846153846153</v>
      </c>
      <c r="C119" s="202">
        <v>10</v>
      </c>
      <c r="D119" s="189">
        <f t="shared" si="8"/>
        <v>211.53846153846155</v>
      </c>
      <c r="E119" s="204"/>
      <c r="F119" s="261"/>
      <c r="G119" s="220"/>
      <c r="H119" s="201"/>
      <c r="I119" s="202"/>
      <c r="J119" s="5"/>
      <c r="K119" s="181"/>
      <c r="L119" s="5"/>
      <c r="M119" s="5"/>
      <c r="N119" s="5"/>
      <c r="O119" s="205" t="e">
        <f>IF(O118+1&lt;=MIN('Données projet'!$E$9:$E$18),O118+1,"STOP")</f>
        <v>#VALUE!</v>
      </c>
      <c r="P119" s="195" t="e">
        <f t="shared" si="7"/>
        <v>#VALUE!</v>
      </c>
      <c r="Q119" s="264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0">
        <f>'Données projet'!A118</f>
        <v>40</v>
      </c>
      <c r="B120" s="191">
        <f>'Données projet'!D118</f>
        <v>0</v>
      </c>
      <c r="C120" s="202"/>
      <c r="D120" s="189">
        <f t="shared" si="8"/>
        <v>0</v>
      </c>
      <c r="E120" s="204"/>
      <c r="F120" s="261"/>
      <c r="G120" s="220"/>
      <c r="H120" s="201"/>
      <c r="I120" s="202"/>
      <c r="J120" s="5"/>
      <c r="K120" s="181"/>
      <c r="L120" s="5"/>
      <c r="M120" s="5"/>
      <c r="N120" s="5"/>
      <c r="O120" s="205" t="e">
        <f>IF(O119+1&lt;=MIN('Données projet'!$E$9:$E$18),O119+1,"STOP")</f>
        <v>#VALUE!</v>
      </c>
      <c r="P120" s="195" t="e">
        <f t="shared" si="7"/>
        <v>#VALUE!</v>
      </c>
      <c r="Q120" s="264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0">
        <f>'Données projet'!A119</f>
        <v>45</v>
      </c>
      <c r="B121" s="191">
        <f>'Données projet'!D119</f>
        <v>21.794871794871796</v>
      </c>
      <c r="C121" s="202">
        <v>15</v>
      </c>
      <c r="D121" s="189">
        <f t="shared" si="8"/>
        <v>326.92307692307691</v>
      </c>
      <c r="E121" s="204"/>
      <c r="F121" s="261"/>
      <c r="G121" s="220"/>
      <c r="H121" s="201"/>
      <c r="I121" s="202"/>
      <c r="J121" s="5"/>
      <c r="K121" s="181"/>
      <c r="L121" s="5"/>
      <c r="M121" s="5"/>
      <c r="N121" s="5"/>
      <c r="O121" s="205" t="e">
        <f>IF(O120+1&lt;=MIN('Données projet'!$E$9:$E$18),O120+1,"STOP")</f>
        <v>#VALUE!</v>
      </c>
      <c r="P121" s="195" t="e">
        <f t="shared" si="7"/>
        <v>#VALUE!</v>
      </c>
      <c r="Q121" s="264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0">
        <f>'Données projet'!A120</f>
        <v>50</v>
      </c>
      <c r="B122" s="191">
        <f>'Données projet'!D120</f>
        <v>0</v>
      </c>
      <c r="C122" s="202"/>
      <c r="D122" s="189">
        <f t="shared" si="8"/>
        <v>0</v>
      </c>
      <c r="E122" s="204"/>
      <c r="F122" s="261"/>
      <c r="G122" s="221"/>
      <c r="H122" s="201"/>
      <c r="I122" s="202"/>
      <c r="J122" s="5"/>
      <c r="K122" s="181"/>
      <c r="L122" s="5"/>
      <c r="M122" s="5"/>
      <c r="N122" s="5"/>
      <c r="O122" s="205" t="e">
        <f>IF(O121+1&lt;=MIN('Données projet'!$E$9:$E$18),O121+1,"STOP")</f>
        <v>#VALUE!</v>
      </c>
      <c r="P122" s="195" t="e">
        <f t="shared" si="7"/>
        <v>#VALUE!</v>
      </c>
      <c r="Q122" s="264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0">
        <f>'Données projet'!A121</f>
        <v>55</v>
      </c>
      <c r="B123" s="191">
        <f>'Données projet'!D121</f>
        <v>21.794871794871796</v>
      </c>
      <c r="C123" s="202">
        <v>20</v>
      </c>
      <c r="D123" s="189">
        <f t="shared" si="8"/>
        <v>435.89743589743591</v>
      </c>
      <c r="E123" s="204"/>
      <c r="F123" s="261"/>
      <c r="G123" s="221"/>
      <c r="H123" s="201"/>
      <c r="I123" s="202"/>
      <c r="J123" s="5"/>
      <c r="K123" s="181"/>
      <c r="L123" s="5"/>
      <c r="M123" s="5"/>
      <c r="N123" s="5"/>
      <c r="O123" s="205" t="e">
        <f>IF(O122+1&lt;=MIN('Données projet'!$E$9:$E$18),O122+1,"STOP")</f>
        <v>#VALUE!</v>
      </c>
      <c r="P123" s="195" t="e">
        <f t="shared" si="7"/>
        <v>#VALUE!</v>
      </c>
      <c r="Q123" s="264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0">
        <f>'Données projet'!A122</f>
        <v>60</v>
      </c>
      <c r="B124" s="191">
        <f>'Données projet'!D122</f>
        <v>0</v>
      </c>
      <c r="C124" s="202"/>
      <c r="D124" s="189">
        <f t="shared" si="8"/>
        <v>0</v>
      </c>
      <c r="E124" s="204"/>
      <c r="F124" s="261"/>
      <c r="G124" s="221"/>
      <c r="H124" s="201"/>
      <c r="I124" s="202"/>
      <c r="J124" s="5"/>
      <c r="K124" s="181"/>
      <c r="L124" s="5"/>
      <c r="M124" s="5"/>
      <c r="N124" s="5"/>
      <c r="O124" s="205" t="e">
        <f>IF(O123+1&lt;=MIN('Données projet'!$E$9:$E$18),O123+1,"STOP")</f>
        <v>#VALUE!</v>
      </c>
      <c r="P124" s="195" t="e">
        <f t="shared" si="7"/>
        <v>#VALUE!</v>
      </c>
      <c r="Q124" s="264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0">
        <f>'Données projet'!A123</f>
        <v>65</v>
      </c>
      <c r="B125" s="191">
        <f>'Données projet'!D123</f>
        <v>21.153846153846153</v>
      </c>
      <c r="C125" s="202">
        <v>20</v>
      </c>
      <c r="D125" s="189">
        <f t="shared" si="8"/>
        <v>423.07692307692309</v>
      </c>
      <c r="E125" s="204"/>
      <c r="F125" s="261"/>
      <c r="G125" s="221"/>
      <c r="H125" s="201"/>
      <c r="I125" s="202"/>
      <c r="J125" s="5"/>
      <c r="K125" s="181"/>
      <c r="L125" s="5"/>
      <c r="M125" s="5"/>
      <c r="N125" s="5"/>
      <c r="O125" s="205" t="e">
        <f>IF(O124+1&lt;=MIN('Données projet'!$E$9:$E$18),O124+1,"STOP")</f>
        <v>#VALUE!</v>
      </c>
      <c r="P125" s="195" t="e">
        <f t="shared" si="7"/>
        <v>#VALUE!</v>
      </c>
      <c r="Q125" s="264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0">
        <f>'Données projet'!A124</f>
        <v>70</v>
      </c>
      <c r="B126" s="191">
        <f>'Données projet'!D124</f>
        <v>0</v>
      </c>
      <c r="C126" s="202"/>
      <c r="D126" s="189">
        <f t="shared" si="8"/>
        <v>0</v>
      </c>
      <c r="E126" s="204"/>
      <c r="F126" s="261"/>
      <c r="G126" s="221"/>
      <c r="H126" s="201"/>
      <c r="I126" s="202"/>
      <c r="J126" s="5"/>
      <c r="K126" s="181"/>
      <c r="L126" s="5"/>
      <c r="M126" s="5"/>
      <c r="N126" s="5"/>
      <c r="O126" s="205" t="e">
        <f>IF(O125+1&lt;=MIN('Données projet'!$E$9:$E$18),O125+1,"STOP")</f>
        <v>#VALUE!</v>
      </c>
      <c r="P126" s="195" t="e">
        <f t="shared" si="7"/>
        <v>#VALUE!</v>
      </c>
      <c r="Q126" s="264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0">
        <f>'Données projet'!A125</f>
        <v>75</v>
      </c>
      <c r="B127" s="191">
        <f>'Données projet'!D125</f>
        <v>19.23076923076923</v>
      </c>
      <c r="C127" s="202">
        <v>25</v>
      </c>
      <c r="D127" s="189">
        <f t="shared" si="8"/>
        <v>480.76923076923077</v>
      </c>
      <c r="E127" s="204"/>
      <c r="F127" s="261"/>
      <c r="G127" s="221"/>
      <c r="H127" s="201"/>
      <c r="I127" s="202"/>
      <c r="J127" s="5"/>
      <c r="K127" s="181"/>
      <c r="L127" s="5"/>
      <c r="M127" s="5"/>
      <c r="N127" s="5"/>
      <c r="O127" s="205" t="e">
        <f>IF(O126+1&lt;=MIN('Données projet'!$E$9:$E$18),O126+1,"STOP")</f>
        <v>#VALUE!</v>
      </c>
      <c r="P127" s="195" t="e">
        <f t="shared" si="7"/>
        <v>#VALUE!</v>
      </c>
      <c r="Q127" s="264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0">
        <f>'Données projet'!A126</f>
        <v>80</v>
      </c>
      <c r="B128" s="191">
        <f>'Données projet'!D126</f>
        <v>0</v>
      </c>
      <c r="C128" s="202"/>
      <c r="D128" s="189">
        <f t="shared" si="8"/>
        <v>0</v>
      </c>
      <c r="E128" s="204"/>
      <c r="F128" s="261"/>
      <c r="G128" s="221"/>
      <c r="H128" s="201"/>
      <c r="I128" s="202"/>
      <c r="J128" s="5"/>
      <c r="K128" s="181"/>
      <c r="L128" s="5"/>
      <c r="M128" s="5"/>
      <c r="N128" s="5"/>
      <c r="O128" s="205" t="e">
        <f>IF(O127+1&lt;=MIN('Données projet'!$E$9:$E$18),O127+1,"STOP")</f>
        <v>#VALUE!</v>
      </c>
      <c r="P128" s="195" t="e">
        <f t="shared" si="7"/>
        <v>#VALUE!</v>
      </c>
      <c r="Q128" s="264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0">
        <f>'Données projet'!A127</f>
        <v>85</v>
      </c>
      <c r="B129" s="191">
        <f>'Données projet'!D127</f>
        <v>17.948717948717949</v>
      </c>
      <c r="C129" s="202">
        <v>25</v>
      </c>
      <c r="D129" s="189">
        <f t="shared" si="8"/>
        <v>448.71794871794873</v>
      </c>
      <c r="E129" s="204"/>
      <c r="F129" s="261"/>
      <c r="G129" s="221"/>
      <c r="H129" s="201"/>
      <c r="I129" s="202"/>
      <c r="J129" s="5"/>
      <c r="K129" s="181"/>
      <c r="L129" s="5"/>
      <c r="M129" s="5"/>
      <c r="N129" s="5"/>
      <c r="O129" s="205" t="e">
        <f>IF(O128+1&lt;=MIN('Données projet'!$E$9:$E$18),O128+1,"STOP")</f>
        <v>#VALUE!</v>
      </c>
      <c r="P129" s="195" t="e">
        <f t="shared" ref="P129:P132" si="9">$P$25/(1+$M$4)^O129</f>
        <v>#VALUE!</v>
      </c>
      <c r="Q129" s="264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0">
        <f>'Données projet'!A128</f>
        <v>90</v>
      </c>
      <c r="B130" s="191">
        <f>'Données projet'!D128</f>
        <v>0</v>
      </c>
      <c r="C130" s="202"/>
      <c r="D130" s="189">
        <f t="shared" si="8"/>
        <v>0</v>
      </c>
      <c r="E130" s="204"/>
      <c r="F130" s="261"/>
      <c r="G130" s="221"/>
      <c r="H130" s="201"/>
      <c r="I130" s="202"/>
      <c r="J130" s="5"/>
      <c r="K130" s="181"/>
      <c r="L130" s="5"/>
      <c r="M130" s="5"/>
      <c r="N130" s="5"/>
      <c r="O130" s="205" t="e">
        <f>IF(O129+1&lt;=MIN('Données projet'!$E$9:$E$18),O129+1,"STOP")</f>
        <v>#VALUE!</v>
      </c>
      <c r="P130" s="195" t="e">
        <f t="shared" si="9"/>
        <v>#VALUE!</v>
      </c>
      <c r="Q130" s="264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0">
        <f>'Données projet'!A129</f>
        <v>95</v>
      </c>
      <c r="B131" s="191">
        <f>'Données projet'!D129</f>
        <v>16.666666666666668</v>
      </c>
      <c r="C131" s="202">
        <v>30</v>
      </c>
      <c r="D131" s="189">
        <f t="shared" si="8"/>
        <v>500.00000000000006</v>
      </c>
      <c r="E131" s="204"/>
      <c r="F131" s="261"/>
      <c r="G131" s="221"/>
      <c r="H131" s="201"/>
      <c r="I131" s="202"/>
      <c r="J131" s="5"/>
      <c r="K131" s="181"/>
      <c r="L131" s="5"/>
      <c r="M131" s="5"/>
      <c r="N131" s="5"/>
      <c r="O131" s="205" t="e">
        <f>IF(O130+1&lt;=MIN('Données projet'!$E$9:$E$18),O130+1,"STOP")</f>
        <v>#VALUE!</v>
      </c>
      <c r="P131" s="195" t="e">
        <f t="shared" si="9"/>
        <v>#VALUE!</v>
      </c>
      <c r="Q131" s="264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0">
        <f>'Données projet'!A130</f>
        <v>100</v>
      </c>
      <c r="B132" s="191">
        <f>'Données projet'!D130</f>
        <v>0</v>
      </c>
      <c r="C132" s="202"/>
      <c r="D132" s="189">
        <f t="shared" si="8"/>
        <v>0</v>
      </c>
      <c r="E132" s="204"/>
      <c r="F132" s="261"/>
      <c r="G132" s="221"/>
      <c r="H132" s="201"/>
      <c r="I132" s="202"/>
      <c r="J132" s="5"/>
      <c r="K132" s="181"/>
      <c r="L132" s="5"/>
      <c r="M132" s="5"/>
      <c r="N132" s="5"/>
      <c r="O132" s="205" t="e">
        <f>IF(O131+1&lt;=MIN('Données projet'!$E$9:$E$18),O131+1,"STOP")</f>
        <v>#VALUE!</v>
      </c>
      <c r="P132" s="195" t="e">
        <f t="shared" si="9"/>
        <v>#VALUE!</v>
      </c>
      <c r="Q132" s="264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0">
        <f>'Données projet'!A131</f>
        <v>105</v>
      </c>
      <c r="B133" s="191">
        <f>'Données projet'!D131</f>
        <v>0</v>
      </c>
      <c r="C133" s="202"/>
      <c r="D133" s="189">
        <f t="shared" si="8"/>
        <v>0</v>
      </c>
      <c r="E133" s="204"/>
      <c r="F133" s="261"/>
      <c r="G133" s="221"/>
      <c r="H133" s="201"/>
      <c r="I133" s="202"/>
      <c r="J133" s="5"/>
      <c r="K133" s="181"/>
      <c r="Q133" s="264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0">
        <f>'Données projet'!A132</f>
        <v>110</v>
      </c>
      <c r="B134" s="191">
        <f>'Données projet'!D132</f>
        <v>218.58974358974359</v>
      </c>
      <c r="C134" s="202">
        <v>40</v>
      </c>
      <c r="D134" s="189">
        <f t="shared" si="8"/>
        <v>8743.5897435897441</v>
      </c>
      <c r="E134" s="204"/>
      <c r="F134" s="261"/>
      <c r="G134" s="221"/>
      <c r="H134" s="201"/>
      <c r="I134" s="202"/>
      <c r="J134" s="5"/>
      <c r="K134" s="181"/>
      <c r="Q134" s="264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0">
        <f>'Données projet'!A133</f>
        <v>0</v>
      </c>
      <c r="B135" s="191">
        <f>'Données projet'!D133</f>
        <v>0</v>
      </c>
      <c r="C135" s="202"/>
      <c r="D135" s="189">
        <f t="shared" si="8"/>
        <v>0</v>
      </c>
      <c r="E135" s="204"/>
      <c r="F135" s="261"/>
      <c r="G135" s="221"/>
      <c r="H135" s="201"/>
      <c r="I135" s="202"/>
      <c r="J135" s="5"/>
      <c r="K135" s="181"/>
      <c r="Q135" s="264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59"/>
      <c r="G136" s="221"/>
      <c r="H136" s="201"/>
      <c r="I136" s="202"/>
      <c r="J136" s="5"/>
      <c r="K136" s="181"/>
      <c r="L136" s="5"/>
      <c r="M136" s="5"/>
      <c r="N136" s="5"/>
      <c r="Q136" s="264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59"/>
      <c r="G137" s="221"/>
      <c r="H137" s="201"/>
      <c r="I137" s="202"/>
      <c r="J137" s="5"/>
      <c r="K137" s="181"/>
      <c r="L137" s="5"/>
      <c r="M137" s="5"/>
      <c r="N137" s="5"/>
      <c r="Q137" s="264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4" t="str">
        <f>IF('Données projet'!B13="","",'Données projet'!B13)</f>
        <v>Tilleul</v>
      </c>
      <c r="C138" s="5"/>
      <c r="D138" s="5"/>
      <c r="E138" s="5"/>
      <c r="F138" s="259"/>
      <c r="G138" s="221"/>
      <c r="H138" s="201"/>
      <c r="I138" s="202"/>
      <c r="J138" s="5"/>
      <c r="K138" s="181"/>
      <c r="L138" s="5"/>
      <c r="M138" s="5"/>
      <c r="N138" s="5"/>
      <c r="Q138" s="264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59"/>
      <c r="G139" s="221"/>
      <c r="H139" s="201"/>
      <c r="I139" s="202"/>
      <c r="J139" s="5"/>
      <c r="K139" s="181"/>
      <c r="L139" s="5"/>
      <c r="M139" s="5"/>
      <c r="N139" s="5"/>
      <c r="Q139" s="264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5" t="s">
        <v>180</v>
      </c>
      <c r="B140" s="51" t="s">
        <v>256</v>
      </c>
      <c r="C140" s="51" t="s">
        <v>255</v>
      </c>
      <c r="D140" s="255" t="s">
        <v>252</v>
      </c>
      <c r="E140" s="255" t="s">
        <v>320</v>
      </c>
      <c r="F140" s="260"/>
      <c r="G140" s="221"/>
      <c r="H140" s="201"/>
      <c r="I140" s="202"/>
      <c r="J140" s="5"/>
      <c r="K140" s="181"/>
      <c r="L140" s="5"/>
      <c r="M140" s="5"/>
      <c r="N140" s="5"/>
      <c r="Q140" s="264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08">
        <v>0</v>
      </c>
      <c r="B141" s="211" t="s">
        <v>132</v>
      </c>
      <c r="C141" s="210" t="s">
        <v>132</v>
      </c>
      <c r="D141" s="209" t="s">
        <v>132</v>
      </c>
      <c r="E141" s="204"/>
      <c r="F141" s="260"/>
      <c r="G141" s="221"/>
      <c r="H141" s="201"/>
      <c r="I141" s="202"/>
      <c r="J141" s="5"/>
      <c r="K141" s="181"/>
      <c r="L141" s="5"/>
      <c r="M141" s="5"/>
      <c r="N141" s="5"/>
      <c r="Q141" s="264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08">
        <v>1</v>
      </c>
      <c r="B142" s="211" t="s">
        <v>132</v>
      </c>
      <c r="C142" s="210" t="s">
        <v>132</v>
      </c>
      <c r="D142" s="209" t="s">
        <v>132</v>
      </c>
      <c r="E142" s="204"/>
      <c r="F142" s="260"/>
      <c r="G142" s="219"/>
      <c r="H142" s="201"/>
      <c r="I142" s="202"/>
      <c r="J142" s="5"/>
      <c r="K142" s="181"/>
      <c r="L142" s="5"/>
      <c r="M142" s="5"/>
      <c r="N142" s="5"/>
      <c r="Q142" s="264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08">
        <v>2</v>
      </c>
      <c r="B143" s="211" t="s">
        <v>132</v>
      </c>
      <c r="C143" s="210" t="s">
        <v>132</v>
      </c>
      <c r="D143" s="209" t="s">
        <v>132</v>
      </c>
      <c r="E143" s="204"/>
      <c r="F143" s="260"/>
      <c r="G143" s="219"/>
      <c r="H143" s="201"/>
      <c r="I143" s="202"/>
      <c r="J143" s="5"/>
      <c r="K143" s="181"/>
      <c r="L143" s="5"/>
      <c r="M143" s="5"/>
      <c r="N143" s="5"/>
      <c r="Q143" s="264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08">
        <v>3</v>
      </c>
      <c r="B144" s="211" t="s">
        <v>132</v>
      </c>
      <c r="C144" s="210" t="s">
        <v>132</v>
      </c>
      <c r="D144" s="209" t="s">
        <v>132</v>
      </c>
      <c r="E144" s="204"/>
      <c r="F144" s="260"/>
      <c r="G144" s="219"/>
      <c r="H144" s="201"/>
      <c r="I144" s="202"/>
      <c r="J144" s="5"/>
      <c r="K144" s="181"/>
      <c r="L144" s="5"/>
      <c r="M144" s="5"/>
      <c r="N144" s="5"/>
      <c r="Q144" s="264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08">
        <v>4</v>
      </c>
      <c r="B145" s="211" t="s">
        <v>132</v>
      </c>
      <c r="C145" s="210" t="s">
        <v>132</v>
      </c>
      <c r="D145" s="209" t="s">
        <v>132</v>
      </c>
      <c r="E145" s="204"/>
      <c r="F145" s="260"/>
      <c r="G145" s="219"/>
      <c r="H145" s="201"/>
      <c r="I145" s="202"/>
      <c r="J145" s="5"/>
      <c r="K145" s="181"/>
      <c r="L145" s="5"/>
      <c r="M145" s="5"/>
      <c r="N145" s="5"/>
      <c r="Q145" s="264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08">
        <v>5</v>
      </c>
      <c r="B146" s="211" t="s">
        <v>132</v>
      </c>
      <c r="C146" s="210" t="s">
        <v>132</v>
      </c>
      <c r="D146" s="209" t="s">
        <v>132</v>
      </c>
      <c r="E146" s="204"/>
      <c r="F146" s="260"/>
      <c r="G146" s="220"/>
      <c r="H146" s="201"/>
      <c r="I146" s="202"/>
      <c r="J146" s="5"/>
      <c r="K146" s="181"/>
      <c r="L146" s="5"/>
      <c r="M146" s="5"/>
      <c r="N146" s="5"/>
      <c r="Q146" s="264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20</v>
      </c>
      <c r="B147" s="185">
        <f>'Données projet'!D140</f>
        <v>0</v>
      </c>
      <c r="C147" s="202"/>
      <c r="D147" s="192">
        <f>B147*C147</f>
        <v>0</v>
      </c>
      <c r="E147" s="204"/>
      <c r="F147" s="262"/>
      <c r="G147" s="220"/>
      <c r="H147" s="201"/>
      <c r="I147" s="202"/>
      <c r="J147" s="5"/>
      <c r="K147" s="181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25</v>
      </c>
      <c r="B148" s="185">
        <f>'Données projet'!D141</f>
        <v>16.025641025641026</v>
      </c>
      <c r="C148" s="202">
        <v>10</v>
      </c>
      <c r="D148" s="192">
        <f t="shared" ref="D148:D166" si="10">B148*C148</f>
        <v>160.25641025641025</v>
      </c>
      <c r="E148" s="204"/>
      <c r="F148" s="262"/>
      <c r="G148" s="220"/>
      <c r="H148" s="201"/>
      <c r="I148" s="202"/>
      <c r="J148" s="5"/>
      <c r="K148" s="181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30</v>
      </c>
      <c r="B149" s="185">
        <f>'Données projet'!D142</f>
        <v>0</v>
      </c>
      <c r="C149" s="202"/>
      <c r="D149" s="192">
        <f t="shared" si="10"/>
        <v>0</v>
      </c>
      <c r="E149" s="204"/>
      <c r="F149" s="262"/>
      <c r="G149" s="220"/>
      <c r="H149" s="201"/>
      <c r="I149" s="202"/>
      <c r="J149" s="5"/>
      <c r="K149" s="181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35</v>
      </c>
      <c r="B150" s="185">
        <f>'Données projet'!D143</f>
        <v>21.153846153846153</v>
      </c>
      <c r="C150" s="202">
        <v>10</v>
      </c>
      <c r="D150" s="192">
        <f t="shared" si="10"/>
        <v>211.53846153846155</v>
      </c>
      <c r="E150" s="204"/>
      <c r="F150" s="262"/>
      <c r="G150" s="220"/>
      <c r="H150" s="201"/>
      <c r="I150" s="202"/>
      <c r="J150" s="5"/>
      <c r="K150" s="181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40</v>
      </c>
      <c r="B151" s="185">
        <f>'Données projet'!D144</f>
        <v>0</v>
      </c>
      <c r="C151" s="202"/>
      <c r="D151" s="192">
        <f t="shared" si="10"/>
        <v>0</v>
      </c>
      <c r="E151" s="204"/>
      <c r="F151" s="262"/>
      <c r="G151" s="220"/>
      <c r="H151" s="201"/>
      <c r="I151" s="202"/>
      <c r="J151" s="5"/>
      <c r="K151" s="181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45</v>
      </c>
      <c r="B152" s="185">
        <f>'Données projet'!D145</f>
        <v>21.794871794871796</v>
      </c>
      <c r="C152" s="202">
        <v>15</v>
      </c>
      <c r="D152" s="192">
        <f t="shared" si="10"/>
        <v>326.92307692307691</v>
      </c>
      <c r="E152" s="204"/>
      <c r="F152" s="262"/>
      <c r="G152" s="220"/>
      <c r="H152" s="201"/>
      <c r="I152" s="202"/>
      <c r="J152" s="5"/>
      <c r="K152" s="181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50</v>
      </c>
      <c r="B153" s="185">
        <f>'Données projet'!D146</f>
        <v>0</v>
      </c>
      <c r="C153" s="202"/>
      <c r="D153" s="192">
        <f t="shared" si="10"/>
        <v>0</v>
      </c>
      <c r="E153" s="204"/>
      <c r="F153" s="262"/>
      <c r="G153" s="216"/>
      <c r="H153" s="201"/>
      <c r="I153" s="202"/>
      <c r="J153" s="5"/>
      <c r="K153" s="181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55</v>
      </c>
      <c r="B154" s="185">
        <f>'Données projet'!D147</f>
        <v>21.794871794871796</v>
      </c>
      <c r="C154" s="202">
        <v>20</v>
      </c>
      <c r="D154" s="192">
        <f t="shared" si="10"/>
        <v>435.89743589743591</v>
      </c>
      <c r="E154" s="204"/>
      <c r="F154" s="262"/>
      <c r="G154" s="216"/>
      <c r="H154" s="201"/>
      <c r="I154" s="202"/>
      <c r="J154" s="5"/>
      <c r="K154" s="181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60</v>
      </c>
      <c r="B155" s="185">
        <f>'Données projet'!D148</f>
        <v>0</v>
      </c>
      <c r="C155" s="202"/>
      <c r="D155" s="192">
        <f t="shared" si="10"/>
        <v>0</v>
      </c>
      <c r="E155" s="204"/>
      <c r="F155" s="262"/>
      <c r="G155" s="216"/>
      <c r="H155" s="201"/>
      <c r="I155" s="202"/>
      <c r="J155" s="5"/>
      <c r="K155" s="181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65</v>
      </c>
      <c r="B156" s="185">
        <f>'Données projet'!D149</f>
        <v>21.153846153846153</v>
      </c>
      <c r="C156" s="202">
        <v>20</v>
      </c>
      <c r="D156" s="192">
        <f t="shared" si="10"/>
        <v>423.07692307692309</v>
      </c>
      <c r="E156" s="204"/>
      <c r="F156" s="262"/>
      <c r="G156" s="216"/>
      <c r="H156" s="201"/>
      <c r="I156" s="202"/>
      <c r="J156" s="5"/>
      <c r="K156" s="181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70</v>
      </c>
      <c r="B157" s="185">
        <f>'Données projet'!D150</f>
        <v>0</v>
      </c>
      <c r="C157" s="202"/>
      <c r="D157" s="192">
        <f t="shared" si="10"/>
        <v>0</v>
      </c>
      <c r="E157" s="204"/>
      <c r="F157" s="262"/>
      <c r="G157" s="216"/>
      <c r="H157" s="201"/>
      <c r="I157" s="202"/>
      <c r="J157" s="5"/>
      <c r="K157" s="181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75</v>
      </c>
      <c r="B158" s="185">
        <f>'Données projet'!D151</f>
        <v>19.23076923076923</v>
      </c>
      <c r="C158" s="202">
        <v>25</v>
      </c>
      <c r="D158" s="192">
        <f t="shared" si="10"/>
        <v>480.76923076923077</v>
      </c>
      <c r="E158" s="204"/>
      <c r="F158" s="262"/>
      <c r="G158" s="216"/>
      <c r="H158" s="201"/>
      <c r="I158" s="202"/>
      <c r="J158" s="5"/>
      <c r="K158" s="181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80</v>
      </c>
      <c r="B159" s="185">
        <f>'Données projet'!D152</f>
        <v>0</v>
      </c>
      <c r="C159" s="202"/>
      <c r="D159" s="192">
        <f t="shared" si="10"/>
        <v>0</v>
      </c>
      <c r="E159" s="204"/>
      <c r="F159" s="262"/>
      <c r="G159" s="216"/>
      <c r="H159" s="201"/>
      <c r="I159" s="202"/>
      <c r="J159" s="5"/>
      <c r="K159" s="181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85</v>
      </c>
      <c r="B160" s="185">
        <f>'Données projet'!D153</f>
        <v>17.948717948717949</v>
      </c>
      <c r="C160" s="202">
        <v>25</v>
      </c>
      <c r="D160" s="192">
        <f t="shared" si="10"/>
        <v>448.71794871794873</v>
      </c>
      <c r="E160" s="204"/>
      <c r="F160" s="262"/>
      <c r="G160" s="216"/>
      <c r="H160" s="201"/>
      <c r="I160" s="202"/>
      <c r="J160" s="5"/>
      <c r="K160" s="181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90</v>
      </c>
      <c r="B161" s="185">
        <f>'Données projet'!D154</f>
        <v>0</v>
      </c>
      <c r="C161" s="202"/>
      <c r="D161" s="192">
        <f t="shared" si="10"/>
        <v>0</v>
      </c>
      <c r="E161" s="204"/>
      <c r="F161" s="262"/>
      <c r="G161" s="216"/>
      <c r="H161" s="201"/>
      <c r="I161" s="202"/>
      <c r="J161" s="5"/>
      <c r="K161" s="181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95</v>
      </c>
      <c r="B162" s="185">
        <f>'Données projet'!D155</f>
        <v>16.666666666666668</v>
      </c>
      <c r="C162" s="202">
        <v>30</v>
      </c>
      <c r="D162" s="192">
        <f t="shared" si="10"/>
        <v>500.00000000000006</v>
      </c>
      <c r="E162" s="204"/>
      <c r="F162" s="262"/>
      <c r="G162" s="216"/>
      <c r="H162" s="201"/>
      <c r="I162" s="202"/>
      <c r="J162" s="5"/>
      <c r="K162" s="181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100</v>
      </c>
      <c r="B163" s="185">
        <f>'Données projet'!D156</f>
        <v>0</v>
      </c>
      <c r="C163" s="202"/>
      <c r="D163" s="192">
        <f t="shared" si="10"/>
        <v>0</v>
      </c>
      <c r="E163" s="204"/>
      <c r="F163" s="262"/>
      <c r="G163" s="216"/>
      <c r="H163" s="201"/>
      <c r="I163" s="202"/>
      <c r="J163" s="5"/>
      <c r="K163" s="181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105</v>
      </c>
      <c r="B164" s="185">
        <f>'Données projet'!D157</f>
        <v>0</v>
      </c>
      <c r="C164" s="202"/>
      <c r="D164" s="192">
        <f t="shared" si="10"/>
        <v>0</v>
      </c>
      <c r="E164" s="204"/>
      <c r="F164" s="262"/>
      <c r="G164" s="216"/>
      <c r="H164" s="201"/>
      <c r="I164" s="202"/>
      <c r="J164" s="5"/>
      <c r="K164" s="181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110</v>
      </c>
      <c r="B165" s="185">
        <f>'Données projet'!D158</f>
        <v>218.58974358974359</v>
      </c>
      <c r="C165" s="202">
        <v>40</v>
      </c>
      <c r="D165" s="192">
        <f t="shared" si="10"/>
        <v>8743.5897435897441</v>
      </c>
      <c r="E165" s="204"/>
      <c r="F165" s="262"/>
      <c r="G165" s="216"/>
      <c r="H165" s="201"/>
      <c r="I165" s="202"/>
      <c r="J165" s="5"/>
      <c r="K165" s="181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5">
        <f>'Données projet'!D159</f>
        <v>0</v>
      </c>
      <c r="C166" s="202"/>
      <c r="D166" s="192">
        <f t="shared" si="10"/>
        <v>0</v>
      </c>
      <c r="E166" s="204"/>
      <c r="F166" s="262"/>
      <c r="G166" s="216"/>
      <c r="H166" s="201"/>
      <c r="I166" s="202"/>
      <c r="J166" s="5"/>
      <c r="K166" s="181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59"/>
      <c r="G167" s="216"/>
      <c r="H167" s="201"/>
      <c r="I167" s="202"/>
      <c r="J167" s="5"/>
      <c r="K167" s="181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59"/>
      <c r="G168" s="216"/>
      <c r="H168" s="201"/>
      <c r="I168" s="202"/>
      <c r="J168" s="5"/>
      <c r="K168" s="181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4" t="str">
        <f>IF('Données projet'!B14="","",'Données projet'!B14)</f>
        <v>Alisier torminal</v>
      </c>
      <c r="C169" s="5"/>
      <c r="D169" s="5"/>
      <c r="E169" s="5"/>
      <c r="F169" s="259"/>
      <c r="G169" s="216"/>
      <c r="H169" s="201"/>
      <c r="I169" s="202"/>
      <c r="J169" s="5"/>
      <c r="K169" s="181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59"/>
      <c r="G170" s="216"/>
      <c r="H170" s="201"/>
      <c r="I170" s="202"/>
      <c r="J170" s="5"/>
      <c r="K170" s="181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5" t="s">
        <v>180</v>
      </c>
      <c r="B171" s="51" t="s">
        <v>256</v>
      </c>
      <c r="C171" s="51" t="s">
        <v>255</v>
      </c>
      <c r="D171" s="255" t="s">
        <v>252</v>
      </c>
      <c r="E171" s="255" t="s">
        <v>320</v>
      </c>
      <c r="F171" s="260"/>
      <c r="G171" s="216"/>
      <c r="H171" s="201"/>
      <c r="I171" s="202"/>
      <c r="J171" s="5"/>
      <c r="K171" s="181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08">
        <v>0</v>
      </c>
      <c r="B172" s="211" t="s">
        <v>132</v>
      </c>
      <c r="C172" s="210" t="s">
        <v>132</v>
      </c>
      <c r="D172" s="209" t="s">
        <v>132</v>
      </c>
      <c r="E172" s="204"/>
      <c r="F172" s="260"/>
      <c r="G172" s="216"/>
      <c r="H172" s="201"/>
      <c r="I172" s="202"/>
      <c r="J172" s="5"/>
      <c r="K172" s="181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08">
        <v>1</v>
      </c>
      <c r="B173" s="211" t="s">
        <v>132</v>
      </c>
      <c r="C173" s="210" t="s">
        <v>132</v>
      </c>
      <c r="D173" s="209" t="s">
        <v>132</v>
      </c>
      <c r="E173" s="204"/>
      <c r="F173" s="260"/>
      <c r="G173" s="219"/>
      <c r="H173" s="201"/>
      <c r="I173" s="202"/>
      <c r="J173" s="5"/>
      <c r="K173" s="181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08">
        <v>2</v>
      </c>
      <c r="B174" s="211" t="s">
        <v>132</v>
      </c>
      <c r="C174" s="210" t="s">
        <v>132</v>
      </c>
      <c r="D174" s="209" t="s">
        <v>132</v>
      </c>
      <c r="E174" s="204"/>
      <c r="F174" s="260"/>
      <c r="G174" s="219"/>
      <c r="H174" s="201"/>
      <c r="I174" s="202"/>
      <c r="J174" s="5"/>
      <c r="K174" s="181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08">
        <v>3</v>
      </c>
      <c r="B175" s="211" t="s">
        <v>132</v>
      </c>
      <c r="C175" s="210" t="s">
        <v>132</v>
      </c>
      <c r="D175" s="209" t="s">
        <v>132</v>
      </c>
      <c r="E175" s="204"/>
      <c r="F175" s="260"/>
      <c r="G175" s="219"/>
      <c r="H175" s="201"/>
      <c r="I175" s="202"/>
      <c r="J175" s="5"/>
      <c r="K175" s="181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08">
        <v>4</v>
      </c>
      <c r="B176" s="211" t="s">
        <v>132</v>
      </c>
      <c r="C176" s="210" t="s">
        <v>132</v>
      </c>
      <c r="D176" s="209" t="s">
        <v>132</v>
      </c>
      <c r="E176" s="204"/>
      <c r="F176" s="260"/>
      <c r="G176" s="219"/>
      <c r="H176" s="201"/>
      <c r="I176" s="202"/>
      <c r="J176" s="5"/>
      <c r="K176" s="181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08">
        <v>5</v>
      </c>
      <c r="B177" s="211" t="s">
        <v>132</v>
      </c>
      <c r="C177" s="210" t="s">
        <v>132</v>
      </c>
      <c r="D177" s="209" t="s">
        <v>132</v>
      </c>
      <c r="E177" s="204"/>
      <c r="F177" s="260"/>
      <c r="G177" s="220"/>
      <c r="H177" s="201"/>
      <c r="I177" s="202"/>
      <c r="J177" s="5"/>
      <c r="K177" s="181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0">
        <f>'Données projet'!A166</f>
        <v>25</v>
      </c>
      <c r="B178" s="191">
        <f>'Données projet'!D166</f>
        <v>0</v>
      </c>
      <c r="C178" s="204"/>
      <c r="D178" s="189">
        <f>B178*C178</f>
        <v>0</v>
      </c>
      <c r="E178" s="204"/>
      <c r="F178" s="261"/>
      <c r="G178" s="220"/>
      <c r="H178" s="201"/>
      <c r="I178" s="202"/>
      <c r="J178" s="5"/>
      <c r="K178" s="181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0">
        <f>'Données projet'!A167</f>
        <v>30</v>
      </c>
      <c r="B179" s="191">
        <f>'Données projet'!D167</f>
        <v>0</v>
      </c>
      <c r="C179" s="204"/>
      <c r="D179" s="189">
        <f t="shared" ref="D179:D197" si="11">B179*C179</f>
        <v>0</v>
      </c>
      <c r="E179" s="204"/>
      <c r="F179" s="261"/>
      <c r="G179" s="220"/>
      <c r="H179" s="201"/>
      <c r="I179" s="202"/>
      <c r="J179" s="5"/>
      <c r="K179" s="181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0">
        <f>'Données projet'!A168</f>
        <v>35</v>
      </c>
      <c r="B180" s="191">
        <f>'Données projet'!D168</f>
        <v>13</v>
      </c>
      <c r="C180" s="202">
        <v>10</v>
      </c>
      <c r="D180" s="189">
        <f t="shared" si="11"/>
        <v>130</v>
      </c>
      <c r="E180" s="204"/>
      <c r="F180" s="261"/>
      <c r="G180" s="220"/>
      <c r="H180" s="201"/>
      <c r="I180" s="202"/>
      <c r="J180" s="5"/>
      <c r="K180" s="181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0">
        <f>'Données projet'!A169</f>
        <v>40</v>
      </c>
      <c r="B181" s="191">
        <f>'Données projet'!D169</f>
        <v>0</v>
      </c>
      <c r="C181" s="202"/>
      <c r="D181" s="189">
        <f t="shared" si="11"/>
        <v>0</v>
      </c>
      <c r="E181" s="204"/>
      <c r="F181" s="261"/>
      <c r="G181" s="220"/>
      <c r="H181" s="201"/>
      <c r="I181" s="202"/>
      <c r="J181" s="5"/>
      <c r="K181" s="181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0">
        <f>'Données projet'!A170</f>
        <v>45</v>
      </c>
      <c r="B182" s="191">
        <f>'Données projet'!D170</f>
        <v>28</v>
      </c>
      <c r="C182" s="202">
        <v>10</v>
      </c>
      <c r="D182" s="189">
        <f t="shared" si="11"/>
        <v>280</v>
      </c>
      <c r="E182" s="204"/>
      <c r="F182" s="261"/>
      <c r="G182" s="220"/>
      <c r="H182" s="201"/>
      <c r="I182" s="202"/>
      <c r="J182" s="5"/>
      <c r="K182" s="181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0">
        <f>'Données projet'!A171</f>
        <v>50</v>
      </c>
      <c r="B183" s="191">
        <f>'Données projet'!D171</f>
        <v>0</v>
      </c>
      <c r="C183" s="202"/>
      <c r="D183" s="189">
        <f t="shared" si="11"/>
        <v>0</v>
      </c>
      <c r="E183" s="204"/>
      <c r="F183" s="261"/>
      <c r="G183" s="220"/>
      <c r="H183" s="201"/>
      <c r="I183" s="202"/>
      <c r="J183" s="5"/>
      <c r="K183" s="181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0">
        <f>'Données projet'!A172</f>
        <v>55</v>
      </c>
      <c r="B184" s="191">
        <f>'Données projet'!D172</f>
        <v>28</v>
      </c>
      <c r="C184" s="202">
        <v>15</v>
      </c>
      <c r="D184" s="189">
        <f t="shared" si="11"/>
        <v>420</v>
      </c>
      <c r="E184" s="204"/>
      <c r="F184" s="261"/>
      <c r="G184" s="221"/>
      <c r="H184" s="201"/>
      <c r="I184" s="202"/>
      <c r="J184" s="5"/>
      <c r="K184" s="181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0">
        <f>'Données projet'!A173</f>
        <v>60</v>
      </c>
      <c r="B185" s="191">
        <f>'Données projet'!D173</f>
        <v>0</v>
      </c>
      <c r="C185" s="202"/>
      <c r="D185" s="189">
        <f t="shared" si="11"/>
        <v>0</v>
      </c>
      <c r="E185" s="204"/>
      <c r="F185" s="261"/>
      <c r="G185" s="221"/>
      <c r="H185" s="201"/>
      <c r="I185" s="202"/>
      <c r="J185" s="5"/>
      <c r="K185" s="181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0">
        <f>'Données projet'!A174</f>
        <v>65</v>
      </c>
      <c r="B186" s="191">
        <f>'Données projet'!D174</f>
        <v>28</v>
      </c>
      <c r="C186" s="202">
        <v>20</v>
      </c>
      <c r="D186" s="189">
        <f t="shared" si="11"/>
        <v>560</v>
      </c>
      <c r="E186" s="204"/>
      <c r="F186" s="261"/>
      <c r="G186" s="221"/>
      <c r="H186" s="201"/>
      <c r="I186" s="202"/>
      <c r="J186" s="5"/>
      <c r="K186" s="181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0">
        <f>'Données projet'!A175</f>
        <v>70</v>
      </c>
      <c r="B187" s="191">
        <f>'Données projet'!D175</f>
        <v>0</v>
      </c>
      <c r="C187" s="202"/>
      <c r="D187" s="189">
        <f t="shared" si="11"/>
        <v>0</v>
      </c>
      <c r="E187" s="204"/>
      <c r="F187" s="261"/>
      <c r="G187" s="221"/>
      <c r="H187" s="201"/>
      <c r="I187" s="202"/>
      <c r="J187" s="5"/>
      <c r="K187" s="181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0">
        <f>'Données projet'!A176</f>
        <v>75</v>
      </c>
      <c r="B188" s="191">
        <f>'Données projet'!D176</f>
        <v>28</v>
      </c>
      <c r="C188" s="202">
        <v>30</v>
      </c>
      <c r="D188" s="189">
        <f t="shared" si="11"/>
        <v>840</v>
      </c>
      <c r="E188" s="204"/>
      <c r="F188" s="261"/>
      <c r="G188" s="221"/>
      <c r="H188" s="201"/>
      <c r="I188" s="202"/>
      <c r="J188" s="5"/>
      <c r="K188" s="181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0">
        <f>'Données projet'!A177</f>
        <v>80</v>
      </c>
      <c r="B189" s="191">
        <f>'Données projet'!D177</f>
        <v>0</v>
      </c>
      <c r="C189" s="202"/>
      <c r="D189" s="189">
        <f t="shared" si="11"/>
        <v>0</v>
      </c>
      <c r="E189" s="204"/>
      <c r="F189" s="261"/>
      <c r="G189" s="221"/>
      <c r="H189" s="201"/>
      <c r="I189" s="202"/>
      <c r="J189" s="5"/>
      <c r="K189" s="181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0">
        <f>'Données projet'!A178</f>
        <v>85</v>
      </c>
      <c r="B190" s="191">
        <f>'Données projet'!D178</f>
        <v>28</v>
      </c>
      <c r="C190" s="202">
        <v>40</v>
      </c>
      <c r="D190" s="189">
        <f t="shared" si="11"/>
        <v>1120</v>
      </c>
      <c r="E190" s="204"/>
      <c r="F190" s="261"/>
      <c r="G190" s="221"/>
      <c r="H190" s="201"/>
      <c r="I190" s="202"/>
      <c r="J190" s="5"/>
      <c r="K190" s="181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0">
        <f>'Données projet'!A179</f>
        <v>90</v>
      </c>
      <c r="B191" s="191">
        <f>'Données projet'!D179</f>
        <v>0</v>
      </c>
      <c r="C191" s="202"/>
      <c r="D191" s="189">
        <f t="shared" si="11"/>
        <v>0</v>
      </c>
      <c r="E191" s="204"/>
      <c r="F191" s="261"/>
      <c r="G191" s="221"/>
      <c r="H191" s="201"/>
      <c r="I191" s="202"/>
      <c r="J191" s="5"/>
      <c r="K191" s="181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0">
        <f>'Données projet'!A180</f>
        <v>100</v>
      </c>
      <c r="B192" s="191">
        <f>'Données projet'!D180</f>
        <v>42</v>
      </c>
      <c r="C192" s="202">
        <v>50</v>
      </c>
      <c r="D192" s="189">
        <f t="shared" si="11"/>
        <v>2100</v>
      </c>
      <c r="E192" s="204"/>
      <c r="F192" s="261"/>
      <c r="G192" s="221"/>
      <c r="H192" s="201"/>
      <c r="I192" s="202"/>
      <c r="J192" s="5"/>
      <c r="K192" s="181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0">
        <f>'Données projet'!A181</f>
        <v>110</v>
      </c>
      <c r="B193" s="191">
        <f>'Données projet'!D181</f>
        <v>0</v>
      </c>
      <c r="C193" s="202"/>
      <c r="D193" s="189">
        <f t="shared" si="11"/>
        <v>0</v>
      </c>
      <c r="E193" s="204"/>
      <c r="F193" s="261"/>
      <c r="G193" s="221"/>
      <c r="H193" s="201"/>
      <c r="I193" s="202"/>
      <c r="J193" s="5"/>
      <c r="K193" s="181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0">
        <f>'Données projet'!A182</f>
        <v>120</v>
      </c>
      <c r="B194" s="191">
        <f>'Données projet'!D182</f>
        <v>52</v>
      </c>
      <c r="C194" s="202">
        <v>60</v>
      </c>
      <c r="D194" s="189">
        <f t="shared" si="11"/>
        <v>3120</v>
      </c>
      <c r="E194" s="204"/>
      <c r="F194" s="261"/>
      <c r="G194" s="221"/>
      <c r="H194" s="201"/>
      <c r="I194" s="202"/>
      <c r="J194" s="5"/>
      <c r="K194" s="181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0">
        <f>'Données projet'!A183</f>
        <v>130</v>
      </c>
      <c r="B195" s="191">
        <f>'Données projet'!D183</f>
        <v>0</v>
      </c>
      <c r="C195" s="202"/>
      <c r="D195" s="189">
        <f t="shared" si="11"/>
        <v>0</v>
      </c>
      <c r="E195" s="204"/>
      <c r="F195" s="261"/>
      <c r="G195" s="221"/>
      <c r="H195" s="201"/>
      <c r="I195" s="202"/>
      <c r="J195" s="5"/>
      <c r="K195" s="181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0">
        <f>'Données projet'!A184</f>
        <v>140</v>
      </c>
      <c r="B196" s="191">
        <f>'Données projet'!D184</f>
        <v>0</v>
      </c>
      <c r="C196" s="202"/>
      <c r="D196" s="189">
        <f t="shared" si="11"/>
        <v>0</v>
      </c>
      <c r="E196" s="204"/>
      <c r="F196" s="261"/>
      <c r="G196" s="221"/>
      <c r="H196" s="201"/>
      <c r="I196" s="202"/>
      <c r="J196" s="5"/>
      <c r="K196" s="181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0">
        <f>'Données projet'!A185</f>
        <v>150</v>
      </c>
      <c r="B197" s="191">
        <f>'Données projet'!D185</f>
        <v>262</v>
      </c>
      <c r="C197" s="202">
        <v>100</v>
      </c>
      <c r="D197" s="189">
        <f t="shared" si="11"/>
        <v>26200</v>
      </c>
      <c r="E197" s="204"/>
      <c r="F197" s="261"/>
      <c r="G197" s="221"/>
      <c r="H197" s="201"/>
      <c r="I197" s="202"/>
      <c r="J197" s="5"/>
      <c r="K197" s="181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59"/>
      <c r="G198" s="221"/>
      <c r="H198" s="201"/>
      <c r="I198" s="202"/>
      <c r="J198" s="5"/>
      <c r="K198" s="181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59"/>
      <c r="G199" s="221"/>
      <c r="H199" s="201"/>
      <c r="I199" s="202"/>
      <c r="J199" s="5"/>
      <c r="K199" s="181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4" t="str">
        <f>IF('Données projet'!$B$15="","",'Données projet'!$B$15)</f>
        <v>Erable champêtre</v>
      </c>
      <c r="C200" s="5"/>
      <c r="D200" s="5"/>
      <c r="E200" s="5"/>
      <c r="F200" s="259"/>
      <c r="G200" s="221"/>
      <c r="H200" s="201"/>
      <c r="I200" s="202"/>
      <c r="J200" s="5"/>
      <c r="K200" s="181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59"/>
      <c r="G201" s="221"/>
      <c r="H201" s="201"/>
      <c r="I201" s="202"/>
      <c r="J201" s="5"/>
      <c r="K201" s="181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5" t="s">
        <v>180</v>
      </c>
      <c r="B202" s="51" t="s">
        <v>256</v>
      </c>
      <c r="C202" s="51" t="s">
        <v>255</v>
      </c>
      <c r="D202" s="255" t="s">
        <v>252</v>
      </c>
      <c r="E202" s="255" t="s">
        <v>320</v>
      </c>
      <c r="F202" s="260"/>
      <c r="G202" s="221"/>
      <c r="H202" s="201"/>
      <c r="I202" s="202"/>
      <c r="J202" s="5"/>
      <c r="K202" s="181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08">
        <v>0</v>
      </c>
      <c r="B203" s="211" t="s">
        <v>132</v>
      </c>
      <c r="C203" s="210" t="s">
        <v>132</v>
      </c>
      <c r="D203" s="209" t="s">
        <v>132</v>
      </c>
      <c r="E203" s="204"/>
      <c r="F203" s="260"/>
      <c r="G203" s="221"/>
      <c r="H203" s="201"/>
      <c r="I203" s="202"/>
      <c r="J203" s="5"/>
      <c r="K203" s="181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08">
        <v>1</v>
      </c>
      <c r="B204" s="211" t="s">
        <v>132</v>
      </c>
      <c r="C204" s="210" t="s">
        <v>132</v>
      </c>
      <c r="D204" s="209" t="s">
        <v>132</v>
      </c>
      <c r="E204" s="204"/>
      <c r="F204" s="260"/>
      <c r="G204" s="219"/>
      <c r="H204" s="201"/>
      <c r="I204" s="202"/>
      <c r="J204" s="5"/>
      <c r="K204" s="181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08">
        <v>2</v>
      </c>
      <c r="B205" s="211" t="s">
        <v>132</v>
      </c>
      <c r="C205" s="210" t="s">
        <v>132</v>
      </c>
      <c r="D205" s="209" t="s">
        <v>132</v>
      </c>
      <c r="E205" s="204"/>
      <c r="F205" s="260"/>
      <c r="G205" s="219"/>
      <c r="H205" s="201"/>
      <c r="I205" s="202"/>
      <c r="J205" s="5"/>
      <c r="K205" s="181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08">
        <v>3</v>
      </c>
      <c r="B206" s="211" t="s">
        <v>132</v>
      </c>
      <c r="C206" s="210" t="s">
        <v>132</v>
      </c>
      <c r="D206" s="209" t="s">
        <v>132</v>
      </c>
      <c r="E206" s="204"/>
      <c r="F206" s="260"/>
      <c r="G206" s="219"/>
      <c r="H206" s="201"/>
      <c r="I206" s="202"/>
      <c r="J206" s="5"/>
      <c r="K206" s="181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08">
        <v>4</v>
      </c>
      <c r="B207" s="211" t="s">
        <v>132</v>
      </c>
      <c r="C207" s="210" t="s">
        <v>132</v>
      </c>
      <c r="D207" s="209" t="s">
        <v>132</v>
      </c>
      <c r="E207" s="204"/>
      <c r="F207" s="260"/>
      <c r="G207" s="219"/>
      <c r="H207" s="201"/>
      <c r="I207" s="202"/>
      <c r="J207" s="5"/>
      <c r="K207" s="181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08">
        <v>5</v>
      </c>
      <c r="B208" s="211" t="s">
        <v>132</v>
      </c>
      <c r="C208" s="210" t="s">
        <v>132</v>
      </c>
      <c r="D208" s="209" t="s">
        <v>132</v>
      </c>
      <c r="E208" s="204"/>
      <c r="F208" s="260"/>
      <c r="G208" s="220"/>
      <c r="H208" s="201"/>
      <c r="I208" s="202"/>
      <c r="J208" s="5"/>
      <c r="K208" s="181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0">
        <f>'Données projet'!A192</f>
        <v>20</v>
      </c>
      <c r="B209" s="191">
        <f>'Données projet'!D192</f>
        <v>0</v>
      </c>
      <c r="C209" s="204"/>
      <c r="D209" s="189">
        <f>B209*C209</f>
        <v>0</v>
      </c>
      <c r="E209" s="204"/>
      <c r="F209" s="261"/>
      <c r="G209" s="220"/>
      <c r="H209" s="201"/>
      <c r="I209" s="202"/>
      <c r="J209" s="5"/>
      <c r="K209" s="181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0">
        <f>'Données projet'!A193</f>
        <v>25</v>
      </c>
      <c r="B210" s="191">
        <f>'Données projet'!D193</f>
        <v>17</v>
      </c>
      <c r="C210" s="204">
        <v>10</v>
      </c>
      <c r="D210" s="189">
        <f t="shared" ref="D210:D228" si="12">B210*C210</f>
        <v>170</v>
      </c>
      <c r="E210" s="204"/>
      <c r="F210" s="261"/>
      <c r="G210" s="220"/>
      <c r="H210" s="201"/>
      <c r="I210" s="202"/>
      <c r="J210" s="5"/>
      <c r="K210" s="181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0">
        <f>'Données projet'!A194</f>
        <v>30</v>
      </c>
      <c r="B211" s="191">
        <f>'Données projet'!D194</f>
        <v>0</v>
      </c>
      <c r="C211" s="204"/>
      <c r="D211" s="189">
        <f t="shared" si="12"/>
        <v>0</v>
      </c>
      <c r="E211" s="204"/>
      <c r="F211" s="261"/>
      <c r="G211" s="220"/>
      <c r="H211" s="201"/>
      <c r="I211" s="202"/>
      <c r="J211" s="5"/>
      <c r="K211" s="181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0">
        <f>'Données projet'!A195</f>
        <v>35</v>
      </c>
      <c r="B212" s="191">
        <f>'Données projet'!D195</f>
        <v>28</v>
      </c>
      <c r="C212" s="204">
        <v>10</v>
      </c>
      <c r="D212" s="189">
        <f t="shared" si="12"/>
        <v>280</v>
      </c>
      <c r="E212" s="204"/>
      <c r="F212" s="261"/>
      <c r="G212" s="220"/>
      <c r="H212" s="201"/>
      <c r="I212" s="202"/>
      <c r="J212" s="5"/>
      <c r="K212" s="181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0">
        <f>'Données projet'!A196</f>
        <v>40</v>
      </c>
      <c r="B213" s="191">
        <f>'Données projet'!D196</f>
        <v>0</v>
      </c>
      <c r="C213" s="204"/>
      <c r="D213" s="189">
        <f t="shared" si="12"/>
        <v>0</v>
      </c>
      <c r="E213" s="204"/>
      <c r="F213" s="261"/>
      <c r="G213" s="220"/>
      <c r="H213" s="201"/>
      <c r="I213" s="202"/>
      <c r="J213" s="5"/>
      <c r="K213" s="181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0">
        <f>'Données projet'!A197</f>
        <v>45</v>
      </c>
      <c r="B214" s="191">
        <f>'Données projet'!D197</f>
        <v>28</v>
      </c>
      <c r="C214" s="204">
        <v>10</v>
      </c>
      <c r="D214" s="189">
        <f t="shared" si="12"/>
        <v>280</v>
      </c>
      <c r="E214" s="204"/>
      <c r="F214" s="261"/>
      <c r="G214" s="220"/>
      <c r="H214" s="201"/>
      <c r="I214" s="202"/>
      <c r="J214" s="5"/>
      <c r="K214" s="181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0">
        <f>'Données projet'!A198</f>
        <v>50</v>
      </c>
      <c r="B215" s="191">
        <f>'Données projet'!D198</f>
        <v>0</v>
      </c>
      <c r="C215" s="204"/>
      <c r="D215" s="189">
        <f t="shared" si="12"/>
        <v>0</v>
      </c>
      <c r="E215" s="204"/>
      <c r="F215" s="261"/>
      <c r="G215" s="221"/>
      <c r="H215" s="201"/>
      <c r="I215" s="202"/>
      <c r="J215" s="5"/>
      <c r="K215" s="181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0">
        <f>'Données projet'!A199</f>
        <v>55</v>
      </c>
      <c r="B216" s="191">
        <f>'Données projet'!D199</f>
        <v>20</v>
      </c>
      <c r="C216" s="204">
        <v>15</v>
      </c>
      <c r="D216" s="189">
        <f t="shared" si="12"/>
        <v>300</v>
      </c>
      <c r="E216" s="204"/>
      <c r="F216" s="261"/>
      <c r="G216" s="221"/>
      <c r="H216" s="201"/>
      <c r="I216" s="202"/>
      <c r="J216" s="5"/>
      <c r="K216" s="181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0">
        <f>'Données projet'!A200</f>
        <v>60</v>
      </c>
      <c r="B217" s="191">
        <f>'Données projet'!D200</f>
        <v>0</v>
      </c>
      <c r="C217" s="204"/>
      <c r="D217" s="189">
        <f t="shared" si="12"/>
        <v>0</v>
      </c>
      <c r="E217" s="204"/>
      <c r="F217" s="261"/>
      <c r="G217" s="221"/>
      <c r="H217" s="201"/>
      <c r="I217" s="202"/>
      <c r="J217" s="5"/>
      <c r="K217" s="181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0">
        <f>'Données projet'!A201</f>
        <v>65</v>
      </c>
      <c r="B218" s="191">
        <f>'Données projet'!D201</f>
        <v>13</v>
      </c>
      <c r="C218" s="204">
        <v>20</v>
      </c>
      <c r="D218" s="189">
        <f t="shared" si="12"/>
        <v>260</v>
      </c>
      <c r="E218" s="204"/>
      <c r="F218" s="261"/>
      <c r="G218" s="221"/>
      <c r="H218" s="201"/>
      <c r="I218" s="202"/>
      <c r="J218" s="5"/>
      <c r="K218" s="181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0">
        <f>'Données projet'!A202</f>
        <v>70</v>
      </c>
      <c r="B219" s="191">
        <f>'Données projet'!D202</f>
        <v>0</v>
      </c>
      <c r="C219" s="204"/>
      <c r="D219" s="189">
        <f t="shared" si="12"/>
        <v>0</v>
      </c>
      <c r="E219" s="204"/>
      <c r="F219" s="261"/>
      <c r="G219" s="221"/>
      <c r="H219" s="201"/>
      <c r="I219" s="202"/>
      <c r="J219" s="5"/>
      <c r="K219" s="181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0">
        <f>'Données projet'!A203</f>
        <v>75</v>
      </c>
      <c r="B220" s="191">
        <f>'Données projet'!D203</f>
        <v>0</v>
      </c>
      <c r="C220" s="204"/>
      <c r="D220" s="189">
        <f t="shared" si="12"/>
        <v>0</v>
      </c>
      <c r="E220" s="204"/>
      <c r="F220" s="261"/>
      <c r="G220" s="221"/>
      <c r="H220" s="5"/>
      <c r="I220" s="5"/>
      <c r="J220" s="5"/>
      <c r="K220" s="181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0">
        <f>'Données projet'!A204</f>
        <v>80</v>
      </c>
      <c r="B221" s="191">
        <f>'Données projet'!D204</f>
        <v>169</v>
      </c>
      <c r="C221" s="204">
        <v>40</v>
      </c>
      <c r="D221" s="189">
        <f t="shared" si="12"/>
        <v>6760</v>
      </c>
      <c r="E221" s="204"/>
      <c r="F221" s="261"/>
      <c r="G221" s="221"/>
      <c r="H221" s="5"/>
      <c r="I221" s="5"/>
      <c r="J221" s="5"/>
      <c r="K221" s="181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0">
        <f>'Données projet'!A205</f>
        <v>0</v>
      </c>
      <c r="B222" s="191">
        <f>'Données projet'!D205</f>
        <v>0</v>
      </c>
      <c r="C222" s="204"/>
      <c r="D222" s="189">
        <f t="shared" si="12"/>
        <v>0</v>
      </c>
      <c r="E222" s="204"/>
      <c r="F222" s="261"/>
      <c r="G222" s="221"/>
      <c r="H222" s="5"/>
      <c r="I222" s="5"/>
      <c r="J222" s="5"/>
      <c r="K222" s="181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0">
        <f>'Données projet'!A206</f>
        <v>0</v>
      </c>
      <c r="B223" s="191">
        <f>'Données projet'!D206</f>
        <v>0</v>
      </c>
      <c r="C223" s="204"/>
      <c r="D223" s="189">
        <f t="shared" si="12"/>
        <v>0</v>
      </c>
      <c r="E223" s="204"/>
      <c r="F223" s="261"/>
      <c r="G223" s="221"/>
      <c r="H223" s="5"/>
      <c r="I223" s="5"/>
      <c r="J223" s="5"/>
      <c r="K223" s="181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0">
        <f>'Données projet'!A207</f>
        <v>0</v>
      </c>
      <c r="B224" s="191">
        <f>'Données projet'!D207</f>
        <v>0</v>
      </c>
      <c r="C224" s="204"/>
      <c r="D224" s="189">
        <f t="shared" si="12"/>
        <v>0</v>
      </c>
      <c r="E224" s="204"/>
      <c r="F224" s="261"/>
      <c r="G224" s="221"/>
      <c r="H224" s="5"/>
      <c r="I224" s="5"/>
      <c r="J224" s="5"/>
      <c r="K224" s="181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0">
        <f>'Données projet'!A208</f>
        <v>0</v>
      </c>
      <c r="B225" s="191">
        <f>'Données projet'!D208</f>
        <v>0</v>
      </c>
      <c r="C225" s="204"/>
      <c r="D225" s="189">
        <f t="shared" si="12"/>
        <v>0</v>
      </c>
      <c r="E225" s="204"/>
      <c r="F225" s="261"/>
      <c r="G225" s="221"/>
      <c r="H225" s="5"/>
      <c r="I225" s="5"/>
      <c r="J225" s="5"/>
      <c r="K225" s="181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0">
        <f>'Données projet'!A209</f>
        <v>0</v>
      </c>
      <c r="B226" s="191">
        <f>'Données projet'!D209</f>
        <v>0</v>
      </c>
      <c r="C226" s="204"/>
      <c r="D226" s="189">
        <f t="shared" si="12"/>
        <v>0</v>
      </c>
      <c r="E226" s="204"/>
      <c r="F226" s="261"/>
      <c r="G226" s="221"/>
      <c r="H226" s="5"/>
      <c r="I226" s="5"/>
      <c r="J226" s="5"/>
      <c r="K226" s="181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0">
        <f>'Données projet'!A210</f>
        <v>0</v>
      </c>
      <c r="B227" s="191">
        <f>'Données projet'!D210</f>
        <v>0</v>
      </c>
      <c r="C227" s="204"/>
      <c r="D227" s="189">
        <f t="shared" si="12"/>
        <v>0</v>
      </c>
      <c r="E227" s="204"/>
      <c r="F227" s="261"/>
      <c r="G227" s="221"/>
      <c r="H227" s="5"/>
      <c r="I227" s="5"/>
      <c r="J227" s="5"/>
      <c r="K227" s="181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0">
        <f>'Données projet'!A211</f>
        <v>0</v>
      </c>
      <c r="B228" s="191">
        <f>'Données projet'!D211</f>
        <v>0</v>
      </c>
      <c r="C228" s="204"/>
      <c r="D228" s="189">
        <f t="shared" si="12"/>
        <v>0</v>
      </c>
      <c r="E228" s="204"/>
      <c r="F228" s="261"/>
      <c r="G228" s="221"/>
      <c r="H228" s="5"/>
      <c r="I228" s="5"/>
      <c r="J228" s="5"/>
      <c r="K228" s="181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59"/>
      <c r="G229" s="221"/>
      <c r="H229" s="5"/>
      <c r="I229" s="5"/>
      <c r="J229" s="5"/>
      <c r="K229" s="181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59"/>
      <c r="G230" s="221"/>
      <c r="H230" s="5"/>
      <c r="I230" s="5"/>
      <c r="J230" s="5"/>
      <c r="K230" s="181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4" t="str">
        <f>IF('Données projet'!$B$16="","",'Données projet'!$B$16)</f>
        <v/>
      </c>
      <c r="C231" s="5"/>
      <c r="D231" s="5"/>
      <c r="E231" s="5"/>
      <c r="F231" s="259"/>
      <c r="G231" s="221"/>
      <c r="H231" s="5"/>
      <c r="I231" s="5"/>
      <c r="J231" s="5"/>
      <c r="K231" s="181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59"/>
      <c r="G232" s="221"/>
      <c r="H232" s="5"/>
      <c r="I232" s="5"/>
      <c r="J232" s="5"/>
      <c r="K232" s="181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5" t="s">
        <v>180</v>
      </c>
      <c r="B233" s="51" t="s">
        <v>256</v>
      </c>
      <c r="C233" s="51" t="s">
        <v>255</v>
      </c>
      <c r="D233" s="255" t="s">
        <v>252</v>
      </c>
      <c r="E233" s="255" t="s">
        <v>320</v>
      </c>
      <c r="F233" s="260"/>
      <c r="G233" s="221"/>
      <c r="H233" s="5"/>
      <c r="I233" s="5"/>
      <c r="J233" s="5"/>
      <c r="K233" s="181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08">
        <v>0</v>
      </c>
      <c r="B234" s="211" t="s">
        <v>132</v>
      </c>
      <c r="C234" s="210" t="s">
        <v>132</v>
      </c>
      <c r="D234" s="209" t="s">
        <v>132</v>
      </c>
      <c r="E234" s="204"/>
      <c r="F234" s="260"/>
      <c r="G234" s="221"/>
      <c r="H234" s="5"/>
      <c r="I234" s="5"/>
      <c r="J234" s="5"/>
      <c r="K234" s="181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08">
        <v>1</v>
      </c>
      <c r="B235" s="211" t="s">
        <v>132</v>
      </c>
      <c r="C235" s="210" t="s">
        <v>132</v>
      </c>
      <c r="D235" s="209" t="s">
        <v>132</v>
      </c>
      <c r="E235" s="204"/>
      <c r="F235" s="260"/>
      <c r="G235" s="219"/>
      <c r="H235" s="5"/>
      <c r="I235" s="5"/>
      <c r="J235" s="5"/>
      <c r="K235" s="181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08">
        <v>2</v>
      </c>
      <c r="B236" s="211" t="s">
        <v>132</v>
      </c>
      <c r="C236" s="210" t="s">
        <v>132</v>
      </c>
      <c r="D236" s="209" t="s">
        <v>132</v>
      </c>
      <c r="E236" s="204"/>
      <c r="F236" s="260"/>
      <c r="G236" s="219"/>
      <c r="H236" s="5"/>
      <c r="I236" s="5"/>
      <c r="J236" s="5"/>
      <c r="K236" s="181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08">
        <v>3</v>
      </c>
      <c r="B237" s="211" t="s">
        <v>132</v>
      </c>
      <c r="C237" s="210" t="s">
        <v>132</v>
      </c>
      <c r="D237" s="209" t="s">
        <v>132</v>
      </c>
      <c r="E237" s="204"/>
      <c r="F237" s="260"/>
      <c r="G237" s="219"/>
      <c r="H237" s="5"/>
      <c r="I237" s="5"/>
      <c r="J237" s="5"/>
      <c r="K237" s="181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08">
        <v>4</v>
      </c>
      <c r="B238" s="211" t="s">
        <v>132</v>
      </c>
      <c r="C238" s="210" t="s">
        <v>132</v>
      </c>
      <c r="D238" s="209" t="s">
        <v>132</v>
      </c>
      <c r="E238" s="204"/>
      <c r="F238" s="260"/>
      <c r="G238" s="219"/>
      <c r="H238" s="5"/>
      <c r="I238" s="5"/>
      <c r="J238" s="5"/>
      <c r="K238" s="181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08">
        <v>5</v>
      </c>
      <c r="B239" s="211" t="s">
        <v>132</v>
      </c>
      <c r="C239" s="210" t="s">
        <v>132</v>
      </c>
      <c r="D239" s="209" t="s">
        <v>132</v>
      </c>
      <c r="E239" s="204"/>
      <c r="F239" s="260"/>
      <c r="G239" s="220"/>
      <c r="H239" s="5"/>
      <c r="I239" s="5"/>
      <c r="J239" s="5"/>
      <c r="K239" s="181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0">
        <f>'Données projet'!A218</f>
        <v>0</v>
      </c>
      <c r="B240" s="191">
        <f>'Données projet'!D218</f>
        <v>0</v>
      </c>
      <c r="C240" s="204"/>
      <c r="D240" s="189">
        <f>B240*C240</f>
        <v>0</v>
      </c>
      <c r="E240" s="204"/>
      <c r="F240" s="261"/>
      <c r="G240" s="220"/>
      <c r="H240" s="5"/>
      <c r="I240" s="5"/>
      <c r="J240" s="5"/>
      <c r="K240" s="181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0">
        <f>'Données projet'!A219</f>
        <v>0</v>
      </c>
      <c r="B241" s="191">
        <f>'Données projet'!D219</f>
        <v>0</v>
      </c>
      <c r="C241" s="204"/>
      <c r="D241" s="189">
        <f t="shared" ref="D241:D259" si="13">B241*C241</f>
        <v>0</v>
      </c>
      <c r="E241" s="204"/>
      <c r="F241" s="261"/>
      <c r="G241" s="220"/>
      <c r="H241" s="5"/>
      <c r="I241" s="5"/>
      <c r="J241" s="5"/>
      <c r="K241" s="181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0">
        <f>'Données projet'!A220</f>
        <v>0</v>
      </c>
      <c r="B242" s="191">
        <f>'Données projet'!D220</f>
        <v>0</v>
      </c>
      <c r="C242" s="204"/>
      <c r="D242" s="189">
        <f t="shared" si="13"/>
        <v>0</v>
      </c>
      <c r="E242" s="204"/>
      <c r="F242" s="261"/>
      <c r="G242" s="220"/>
      <c r="H242" s="5"/>
      <c r="I242" s="5"/>
      <c r="J242" s="5"/>
      <c r="K242" s="181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0">
        <f>'Données projet'!A221</f>
        <v>0</v>
      </c>
      <c r="B243" s="191">
        <f>'Données projet'!D221</f>
        <v>0</v>
      </c>
      <c r="C243" s="204"/>
      <c r="D243" s="189">
        <f t="shared" si="13"/>
        <v>0</v>
      </c>
      <c r="E243" s="204"/>
      <c r="F243" s="261"/>
      <c r="G243" s="220"/>
      <c r="H243" s="5"/>
      <c r="I243" s="5"/>
      <c r="J243" s="5"/>
      <c r="K243" s="181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0">
        <f>'Données projet'!A222</f>
        <v>0</v>
      </c>
      <c r="B244" s="191">
        <f>'Données projet'!D222</f>
        <v>0</v>
      </c>
      <c r="C244" s="204"/>
      <c r="D244" s="189">
        <f t="shared" si="13"/>
        <v>0</v>
      </c>
      <c r="E244" s="204"/>
      <c r="F244" s="261"/>
      <c r="G244" s="220"/>
      <c r="H244" s="5"/>
      <c r="I244" s="5"/>
      <c r="J244" s="5"/>
      <c r="K244" s="181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0">
        <f>'Données projet'!A223</f>
        <v>0</v>
      </c>
      <c r="B245" s="191">
        <f>'Données projet'!D223</f>
        <v>0</v>
      </c>
      <c r="C245" s="204"/>
      <c r="D245" s="189">
        <f t="shared" si="13"/>
        <v>0</v>
      </c>
      <c r="E245" s="204"/>
      <c r="F245" s="261"/>
      <c r="G245" s="220"/>
      <c r="H245" s="5"/>
      <c r="I245" s="5"/>
      <c r="J245" s="5"/>
      <c r="K245" s="181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0">
        <f>'Données projet'!A224</f>
        <v>0</v>
      </c>
      <c r="B246" s="191">
        <f>'Données projet'!D224</f>
        <v>0</v>
      </c>
      <c r="C246" s="204"/>
      <c r="D246" s="189">
        <f t="shared" si="13"/>
        <v>0</v>
      </c>
      <c r="E246" s="204"/>
      <c r="F246" s="261"/>
      <c r="G246" s="221"/>
      <c r="H246" s="5"/>
      <c r="I246" s="5"/>
      <c r="J246" s="5"/>
      <c r="K246" s="181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0">
        <f>'Données projet'!A225</f>
        <v>0</v>
      </c>
      <c r="B247" s="191">
        <f>'Données projet'!D225</f>
        <v>0</v>
      </c>
      <c r="C247" s="204"/>
      <c r="D247" s="189">
        <f t="shared" si="13"/>
        <v>0</v>
      </c>
      <c r="E247" s="204"/>
      <c r="F247" s="261"/>
      <c r="G247" s="221"/>
      <c r="H247" s="5"/>
      <c r="I247" s="5"/>
      <c r="J247" s="5"/>
      <c r="K247" s="181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0">
        <f>'Données projet'!A226</f>
        <v>0</v>
      </c>
      <c r="B248" s="191">
        <f>'Données projet'!D226</f>
        <v>0</v>
      </c>
      <c r="C248" s="204"/>
      <c r="D248" s="189">
        <f t="shared" si="13"/>
        <v>0</v>
      </c>
      <c r="E248" s="204"/>
      <c r="F248" s="261"/>
      <c r="G248" s="221"/>
      <c r="H248" s="5"/>
      <c r="I248" s="5"/>
      <c r="J248" s="5"/>
      <c r="K248" s="181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0">
        <f>'Données projet'!A227</f>
        <v>0</v>
      </c>
      <c r="B249" s="191">
        <f>'Données projet'!D227</f>
        <v>0</v>
      </c>
      <c r="C249" s="204"/>
      <c r="D249" s="189">
        <f t="shared" si="13"/>
        <v>0</v>
      </c>
      <c r="E249" s="204"/>
      <c r="F249" s="261"/>
      <c r="G249" s="221"/>
      <c r="H249" s="5"/>
      <c r="I249" s="5"/>
      <c r="J249" s="5"/>
      <c r="K249" s="181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0">
        <f>'Données projet'!A228</f>
        <v>0</v>
      </c>
      <c r="B250" s="191">
        <f>'Données projet'!D228</f>
        <v>0</v>
      </c>
      <c r="C250" s="204"/>
      <c r="D250" s="189">
        <f t="shared" si="13"/>
        <v>0</v>
      </c>
      <c r="E250" s="204"/>
      <c r="F250" s="261"/>
      <c r="G250" s="221"/>
      <c r="H250" s="5"/>
      <c r="I250" s="5"/>
      <c r="J250" s="5"/>
      <c r="K250" s="181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0">
        <f>'Données projet'!A229</f>
        <v>0</v>
      </c>
      <c r="B251" s="191">
        <f>'Données projet'!D229</f>
        <v>0</v>
      </c>
      <c r="C251" s="204"/>
      <c r="D251" s="189">
        <f t="shared" si="13"/>
        <v>0</v>
      </c>
      <c r="E251" s="204"/>
      <c r="F251" s="261"/>
      <c r="G251" s="221"/>
      <c r="H251" s="5"/>
      <c r="I251" s="5"/>
      <c r="J251" s="5"/>
      <c r="K251" s="181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0">
        <f>'Données projet'!A230</f>
        <v>0</v>
      </c>
      <c r="B252" s="191">
        <f>'Données projet'!D230</f>
        <v>0</v>
      </c>
      <c r="C252" s="204"/>
      <c r="D252" s="189">
        <f t="shared" si="13"/>
        <v>0</v>
      </c>
      <c r="E252" s="204"/>
      <c r="F252" s="261"/>
      <c r="G252" s="221"/>
      <c r="H252" s="5"/>
      <c r="I252" s="5"/>
      <c r="J252" s="5"/>
      <c r="K252" s="181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0">
        <f>'Données projet'!A231</f>
        <v>0</v>
      </c>
      <c r="B253" s="191">
        <f>'Données projet'!D231</f>
        <v>0</v>
      </c>
      <c r="C253" s="204"/>
      <c r="D253" s="189">
        <f t="shared" si="13"/>
        <v>0</v>
      </c>
      <c r="E253" s="204"/>
      <c r="F253" s="261"/>
      <c r="G253" s="221"/>
      <c r="H253" s="5"/>
      <c r="I253" s="5"/>
      <c r="J253" s="5"/>
      <c r="K253" s="181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0">
        <f>'Données projet'!A232</f>
        <v>0</v>
      </c>
      <c r="B254" s="191">
        <f>'Données projet'!D232</f>
        <v>0</v>
      </c>
      <c r="C254" s="204"/>
      <c r="D254" s="189">
        <f t="shared" si="13"/>
        <v>0</v>
      </c>
      <c r="E254" s="204"/>
      <c r="F254" s="261"/>
      <c r="G254" s="221"/>
      <c r="H254" s="5"/>
      <c r="I254" s="5"/>
      <c r="J254" s="5"/>
      <c r="K254" s="181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0">
        <f>'Données projet'!A233</f>
        <v>0</v>
      </c>
      <c r="B255" s="191">
        <f>'Données projet'!D233</f>
        <v>0</v>
      </c>
      <c r="C255" s="204"/>
      <c r="D255" s="189">
        <f t="shared" si="13"/>
        <v>0</v>
      </c>
      <c r="E255" s="204"/>
      <c r="F255" s="261"/>
      <c r="G255" s="221"/>
      <c r="H255" s="5"/>
      <c r="I255" s="5"/>
      <c r="J255" s="5"/>
      <c r="K255" s="181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0">
        <f>'Données projet'!A234</f>
        <v>0</v>
      </c>
      <c r="B256" s="191">
        <f>'Données projet'!D234</f>
        <v>0</v>
      </c>
      <c r="C256" s="204"/>
      <c r="D256" s="189">
        <f t="shared" si="13"/>
        <v>0</v>
      </c>
      <c r="E256" s="204"/>
      <c r="F256" s="261"/>
      <c r="G256" s="221"/>
      <c r="H256" s="5"/>
      <c r="I256" s="5"/>
      <c r="J256" s="5"/>
      <c r="K256" s="181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0">
        <f>'Données projet'!A235</f>
        <v>0</v>
      </c>
      <c r="B257" s="191">
        <f>'Données projet'!D235</f>
        <v>0</v>
      </c>
      <c r="C257" s="204"/>
      <c r="D257" s="189">
        <f t="shared" si="13"/>
        <v>0</v>
      </c>
      <c r="E257" s="204"/>
      <c r="F257" s="261"/>
      <c r="G257" s="221"/>
      <c r="H257" s="5"/>
      <c r="I257" s="5"/>
      <c r="J257" s="5"/>
      <c r="K257" s="181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0">
        <f>'Données projet'!A236</f>
        <v>0</v>
      </c>
      <c r="B258" s="191">
        <f>'Données projet'!D236</f>
        <v>0</v>
      </c>
      <c r="C258" s="204"/>
      <c r="D258" s="189">
        <f t="shared" si="13"/>
        <v>0</v>
      </c>
      <c r="E258" s="204"/>
      <c r="F258" s="261"/>
      <c r="G258" s="221"/>
      <c r="H258" s="5"/>
      <c r="I258" s="5"/>
      <c r="J258" s="5"/>
      <c r="K258" s="181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0">
        <f>'Données projet'!A237</f>
        <v>0</v>
      </c>
      <c r="B259" s="191">
        <f>'Données projet'!D237</f>
        <v>0</v>
      </c>
      <c r="C259" s="204"/>
      <c r="D259" s="189">
        <f t="shared" si="13"/>
        <v>0</v>
      </c>
      <c r="E259" s="204"/>
      <c r="F259" s="261"/>
      <c r="G259" s="221"/>
      <c r="H259" s="5"/>
      <c r="I259" s="5"/>
      <c r="J259" s="5"/>
      <c r="K259" s="181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59"/>
      <c r="G260" s="221"/>
      <c r="H260" s="5"/>
      <c r="I260" s="5"/>
      <c r="J260" s="5"/>
      <c r="K260" s="181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59"/>
      <c r="G261" s="221"/>
      <c r="H261" s="5"/>
      <c r="I261" s="5"/>
      <c r="J261" s="5"/>
      <c r="K261" s="181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4" t="str">
        <f>IF('Données projet'!$B$17="","",'Données projet'!$B$17)</f>
        <v/>
      </c>
      <c r="C262" s="5"/>
      <c r="D262" s="5"/>
      <c r="E262" s="5"/>
      <c r="F262" s="259"/>
      <c r="G262" s="221"/>
      <c r="H262" s="5"/>
      <c r="I262" s="5"/>
      <c r="J262" s="5"/>
      <c r="K262" s="181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59"/>
      <c r="G263" s="221"/>
      <c r="H263" s="5"/>
      <c r="I263" s="5"/>
      <c r="J263" s="5"/>
      <c r="K263" s="181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5" t="s">
        <v>180</v>
      </c>
      <c r="B264" s="51" t="s">
        <v>256</v>
      </c>
      <c r="C264" s="51" t="s">
        <v>255</v>
      </c>
      <c r="D264" s="255" t="s">
        <v>252</v>
      </c>
      <c r="E264" s="255" t="s">
        <v>320</v>
      </c>
      <c r="F264" s="260"/>
      <c r="G264" s="221"/>
      <c r="H264" s="5"/>
      <c r="I264" s="5"/>
      <c r="J264" s="5"/>
      <c r="K264" s="181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08">
        <v>0</v>
      </c>
      <c r="B265" s="211" t="s">
        <v>132</v>
      </c>
      <c r="C265" s="210" t="s">
        <v>132</v>
      </c>
      <c r="D265" s="209" t="s">
        <v>132</v>
      </c>
      <c r="E265" s="204"/>
      <c r="F265" s="260"/>
      <c r="G265" s="221"/>
      <c r="H265" s="5"/>
      <c r="I265" s="5"/>
      <c r="J265" s="5"/>
      <c r="K265" s="181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08">
        <v>1</v>
      </c>
      <c r="B266" s="211" t="s">
        <v>132</v>
      </c>
      <c r="C266" s="210" t="s">
        <v>132</v>
      </c>
      <c r="D266" s="209" t="s">
        <v>132</v>
      </c>
      <c r="E266" s="204"/>
      <c r="F266" s="260"/>
      <c r="G266" s="219"/>
      <c r="H266" s="5"/>
      <c r="I266" s="5"/>
      <c r="J266" s="5"/>
      <c r="K266" s="181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08">
        <v>2</v>
      </c>
      <c r="B267" s="211" t="s">
        <v>132</v>
      </c>
      <c r="C267" s="210" t="s">
        <v>132</v>
      </c>
      <c r="D267" s="209" t="s">
        <v>132</v>
      </c>
      <c r="E267" s="204"/>
      <c r="F267" s="260"/>
      <c r="G267" s="219"/>
      <c r="H267" s="5"/>
      <c r="I267" s="5"/>
      <c r="J267" s="5"/>
      <c r="K267" s="181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08">
        <v>3</v>
      </c>
      <c r="B268" s="211" t="s">
        <v>132</v>
      </c>
      <c r="C268" s="210" t="s">
        <v>132</v>
      </c>
      <c r="D268" s="209" t="s">
        <v>132</v>
      </c>
      <c r="E268" s="204"/>
      <c r="F268" s="260"/>
      <c r="G268" s="219"/>
      <c r="H268" s="5"/>
      <c r="I268" s="5"/>
      <c r="J268" s="5"/>
      <c r="K268" s="181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08">
        <v>4</v>
      </c>
      <c r="B269" s="211" t="s">
        <v>132</v>
      </c>
      <c r="C269" s="210" t="s">
        <v>132</v>
      </c>
      <c r="D269" s="209" t="s">
        <v>132</v>
      </c>
      <c r="E269" s="204"/>
      <c r="F269" s="260"/>
      <c r="G269" s="219"/>
      <c r="H269" s="5"/>
      <c r="I269" s="5"/>
      <c r="J269" s="5"/>
      <c r="K269" s="181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08">
        <v>5</v>
      </c>
      <c r="B270" s="211" t="s">
        <v>132</v>
      </c>
      <c r="C270" s="210" t="s">
        <v>132</v>
      </c>
      <c r="D270" s="209" t="s">
        <v>132</v>
      </c>
      <c r="E270" s="204"/>
      <c r="F270" s="260"/>
      <c r="G270" s="220"/>
      <c r="H270" s="5"/>
      <c r="I270" s="5"/>
      <c r="J270" s="5"/>
      <c r="K270" s="181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0">
        <f>'Données projet'!A244</f>
        <v>0</v>
      </c>
      <c r="B271" s="191">
        <f>'Données projet'!D244</f>
        <v>0</v>
      </c>
      <c r="C271" s="204"/>
      <c r="D271" s="189">
        <f>B271*C271</f>
        <v>0</v>
      </c>
      <c r="E271" s="204"/>
      <c r="F271" s="261"/>
      <c r="G271" s="220"/>
      <c r="H271" s="5"/>
      <c r="I271" s="5"/>
      <c r="J271" s="5"/>
      <c r="K271" s="181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0">
        <f>'Données projet'!A245</f>
        <v>0</v>
      </c>
      <c r="B272" s="191">
        <f>'Données projet'!D245</f>
        <v>0</v>
      </c>
      <c r="C272" s="204"/>
      <c r="D272" s="189">
        <f t="shared" ref="D272:D290" si="14">B272*C272</f>
        <v>0</v>
      </c>
      <c r="E272" s="204"/>
      <c r="F272" s="261"/>
      <c r="G272" s="220"/>
      <c r="H272" s="5"/>
      <c r="I272" s="5"/>
      <c r="J272" s="5"/>
      <c r="K272" s="181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0">
        <f>'Données projet'!A246</f>
        <v>0</v>
      </c>
      <c r="B273" s="191">
        <f>'Données projet'!D246</f>
        <v>0</v>
      </c>
      <c r="C273" s="204"/>
      <c r="D273" s="189">
        <f t="shared" si="14"/>
        <v>0</v>
      </c>
      <c r="E273" s="204"/>
      <c r="F273" s="261"/>
      <c r="G273" s="220"/>
      <c r="H273" s="5"/>
      <c r="I273" s="5"/>
      <c r="J273" s="5"/>
      <c r="K273" s="181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0">
        <f>'Données projet'!A247</f>
        <v>0</v>
      </c>
      <c r="B274" s="191">
        <f>'Données projet'!D247</f>
        <v>0</v>
      </c>
      <c r="C274" s="204"/>
      <c r="D274" s="189">
        <f t="shared" si="14"/>
        <v>0</v>
      </c>
      <c r="E274" s="204"/>
      <c r="F274" s="261"/>
      <c r="G274" s="220"/>
      <c r="H274" s="5"/>
      <c r="I274" s="5"/>
      <c r="J274" s="5"/>
      <c r="K274" s="181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0">
        <f>'Données projet'!A248</f>
        <v>0</v>
      </c>
      <c r="B275" s="191">
        <f>'Données projet'!D248</f>
        <v>0</v>
      </c>
      <c r="C275" s="204"/>
      <c r="D275" s="189">
        <f t="shared" si="14"/>
        <v>0</v>
      </c>
      <c r="E275" s="204"/>
      <c r="F275" s="261"/>
      <c r="G275" s="220"/>
      <c r="H275" s="5"/>
      <c r="I275" s="5"/>
      <c r="J275" s="5"/>
      <c r="K275" s="181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0">
        <f>'Données projet'!A249</f>
        <v>0</v>
      </c>
      <c r="B276" s="191">
        <f>'Données projet'!D249</f>
        <v>0</v>
      </c>
      <c r="C276" s="204"/>
      <c r="D276" s="189">
        <f t="shared" si="14"/>
        <v>0</v>
      </c>
      <c r="E276" s="204"/>
      <c r="F276" s="261"/>
      <c r="G276" s="220"/>
      <c r="H276" s="5"/>
      <c r="I276" s="5"/>
      <c r="J276" s="5"/>
      <c r="K276" s="181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0">
        <f>'Données projet'!A250</f>
        <v>0</v>
      </c>
      <c r="B277" s="191">
        <f>'Données projet'!D250</f>
        <v>0</v>
      </c>
      <c r="C277" s="204"/>
      <c r="D277" s="189">
        <f t="shared" si="14"/>
        <v>0</v>
      </c>
      <c r="E277" s="204"/>
      <c r="F277" s="261"/>
      <c r="G277" s="221"/>
      <c r="H277" s="5"/>
      <c r="I277" s="5"/>
      <c r="J277" s="5"/>
      <c r="K277" s="181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0">
        <f>'Données projet'!A251</f>
        <v>0</v>
      </c>
      <c r="B278" s="191">
        <f>'Données projet'!D251</f>
        <v>0</v>
      </c>
      <c r="C278" s="204"/>
      <c r="D278" s="189">
        <f t="shared" si="14"/>
        <v>0</v>
      </c>
      <c r="E278" s="204"/>
      <c r="F278" s="261"/>
      <c r="G278" s="221"/>
      <c r="H278" s="5"/>
      <c r="I278" s="5"/>
      <c r="J278" s="5"/>
      <c r="K278" s="181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0">
        <f>'Données projet'!A252</f>
        <v>0</v>
      </c>
      <c r="B279" s="191">
        <f>'Données projet'!D252</f>
        <v>0</v>
      </c>
      <c r="C279" s="204"/>
      <c r="D279" s="189">
        <f t="shared" si="14"/>
        <v>0</v>
      </c>
      <c r="E279" s="204"/>
      <c r="F279" s="261"/>
      <c r="G279" s="221"/>
      <c r="H279" s="5"/>
      <c r="I279" s="5"/>
      <c r="J279" s="5"/>
      <c r="K279" s="181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0">
        <f>'Données projet'!A253</f>
        <v>0</v>
      </c>
      <c r="B280" s="191">
        <f>'Données projet'!D253</f>
        <v>0</v>
      </c>
      <c r="C280" s="204"/>
      <c r="D280" s="189">
        <f t="shared" si="14"/>
        <v>0</v>
      </c>
      <c r="E280" s="204"/>
      <c r="F280" s="261"/>
      <c r="G280" s="221"/>
      <c r="H280" s="5"/>
      <c r="I280" s="5"/>
      <c r="J280" s="5"/>
      <c r="K280" s="181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0">
        <f>'Données projet'!A254</f>
        <v>0</v>
      </c>
      <c r="B281" s="191">
        <f>'Données projet'!D254</f>
        <v>0</v>
      </c>
      <c r="C281" s="204"/>
      <c r="D281" s="189">
        <f t="shared" si="14"/>
        <v>0</v>
      </c>
      <c r="E281" s="204"/>
      <c r="F281" s="261"/>
      <c r="G281" s="221"/>
      <c r="H281" s="5"/>
      <c r="I281" s="5"/>
      <c r="J281" s="5"/>
      <c r="K281" s="181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0">
        <f>'Données projet'!A255</f>
        <v>0</v>
      </c>
      <c r="B282" s="191">
        <f>'Données projet'!D255</f>
        <v>0</v>
      </c>
      <c r="C282" s="204"/>
      <c r="D282" s="189">
        <f t="shared" si="14"/>
        <v>0</v>
      </c>
      <c r="E282" s="204"/>
      <c r="F282" s="261"/>
      <c r="G282" s="221"/>
      <c r="H282" s="5"/>
      <c r="I282" s="5"/>
      <c r="J282" s="5"/>
      <c r="K282" s="181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0">
        <f>'Données projet'!A256</f>
        <v>0</v>
      </c>
      <c r="B283" s="191">
        <f>'Données projet'!D256</f>
        <v>0</v>
      </c>
      <c r="C283" s="204"/>
      <c r="D283" s="189">
        <f t="shared" si="14"/>
        <v>0</v>
      </c>
      <c r="E283" s="204"/>
      <c r="F283" s="261"/>
      <c r="G283" s="221"/>
      <c r="H283" s="5"/>
      <c r="I283" s="5"/>
      <c r="J283" s="5"/>
      <c r="K283" s="181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0">
        <f>'Données projet'!A257</f>
        <v>0</v>
      </c>
      <c r="B284" s="191">
        <f>'Données projet'!D257</f>
        <v>0</v>
      </c>
      <c r="C284" s="204"/>
      <c r="D284" s="189">
        <f t="shared" si="14"/>
        <v>0</v>
      </c>
      <c r="E284" s="204"/>
      <c r="F284" s="261"/>
      <c r="G284" s="221"/>
      <c r="H284" s="5"/>
      <c r="I284" s="5"/>
      <c r="J284" s="5"/>
      <c r="K284" s="181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0">
        <f>'Données projet'!A258</f>
        <v>0</v>
      </c>
      <c r="B285" s="191">
        <f>'Données projet'!D258</f>
        <v>0</v>
      </c>
      <c r="C285" s="204"/>
      <c r="D285" s="189">
        <f t="shared" si="14"/>
        <v>0</v>
      </c>
      <c r="E285" s="204"/>
      <c r="F285" s="261"/>
      <c r="G285" s="221"/>
      <c r="H285" s="5"/>
      <c r="I285" s="5"/>
      <c r="J285" s="5"/>
      <c r="K285" s="181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0">
        <f>'Données projet'!A259</f>
        <v>0</v>
      </c>
      <c r="B286" s="191">
        <f>'Données projet'!D259</f>
        <v>0</v>
      </c>
      <c r="C286" s="204"/>
      <c r="D286" s="189">
        <f t="shared" si="14"/>
        <v>0</v>
      </c>
      <c r="E286" s="204"/>
      <c r="F286" s="261"/>
      <c r="G286" s="221"/>
      <c r="H286" s="5"/>
      <c r="I286" s="5"/>
      <c r="J286" s="5"/>
      <c r="K286" s="181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0">
        <f>'Données projet'!A260</f>
        <v>0</v>
      </c>
      <c r="B287" s="191">
        <f>'Données projet'!D260</f>
        <v>0</v>
      </c>
      <c r="C287" s="204"/>
      <c r="D287" s="189">
        <f t="shared" si="14"/>
        <v>0</v>
      </c>
      <c r="E287" s="204"/>
      <c r="F287" s="261"/>
      <c r="G287" s="221"/>
      <c r="H287" s="5"/>
      <c r="I287" s="5"/>
      <c r="J287" s="5"/>
      <c r="K287" s="181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0">
        <f>'Données projet'!A261</f>
        <v>0</v>
      </c>
      <c r="B288" s="191">
        <f>'Données projet'!D261</f>
        <v>0</v>
      </c>
      <c r="C288" s="204"/>
      <c r="D288" s="189">
        <f t="shared" si="14"/>
        <v>0</v>
      </c>
      <c r="E288" s="204"/>
      <c r="F288" s="261"/>
      <c r="G288" s="221"/>
      <c r="H288" s="5"/>
      <c r="I288" s="5"/>
      <c r="J288" s="5"/>
      <c r="K288" s="181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0">
        <f>'Données projet'!A262</f>
        <v>0</v>
      </c>
      <c r="B289" s="191">
        <f>'Données projet'!D262</f>
        <v>0</v>
      </c>
      <c r="C289" s="204"/>
      <c r="D289" s="189">
        <f t="shared" si="14"/>
        <v>0</v>
      </c>
      <c r="E289" s="204"/>
      <c r="F289" s="261"/>
      <c r="G289" s="221"/>
      <c r="H289" s="5"/>
      <c r="I289" s="5"/>
      <c r="J289" s="5"/>
      <c r="K289" s="181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0">
        <f>'Données projet'!A263</f>
        <v>0</v>
      </c>
      <c r="B290" s="191">
        <f>'Données projet'!D263</f>
        <v>0</v>
      </c>
      <c r="C290" s="204"/>
      <c r="D290" s="189">
        <f t="shared" si="14"/>
        <v>0</v>
      </c>
      <c r="E290" s="204"/>
      <c r="F290" s="261"/>
      <c r="G290" s="221"/>
      <c r="H290" s="5"/>
      <c r="I290" s="5"/>
      <c r="J290" s="5"/>
      <c r="K290" s="181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59"/>
      <c r="G291" s="221"/>
      <c r="H291" s="5"/>
      <c r="I291" s="5"/>
      <c r="J291" s="5"/>
      <c r="K291" s="181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59"/>
      <c r="G292" s="221"/>
      <c r="H292" s="5"/>
      <c r="I292" s="5"/>
      <c r="J292" s="5"/>
      <c r="K292" s="181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4" t="str">
        <f>IF('Données projet'!$B$18="","",'Données projet'!$B$18)</f>
        <v/>
      </c>
      <c r="C293" s="5"/>
      <c r="D293" s="5"/>
      <c r="E293" s="5"/>
      <c r="F293" s="259"/>
      <c r="G293" s="221"/>
      <c r="H293" s="5"/>
      <c r="I293" s="5"/>
      <c r="J293" s="5"/>
      <c r="K293" s="181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59"/>
      <c r="G294" s="221"/>
      <c r="H294" s="5"/>
      <c r="I294" s="5"/>
      <c r="J294" s="5"/>
      <c r="K294" s="181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5" t="s">
        <v>180</v>
      </c>
      <c r="B295" s="51" t="s">
        <v>256</v>
      </c>
      <c r="C295" s="51" t="s">
        <v>255</v>
      </c>
      <c r="D295" s="255" t="s">
        <v>252</v>
      </c>
      <c r="E295" s="255" t="s">
        <v>320</v>
      </c>
      <c r="F295" s="260"/>
      <c r="G295" s="221"/>
      <c r="H295" s="5"/>
      <c r="I295" s="5"/>
      <c r="J295" s="5"/>
      <c r="K295" s="181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08">
        <v>0</v>
      </c>
      <c r="B296" s="211" t="s">
        <v>132</v>
      </c>
      <c r="C296" s="210" t="s">
        <v>132</v>
      </c>
      <c r="D296" s="209" t="s">
        <v>132</v>
      </c>
      <c r="E296" s="204"/>
      <c r="F296" s="260"/>
      <c r="G296" s="221"/>
      <c r="H296" s="5"/>
      <c r="I296" s="5"/>
      <c r="J296" s="5"/>
      <c r="K296" s="181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08">
        <v>1</v>
      </c>
      <c r="B297" s="211" t="s">
        <v>132</v>
      </c>
      <c r="C297" s="210" t="s">
        <v>132</v>
      </c>
      <c r="D297" s="209" t="s">
        <v>132</v>
      </c>
      <c r="E297" s="204"/>
      <c r="F297" s="260"/>
      <c r="G297" s="219"/>
      <c r="H297" s="5"/>
      <c r="I297" s="5"/>
      <c r="J297" s="5"/>
      <c r="K297" s="181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08">
        <v>2</v>
      </c>
      <c r="B298" s="211" t="s">
        <v>132</v>
      </c>
      <c r="C298" s="210" t="s">
        <v>132</v>
      </c>
      <c r="D298" s="209" t="s">
        <v>132</v>
      </c>
      <c r="E298" s="204"/>
      <c r="F298" s="260"/>
      <c r="G298" s="219"/>
      <c r="H298" s="5"/>
      <c r="I298" s="5"/>
      <c r="J298" s="5"/>
      <c r="K298" s="181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08">
        <v>3</v>
      </c>
      <c r="B299" s="211" t="s">
        <v>132</v>
      </c>
      <c r="C299" s="210" t="s">
        <v>132</v>
      </c>
      <c r="D299" s="209" t="s">
        <v>132</v>
      </c>
      <c r="E299" s="204"/>
      <c r="F299" s="260"/>
      <c r="G299" s="219"/>
      <c r="H299" s="5"/>
      <c r="I299" s="5"/>
      <c r="J299" s="5"/>
      <c r="K299" s="181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08">
        <v>4</v>
      </c>
      <c r="B300" s="211" t="s">
        <v>132</v>
      </c>
      <c r="C300" s="210" t="s">
        <v>132</v>
      </c>
      <c r="D300" s="209" t="s">
        <v>132</v>
      </c>
      <c r="E300" s="204"/>
      <c r="F300" s="260"/>
      <c r="G300" s="219"/>
      <c r="H300" s="5"/>
      <c r="I300" s="5"/>
      <c r="J300" s="5"/>
      <c r="K300" s="181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08">
        <v>5</v>
      </c>
      <c r="B301" s="211" t="s">
        <v>132</v>
      </c>
      <c r="C301" s="210" t="s">
        <v>132</v>
      </c>
      <c r="D301" s="209" t="s">
        <v>132</v>
      </c>
      <c r="E301" s="204"/>
      <c r="F301" s="260"/>
      <c r="G301" s="220"/>
      <c r="H301" s="5"/>
      <c r="I301" s="5"/>
      <c r="J301" s="5"/>
      <c r="K301" s="181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0">
        <f>'Données projet'!A270</f>
        <v>0</v>
      </c>
      <c r="B302" s="191">
        <f>'Données projet'!D270</f>
        <v>0</v>
      </c>
      <c r="C302" s="202"/>
      <c r="D302" s="192">
        <f>B302*C302</f>
        <v>0</v>
      </c>
      <c r="E302" s="204"/>
      <c r="F302" s="262"/>
      <c r="G302" s="220"/>
      <c r="H302" s="5"/>
      <c r="I302" s="5"/>
      <c r="J302" s="5"/>
      <c r="K302" s="181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0">
        <f>'Données projet'!A271</f>
        <v>0</v>
      </c>
      <c r="B303" s="191">
        <f>'Données projet'!D271</f>
        <v>0</v>
      </c>
      <c r="C303" s="202"/>
      <c r="D303" s="192">
        <f t="shared" ref="D303:D321" si="15">B303*C303</f>
        <v>0</v>
      </c>
      <c r="E303" s="204"/>
      <c r="F303" s="262"/>
      <c r="G303" s="220"/>
      <c r="H303" s="5"/>
      <c r="I303" s="5"/>
      <c r="J303" s="5"/>
      <c r="K303" s="181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0">
        <f>'Données projet'!A272</f>
        <v>0</v>
      </c>
      <c r="B304" s="191">
        <f>'Données projet'!D272</f>
        <v>0</v>
      </c>
      <c r="C304" s="202"/>
      <c r="D304" s="192">
        <f t="shared" si="15"/>
        <v>0</v>
      </c>
      <c r="E304" s="204"/>
      <c r="F304" s="262"/>
      <c r="G304" s="220"/>
      <c r="H304" s="5"/>
      <c r="I304" s="5"/>
      <c r="J304" s="5"/>
      <c r="K304" s="181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0">
        <f>'Données projet'!A273</f>
        <v>0</v>
      </c>
      <c r="B305" s="191">
        <f>'Données projet'!D273</f>
        <v>0</v>
      </c>
      <c r="C305" s="202"/>
      <c r="D305" s="192">
        <f t="shared" si="15"/>
        <v>0</v>
      </c>
      <c r="E305" s="204"/>
      <c r="F305" s="262"/>
      <c r="G305" s="220"/>
      <c r="H305" s="5"/>
      <c r="I305" s="5"/>
      <c r="J305" s="5"/>
      <c r="K305" s="181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0">
        <f>'Données projet'!A274</f>
        <v>0</v>
      </c>
      <c r="B306" s="191">
        <f>'Données projet'!D274</f>
        <v>0</v>
      </c>
      <c r="C306" s="202"/>
      <c r="D306" s="192">
        <f t="shared" si="15"/>
        <v>0</v>
      </c>
      <c r="E306" s="204"/>
      <c r="F306" s="262"/>
      <c r="G306" s="220"/>
      <c r="H306" s="5"/>
      <c r="I306" s="5"/>
      <c r="J306" s="5"/>
      <c r="K306" s="181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0">
        <f>'Données projet'!A275</f>
        <v>0</v>
      </c>
      <c r="B307" s="191">
        <f>'Données projet'!D275</f>
        <v>0</v>
      </c>
      <c r="C307" s="202"/>
      <c r="D307" s="192">
        <f t="shared" si="15"/>
        <v>0</v>
      </c>
      <c r="E307" s="204"/>
      <c r="F307" s="262"/>
      <c r="G307" s="220"/>
      <c r="H307" s="5"/>
      <c r="I307" s="5"/>
      <c r="J307" s="5"/>
      <c r="K307" s="181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0">
        <f>'Données projet'!A276</f>
        <v>0</v>
      </c>
      <c r="B308" s="191">
        <f>'Données projet'!D276</f>
        <v>0</v>
      </c>
      <c r="C308" s="202"/>
      <c r="D308" s="192">
        <f t="shared" si="15"/>
        <v>0</v>
      </c>
      <c r="E308" s="204"/>
      <c r="F308" s="262"/>
      <c r="G308" s="216"/>
      <c r="H308" s="5"/>
      <c r="I308" s="5"/>
      <c r="J308" s="5"/>
      <c r="K308" s="181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0">
        <f>'Données projet'!A277</f>
        <v>0</v>
      </c>
      <c r="B309" s="191">
        <f>'Données projet'!D277</f>
        <v>0</v>
      </c>
      <c r="C309" s="202"/>
      <c r="D309" s="192">
        <f t="shared" si="15"/>
        <v>0</v>
      </c>
      <c r="E309" s="204"/>
      <c r="F309" s="262"/>
      <c r="G309" s="216"/>
      <c r="H309" s="5"/>
      <c r="I309" s="5"/>
      <c r="J309" s="5"/>
      <c r="K309" s="181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0">
        <f>'Données projet'!A278</f>
        <v>0</v>
      </c>
      <c r="B310" s="191">
        <f>'Données projet'!D278</f>
        <v>0</v>
      </c>
      <c r="C310" s="202"/>
      <c r="D310" s="192">
        <f t="shared" si="15"/>
        <v>0</v>
      </c>
      <c r="E310" s="204"/>
      <c r="F310" s="262"/>
      <c r="G310" s="216"/>
      <c r="H310" s="5"/>
      <c r="I310" s="5"/>
      <c r="J310" s="5"/>
      <c r="K310" s="181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0">
        <f>'Données projet'!A279</f>
        <v>0</v>
      </c>
      <c r="B311" s="191">
        <f>'Données projet'!D279</f>
        <v>0</v>
      </c>
      <c r="C311" s="202"/>
      <c r="D311" s="192">
        <f t="shared" si="15"/>
        <v>0</v>
      </c>
      <c r="E311" s="204"/>
      <c r="F311" s="262"/>
      <c r="G311" s="216"/>
      <c r="H311" s="5"/>
      <c r="I311" s="5"/>
      <c r="J311" s="5"/>
      <c r="K311" s="181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0">
        <f>'Données projet'!A280</f>
        <v>0</v>
      </c>
      <c r="B312" s="191">
        <f>'Données projet'!D280</f>
        <v>0</v>
      </c>
      <c r="C312" s="202"/>
      <c r="D312" s="192">
        <f t="shared" si="15"/>
        <v>0</v>
      </c>
      <c r="E312" s="204"/>
      <c r="F312" s="262"/>
      <c r="G312" s="216"/>
      <c r="H312" s="5"/>
      <c r="I312" s="5"/>
      <c r="J312" s="5"/>
      <c r="K312" s="181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0">
        <f>'Données projet'!A281</f>
        <v>0</v>
      </c>
      <c r="B313" s="191">
        <f>'Données projet'!D281</f>
        <v>0</v>
      </c>
      <c r="C313" s="202"/>
      <c r="D313" s="192">
        <f t="shared" si="15"/>
        <v>0</v>
      </c>
      <c r="E313" s="204"/>
      <c r="F313" s="262"/>
      <c r="G313" s="216"/>
      <c r="H313" s="5"/>
      <c r="I313" s="5"/>
      <c r="J313" s="5"/>
      <c r="K313" s="181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0">
        <f>'Données projet'!A282</f>
        <v>0</v>
      </c>
      <c r="B314" s="191">
        <f>'Données projet'!D282</f>
        <v>0</v>
      </c>
      <c r="C314" s="202"/>
      <c r="D314" s="192">
        <f t="shared" si="15"/>
        <v>0</v>
      </c>
      <c r="E314" s="204"/>
      <c r="F314" s="262"/>
      <c r="G314" s="216"/>
      <c r="H314" s="5"/>
      <c r="I314" s="5"/>
      <c r="J314" s="5"/>
      <c r="K314" s="181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0">
        <f>'Données projet'!A283</f>
        <v>0</v>
      </c>
      <c r="B315" s="191">
        <f>'Données projet'!D283</f>
        <v>0</v>
      </c>
      <c r="C315" s="202"/>
      <c r="D315" s="192">
        <f t="shared" si="15"/>
        <v>0</v>
      </c>
      <c r="E315" s="204"/>
      <c r="F315" s="262"/>
      <c r="G315" s="216"/>
      <c r="H315" s="5"/>
      <c r="I315" s="5"/>
      <c r="J315" s="5"/>
      <c r="K315" s="181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0">
        <f>'Données projet'!A284</f>
        <v>0</v>
      </c>
      <c r="B316" s="191">
        <f>'Données projet'!D284</f>
        <v>0</v>
      </c>
      <c r="C316" s="202"/>
      <c r="D316" s="192">
        <f t="shared" si="15"/>
        <v>0</v>
      </c>
      <c r="E316" s="204"/>
      <c r="F316" s="262"/>
      <c r="G316" s="216"/>
      <c r="H316" s="5"/>
      <c r="I316" s="5"/>
      <c r="J316" s="5"/>
      <c r="K316" s="181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0">
        <f>'Données projet'!A285</f>
        <v>0</v>
      </c>
      <c r="B317" s="191">
        <f>'Données projet'!D285</f>
        <v>0</v>
      </c>
      <c r="C317" s="202"/>
      <c r="D317" s="192">
        <f t="shared" si="15"/>
        <v>0</v>
      </c>
      <c r="E317" s="204"/>
      <c r="F317" s="262"/>
      <c r="G317" s="216"/>
      <c r="H317" s="5"/>
      <c r="I317" s="5"/>
      <c r="J317" s="5"/>
      <c r="K317" s="181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0">
        <f>'Données projet'!A286</f>
        <v>0</v>
      </c>
      <c r="B318" s="191">
        <f>'Données projet'!D286</f>
        <v>0</v>
      </c>
      <c r="C318" s="202"/>
      <c r="D318" s="192">
        <f t="shared" si="15"/>
        <v>0</v>
      </c>
      <c r="E318" s="204"/>
      <c r="F318" s="262"/>
      <c r="G318" s="216"/>
      <c r="H318" s="5"/>
      <c r="I318" s="5"/>
      <c r="J318" s="5"/>
      <c r="K318" s="181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0">
        <f>'Données projet'!A287</f>
        <v>0</v>
      </c>
      <c r="B319" s="191">
        <f>'Données projet'!D287</f>
        <v>0</v>
      </c>
      <c r="C319" s="202"/>
      <c r="D319" s="192">
        <f t="shared" si="15"/>
        <v>0</v>
      </c>
      <c r="E319" s="204"/>
      <c r="F319" s="262"/>
      <c r="G319" s="216"/>
      <c r="H319" s="5"/>
      <c r="I319" s="5"/>
      <c r="J319" s="5"/>
      <c r="K319" s="181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0">
        <f>'Données projet'!A288</f>
        <v>0</v>
      </c>
      <c r="B320" s="191">
        <f>'Données projet'!D288</f>
        <v>0</v>
      </c>
      <c r="C320" s="202"/>
      <c r="D320" s="192">
        <f t="shared" si="15"/>
        <v>0</v>
      </c>
      <c r="E320" s="204"/>
      <c r="F320" s="262"/>
      <c r="G320" s="216"/>
      <c r="H320" s="5"/>
      <c r="I320" s="5"/>
      <c r="J320" s="5"/>
      <c r="K320" s="181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0">
        <f>'Données projet'!A289</f>
        <v>0</v>
      </c>
      <c r="B321" s="191">
        <f>'Données projet'!D289</f>
        <v>0</v>
      </c>
      <c r="C321" s="207"/>
      <c r="D321" s="192">
        <f t="shared" si="15"/>
        <v>0</v>
      </c>
      <c r="E321" s="204"/>
      <c r="F321" s="262"/>
      <c r="G321" s="216"/>
      <c r="H321" s="5"/>
      <c r="I321" s="5"/>
      <c r="J321" s="5"/>
      <c r="K321" s="181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6"/>
      <c r="H322" s="5"/>
      <c r="I322" s="5"/>
      <c r="J322" s="5"/>
      <c r="K322" s="181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6"/>
      <c r="H323" s="5"/>
      <c r="I323" s="5"/>
      <c r="J323" s="5"/>
      <c r="K323" s="181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6"/>
      <c r="H324" s="5"/>
      <c r="I324" s="5"/>
      <c r="J324" s="5"/>
      <c r="K324" s="181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6"/>
      <c r="H325" s="5"/>
      <c r="I325" s="5"/>
      <c r="J325" s="5"/>
      <c r="K325" s="181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6"/>
      <c r="H326" s="5"/>
      <c r="I326" s="5"/>
      <c r="J326" s="5"/>
      <c r="K326" s="181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6"/>
      <c r="H327" s="5"/>
      <c r="I327" s="5"/>
      <c r="J327" s="5"/>
      <c r="K327" s="181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29"/>
      <c r="G328" s="229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29"/>
      <c r="G329" s="229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29"/>
      <c r="G330" s="229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29"/>
      <c r="G331" s="229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29"/>
      <c r="G332" s="229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29"/>
      <c r="G333" s="229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29"/>
      <c r="G334" s="229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29"/>
      <c r="G335" s="229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29"/>
      <c r="G336" s="229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29"/>
      <c r="G337" s="229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29"/>
      <c r="G338" s="229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29"/>
      <c r="G339" s="229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29"/>
      <c r="G340" s="229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29"/>
      <c r="G341" s="229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29"/>
      <c r="G342" s="229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29"/>
      <c r="G343" s="229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29"/>
      <c r="G344" s="229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29"/>
      <c r="G345" s="229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29"/>
      <c r="G346" s="229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29"/>
      <c r="G347" s="229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29"/>
      <c r="G348" s="229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29"/>
      <c r="G349" s="229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29"/>
      <c r="G350" s="229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29"/>
      <c r="G351" s="229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29"/>
      <c r="G352" s="229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29"/>
      <c r="G353" s="229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29"/>
      <c r="G354" s="229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29"/>
      <c r="G355" s="229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29"/>
      <c r="G356" s="229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29"/>
      <c r="G357" s="229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29"/>
      <c r="G358" s="229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29"/>
      <c r="G359" s="229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29"/>
      <c r="G360" s="229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29"/>
      <c r="G361" s="229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29"/>
      <c r="G362" s="229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29"/>
      <c r="G363" s="229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29"/>
      <c r="G364" s="229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29"/>
      <c r="G365" s="229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29"/>
      <c r="G366" s="229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29"/>
      <c r="G367" s="229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29"/>
      <c r="G368" s="229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29"/>
      <c r="G369" s="229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29"/>
      <c r="G370" s="70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29"/>
      <c r="G371" s="70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29"/>
      <c r="G372" s="70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29"/>
      <c r="G373" s="70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29"/>
      <c r="G374" s="70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29"/>
      <c r="G375" s="70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29"/>
      <c r="G376" s="70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29"/>
      <c r="G377" s="70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29"/>
      <c r="G378" s="70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29"/>
      <c r="G379" s="70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29"/>
      <c r="G380" s="70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29"/>
      <c r="G381" s="70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29"/>
      <c r="G382" s="70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29"/>
      <c r="G383" s="70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29"/>
      <c r="G384" s="70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29"/>
      <c r="G385" s="70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29"/>
      <c r="G386" s="70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29"/>
      <c r="G387" s="70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29"/>
      <c r="G388" s="70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29"/>
      <c r="G389" s="70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29"/>
      <c r="G390" s="70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29"/>
      <c r="G391" s="70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29"/>
      <c r="G392" s="70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29"/>
      <c r="G393" s="70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29"/>
      <c r="G394" s="70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29"/>
      <c r="G395" s="70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0"/>
      <c r="G396" s="70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0"/>
      <c r="G397" s="70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0"/>
      <c r="G398" s="70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0"/>
      <c r="G399" s="70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0"/>
      <c r="G400" s="70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0"/>
      <c r="G401" s="70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0"/>
      <c r="G402" s="70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0"/>
      <c r="G403" s="70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0"/>
      <c r="G404" s="70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0"/>
      <c r="G405" s="70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0"/>
      <c r="G406" s="70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0"/>
      <c r="G407" s="70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0"/>
      <c r="G408" s="70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0"/>
      <c r="G409" s="70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0"/>
      <c r="G410" s="70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0"/>
      <c r="G411" s="70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0"/>
      <c r="G412" s="70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0"/>
      <c r="G413" s="70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0"/>
      <c r="G414" s="70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0"/>
      <c r="G415" s="70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0"/>
      <c r="G416" s="70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0"/>
      <c r="G417" s="70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0"/>
      <c r="G418" s="70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0"/>
      <c r="G419" s="70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0"/>
      <c r="G420" s="70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0"/>
      <c r="G421" s="70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0"/>
      <c r="G422" s="70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0"/>
      <c r="G423" s="70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0"/>
      <c r="G424" s="70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0"/>
      <c r="G425" s="70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0"/>
      <c r="G426" s="70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0"/>
      <c r="G427" s="70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0"/>
      <c r="G428" s="70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0"/>
      <c r="G429" s="70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0"/>
      <c r="G430" s="70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0"/>
      <c r="G431" s="70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0"/>
      <c r="G432" s="70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0"/>
      <c r="G433" s="70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0"/>
      <c r="G434" s="70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0"/>
      <c r="G435" s="70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0"/>
      <c r="G436" s="70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0"/>
      <c r="G437" s="70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0"/>
      <c r="G438" s="70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0"/>
      <c r="G439" s="70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0"/>
      <c r="G440" s="70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0"/>
      <c r="G441" s="70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OCCI_OG</cp:lastModifiedBy>
  <dcterms:created xsi:type="dcterms:W3CDTF">2021-02-01T08:22:39Z</dcterms:created>
  <dcterms:modified xsi:type="dcterms:W3CDTF">2022-05-18T10:34:37Z</dcterms:modified>
</cp:coreProperties>
</file>