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Opérationnel/Clients/Propriétaires/CENTRE (EDL)/2PBRO-122 - D. Subilleau - Bois de la Petite Brosse/1_Administration/LBC/Janvier 2024/Annexes/"/>
    </mc:Choice>
  </mc:AlternateContent>
  <xr:revisionPtr revIDLastSave="115" documentId="11_832EBC973FF36A9F0A417D33E5FDCA6337D90D96" xr6:coauthVersionLast="47" xr6:coauthVersionMax="47" xr10:uidLastSave="{05379F2A-8324-4A06-A8CF-9345734ED7F0}"/>
  <bookViews>
    <workbookView xWindow="-108" yWindow="-108" windowWidth="23256" windowHeight="13896" tabRatio="769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2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G156" i="2" l="1"/>
  <c r="DH156" i="2"/>
  <c r="EX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EX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B168" i="2"/>
  <c r="EW168" i="2"/>
  <c r="DI167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H186" i="2"/>
  <c r="EA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HH190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B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W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G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47" i="2" a="1"/>
  <c r="BC47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84" i="2" a="1"/>
  <c r="GT184" i="2" s="1"/>
  <c r="GT122" i="2" a="1"/>
  <c r="GT122" i="2" s="1"/>
  <c r="GT152" i="2" a="1"/>
  <c r="GT15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EY202" i="2"/>
  <c r="AX200" i="2"/>
  <c r="BC82" i="2" l="1" a="1"/>
  <c r="BC82" i="2" s="1"/>
  <c r="BC68" i="2" a="1"/>
  <c r="BC68" i="2" s="1"/>
  <c r="GT174" i="2" a="1"/>
  <c r="GT174" i="2" s="1"/>
  <c r="GT126" i="2" a="1"/>
  <c r="GT126" i="2" s="1"/>
  <c r="GT198" i="2" a="1"/>
  <c r="GT198" i="2" s="1"/>
  <c r="GT11" i="2" a="1"/>
  <c r="GT11" i="2" s="1"/>
  <c r="GT33" i="2" a="1"/>
  <c r="GT33" i="2" s="1"/>
  <c r="GT51" i="2" a="1"/>
  <c r="GT51" i="2" s="1"/>
  <c r="GT115" i="2" a="1"/>
  <c r="GT115" i="2" s="1"/>
  <c r="GT15" i="2" a="1"/>
  <c r="GT15" i="2" s="1"/>
  <c r="GT190" i="2" a="1"/>
  <c r="GT190" i="2" s="1"/>
  <c r="GT74" i="2" a="1"/>
  <c r="GT74" i="2" s="1"/>
  <c r="GT21" i="2" a="1"/>
  <c r="GT21" i="2" s="1"/>
  <c r="GT102" i="2" a="1"/>
  <c r="GT102" i="2" s="1"/>
  <c r="GT133" i="2" a="1"/>
  <c r="GT133" i="2" s="1"/>
  <c r="GT68" i="2" a="1"/>
  <c r="GT68" i="2" s="1"/>
  <c r="GT138" i="2" a="1"/>
  <c r="GT138" i="2" s="1"/>
  <c r="GT191" i="2" a="1"/>
  <c r="GT191" i="2" s="1"/>
  <c r="GT178" i="2" a="1"/>
  <c r="GT178" i="2" s="1"/>
  <c r="GT12" i="2" a="1"/>
  <c r="GT12" i="2" s="1"/>
  <c r="GT147" i="2" a="1"/>
  <c r="GT147" i="2" s="1"/>
  <c r="GT121" i="2" a="1"/>
  <c r="GT121" i="2" s="1"/>
  <c r="GT181" i="2" a="1"/>
  <c r="GT181" i="2" s="1"/>
  <c r="FR203" i="2"/>
  <c r="AH62" i="2" a="1"/>
  <c r="AH62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32" i="2" l="1"/>
  <c r="AN140" i="2"/>
  <c r="AN73" i="2"/>
  <c r="AN29" i="2"/>
  <c r="AN8" i="2"/>
  <c r="AN196" i="2"/>
  <c r="AN134" i="2"/>
  <c r="AN11" i="2"/>
  <c r="AN171" i="2"/>
  <c r="AN89" i="2"/>
  <c r="AN17" i="2"/>
  <c r="AN23" i="2"/>
  <c r="AN33" i="2"/>
  <c r="AN197" i="2"/>
  <c r="AN167" i="2"/>
  <c r="AN44" i="2"/>
  <c r="AN168" i="2"/>
  <c r="AN121" i="2"/>
  <c r="AN42" i="2"/>
  <c r="AN24" i="2"/>
  <c r="AN113" i="2"/>
  <c r="AN194" i="2"/>
  <c r="AN130" i="2"/>
  <c r="AN92" i="2"/>
  <c r="AN4" i="2"/>
  <c r="AN203" i="2"/>
  <c r="AN149" i="2"/>
  <c r="AN202" i="2"/>
  <c r="AN185" i="2"/>
  <c r="AN103" i="2"/>
  <c r="AN58" i="2"/>
  <c r="AN78" i="2"/>
  <c r="AN182" i="2"/>
  <c r="AN188" i="2"/>
  <c r="AN61" i="2"/>
  <c r="AN135" i="2"/>
  <c r="AN68" i="2"/>
  <c r="AN90" i="2"/>
  <c r="AN112" i="2"/>
  <c r="AN110" i="2"/>
  <c r="AN124" i="2"/>
  <c r="AN83" i="2"/>
  <c r="AN125" i="2"/>
  <c r="AN142" i="2"/>
  <c r="AN64" i="2"/>
  <c r="AN122" i="2"/>
  <c r="AN26" i="2"/>
  <c r="AN101" i="2"/>
  <c r="AN109" i="2"/>
  <c r="AN170" i="2"/>
  <c r="AN158" i="2"/>
  <c r="AN38" i="2"/>
  <c r="AN195" i="2"/>
  <c r="AN156" i="2"/>
  <c r="AN199" i="2"/>
  <c r="AN147" i="2"/>
  <c r="AN161" i="2"/>
  <c r="AN141" i="2"/>
  <c r="AN165" i="2"/>
  <c r="AN133" i="2"/>
  <c r="AN85" i="2"/>
  <c r="AN160" i="2"/>
  <c r="AN159" i="2"/>
  <c r="AN152" i="2"/>
  <c r="AN180" i="2"/>
  <c r="AN6" i="2"/>
  <c r="AN94" i="2"/>
  <c r="AN41" i="2"/>
  <c r="AN46" i="2"/>
  <c r="AN10" i="2"/>
  <c r="AN45" i="2"/>
  <c r="AN184" i="2"/>
  <c r="AN59" i="2"/>
  <c r="AN146" i="2"/>
  <c r="AN151" i="2"/>
  <c r="AN191" i="2"/>
  <c r="AN128" i="2"/>
  <c r="AN118" i="2"/>
  <c r="AN66" i="2"/>
  <c r="AN98" i="2"/>
  <c r="AN13" i="2"/>
  <c r="AN53" i="2"/>
  <c r="AN69" i="2"/>
  <c r="AN181" i="2"/>
  <c r="AN39" i="2"/>
  <c r="AN21" i="2"/>
  <c r="AN153" i="2"/>
  <c r="AN88" i="2"/>
  <c r="AN106" i="2"/>
  <c r="AN51" i="2"/>
  <c r="AN108" i="2"/>
  <c r="AN123" i="2"/>
  <c r="AN34" i="2"/>
  <c r="AN56" i="2"/>
  <c r="AN164" i="2"/>
  <c r="AN35" i="2"/>
  <c r="AN132" i="2"/>
  <c r="AN95" i="2"/>
  <c r="AN81" i="2"/>
  <c r="AN190" i="2"/>
  <c r="AN80" i="2"/>
  <c r="AN49" i="2"/>
  <c r="AN174" i="2"/>
  <c r="AN129" i="2"/>
  <c r="AN52" i="2"/>
  <c r="AN20" i="2"/>
  <c r="AN150" i="2"/>
  <c r="AN60" i="2"/>
  <c r="AN143" i="2"/>
  <c r="AN93" i="2"/>
  <c r="AN5" i="2"/>
  <c r="AN119" i="2"/>
  <c r="AN104" i="2"/>
  <c r="AN114" i="2"/>
  <c r="AN102" i="2"/>
  <c r="AN28" i="2"/>
  <c r="AN79" i="2"/>
  <c r="AN107" i="2"/>
  <c r="AN172" i="2"/>
  <c r="AN189" i="2"/>
  <c r="AN126" i="2"/>
  <c r="AN163" i="2"/>
  <c r="AN120" i="2"/>
  <c r="AN111" i="2"/>
  <c r="AN67" i="2"/>
  <c r="AN192" i="2"/>
  <c r="AN72" i="2"/>
  <c r="AN127" i="2"/>
  <c r="AN200" i="2"/>
  <c r="AN117" i="2"/>
  <c r="AN37" i="2"/>
  <c r="AN27" i="2"/>
  <c r="AN186" i="2"/>
  <c r="AN138" i="2"/>
  <c r="AN54" i="2"/>
  <c r="AN179" i="2"/>
  <c r="AN176" i="2"/>
  <c r="AN97" i="2"/>
  <c r="AN183" i="2"/>
  <c r="AN55" i="2"/>
  <c r="AN77" i="2"/>
  <c r="AN144" i="2"/>
  <c r="AN137" i="2"/>
  <c r="AN40" i="2"/>
  <c r="AN47" i="2"/>
  <c r="AN63" i="2"/>
  <c r="AN16" i="2"/>
  <c r="AN74" i="2"/>
  <c r="AN25" i="2"/>
  <c r="AN31" i="2"/>
  <c r="AN96" i="2"/>
  <c r="AN155" i="2"/>
  <c r="AN22" i="2"/>
  <c r="AN82" i="2"/>
  <c r="AN173" i="2"/>
  <c r="AN166" i="2"/>
  <c r="AN198" i="2"/>
  <c r="AN99" i="2"/>
  <c r="AN12" i="2"/>
  <c r="AN169" i="2"/>
  <c r="AN71" i="2"/>
  <c r="AN65" i="2"/>
  <c r="AN100" i="2"/>
  <c r="AN48" i="2"/>
  <c r="AN154" i="2"/>
  <c r="AN84" i="2"/>
  <c r="AN105" i="2"/>
  <c r="AN76" i="2"/>
  <c r="AN9" i="2"/>
  <c r="AN57" i="2"/>
  <c r="AN36" i="2"/>
  <c r="AN75" i="2"/>
  <c r="AN193" i="2"/>
  <c r="AN91" i="2"/>
  <c r="AN201" i="2"/>
  <c r="AN162" i="2"/>
  <c r="AN178" i="2"/>
  <c r="AN87" i="2"/>
  <c r="AN177" i="2"/>
  <c r="AN62" i="2"/>
  <c r="AN175" i="2"/>
  <c r="AN19" i="2"/>
  <c r="AN131" i="2"/>
  <c r="AN14" i="2"/>
  <c r="AN18" i="2"/>
  <c r="AN187" i="2"/>
  <c r="AN3" i="2"/>
  <c r="C7" i="4" s="1"/>
  <c r="E7" i="4" s="1"/>
  <c r="F7" i="4" s="1"/>
  <c r="G7" i="4" s="1"/>
  <c r="L7" i="4" s="1"/>
  <c r="AN115" i="2"/>
  <c r="AN70" i="2"/>
  <c r="AN43" i="2"/>
  <c r="AN86" i="2"/>
  <c r="AN139" i="2"/>
  <c r="AN136" i="2"/>
  <c r="AN15" i="2"/>
  <c r="AN30" i="2"/>
  <c r="AN50" i="2"/>
  <c r="AN145" i="2"/>
  <c r="AN7" i="2"/>
  <c r="AN148" i="2"/>
  <c r="AN116" i="2"/>
  <c r="AN157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50" i="2"/>
  <c r="BI53" i="2"/>
  <c r="BI180" i="2"/>
  <c r="BI125" i="2"/>
  <c r="BI200" i="2"/>
  <c r="BI172" i="2"/>
  <c r="BI78" i="2"/>
  <c r="BI34" i="2"/>
  <c r="BI66" i="2"/>
  <c r="BI82" i="2"/>
  <c r="BI57" i="2"/>
  <c r="BI192" i="2"/>
  <c r="BI86" i="2"/>
  <c r="BI99" i="2"/>
  <c r="BI173" i="2"/>
  <c r="BI3" i="2"/>
  <c r="C8" i="4" s="1"/>
  <c r="E8" i="4" s="1"/>
  <c r="F8" i="4" s="1"/>
  <c r="G8" i="4" s="1"/>
  <c r="L8" i="4" s="1"/>
  <c r="BI12" i="2"/>
  <c r="BI115" i="2"/>
  <c r="BI46" i="2"/>
  <c r="BI104" i="2"/>
  <c r="BI121" i="2"/>
  <c r="BI32" i="2"/>
  <c r="BI13" i="2"/>
  <c r="BI194" i="2"/>
  <c r="BI138" i="2"/>
  <c r="BI28" i="2"/>
  <c r="BI45" i="2"/>
  <c r="BI71" i="2"/>
  <c r="BI170" i="2"/>
  <c r="BI6" i="2"/>
  <c r="BI136" i="2"/>
  <c r="BI133" i="2"/>
  <c r="BI163" i="2"/>
  <c r="BI142" i="2"/>
  <c r="BI149" i="2"/>
  <c r="BI24" i="2"/>
  <c r="BI100" i="2"/>
  <c r="BI176" i="2"/>
  <c r="BI183" i="2"/>
  <c r="BI190" i="2"/>
  <c r="BI191" i="2"/>
  <c r="BI137" i="2"/>
  <c r="BI52" i="2"/>
  <c r="BI89" i="2"/>
  <c r="BI198" i="2"/>
  <c r="BI128" i="2"/>
  <c r="BI37" i="2"/>
  <c r="BI186" i="2"/>
  <c r="BI201" i="2"/>
  <c r="BI76" i="2"/>
  <c r="BI105" i="2"/>
  <c r="BI26" i="2"/>
  <c r="BI157" i="2"/>
  <c r="BI84" i="2"/>
  <c r="BI60" i="2"/>
  <c r="BI179" i="2"/>
  <c r="BI141" i="2"/>
  <c r="BI19" i="2"/>
  <c r="BI165" i="2"/>
  <c r="BI120" i="2"/>
  <c r="BI98" i="2"/>
  <c r="BI106" i="2"/>
  <c r="BI112" i="2"/>
  <c r="BI196" i="2"/>
  <c r="BI156" i="2"/>
  <c r="BI56" i="2"/>
  <c r="BI85" i="2"/>
  <c r="BI109" i="2"/>
  <c r="BI59" i="2"/>
  <c r="BI14" i="2"/>
  <c r="BI83" i="2"/>
  <c r="BI92" i="2"/>
  <c r="BI114" i="2"/>
  <c r="BI43" i="2"/>
  <c r="BI146" i="2"/>
  <c r="BI155" i="2"/>
  <c r="BI49" i="2"/>
  <c r="BI94" i="2"/>
  <c r="BI187" i="2"/>
  <c r="BI18" i="2"/>
  <c r="BI168" i="2"/>
  <c r="BI10" i="2"/>
  <c r="BI189" i="2"/>
  <c r="BI119" i="2"/>
  <c r="BI22" i="2"/>
  <c r="BI174" i="2"/>
  <c r="BI38" i="2"/>
  <c r="BI169" i="2"/>
  <c r="BI154" i="2"/>
  <c r="BI55" i="2"/>
  <c r="BI102" i="2"/>
  <c r="BI7" i="2"/>
  <c r="BI67" i="2"/>
  <c r="BI188" i="2"/>
  <c r="BI197" i="2"/>
  <c r="BI8" i="2"/>
  <c r="BI35" i="2"/>
  <c r="BI65" i="2"/>
  <c r="BI199" i="2"/>
  <c r="BI81" i="2"/>
  <c r="BI29" i="2"/>
  <c r="BI148" i="2"/>
  <c r="BI64" i="2"/>
  <c r="BI131" i="2"/>
  <c r="BI36" i="2"/>
  <c r="BI33" i="2"/>
  <c r="BI145" i="2"/>
  <c r="BI178" i="2"/>
  <c r="BI74" i="2"/>
  <c r="BI116" i="2"/>
  <c r="BI124" i="2"/>
  <c r="BI21" i="2"/>
  <c r="BI103" i="2"/>
  <c r="BI110" i="2"/>
  <c r="BI11" i="2"/>
  <c r="BI127" i="2"/>
  <c r="BI143" i="2"/>
  <c r="BI147" i="2"/>
  <c r="BI25" i="2"/>
  <c r="BI17" i="2"/>
  <c r="BI135" i="2"/>
  <c r="BI144" i="2"/>
  <c r="BI42" i="2"/>
  <c r="BI97" i="2"/>
  <c r="BI20" i="2"/>
  <c r="BI44" i="2"/>
  <c r="BI40" i="2"/>
  <c r="BI108" i="2"/>
  <c r="BI107" i="2"/>
  <c r="BI75" i="2"/>
  <c r="BI164" i="2"/>
  <c r="BI193" i="2"/>
  <c r="BI139" i="2"/>
  <c r="BI123" i="2"/>
  <c r="BI31" i="2"/>
  <c r="BI177" i="2"/>
  <c r="BI160" i="2"/>
  <c r="BI39" i="2"/>
  <c r="BI77" i="2"/>
  <c r="BI202" i="2"/>
  <c r="BI151" i="2"/>
  <c r="BI111" i="2"/>
  <c r="BI153" i="2"/>
  <c r="BI73" i="2"/>
  <c r="BI50" i="2"/>
  <c r="BI122" i="2"/>
  <c r="BI16" i="2"/>
  <c r="BI80" i="2"/>
  <c r="BI48" i="2"/>
  <c r="BI58" i="2"/>
  <c r="BI79" i="2"/>
  <c r="BI203" i="2"/>
  <c r="BI27" i="2"/>
  <c r="BI41" i="2"/>
  <c r="BI181" i="2"/>
  <c r="BI184" i="2"/>
  <c r="BI117" i="2"/>
  <c r="BI101" i="2"/>
  <c r="BI161" i="2"/>
  <c r="BI195" i="2"/>
  <c r="BI113" i="2"/>
  <c r="BI118" i="2"/>
  <c r="BI5" i="2"/>
  <c r="BI129" i="2"/>
  <c r="BI4" i="2"/>
  <c r="BI134" i="2"/>
  <c r="BI87" i="2"/>
  <c r="BI96" i="2"/>
  <c r="BI185" i="2"/>
  <c r="BI152" i="2"/>
  <c r="BI158" i="2"/>
  <c r="BI175" i="2"/>
  <c r="BI91" i="2"/>
  <c r="BI171" i="2"/>
  <c r="BI54" i="2"/>
  <c r="BI30" i="2"/>
  <c r="BI90" i="2"/>
  <c r="BI68" i="2"/>
  <c r="BI95" i="2"/>
  <c r="BI132" i="2"/>
  <c r="BI72" i="2"/>
  <c r="BI23" i="2"/>
  <c r="BI159" i="2"/>
  <c r="BI69" i="2"/>
  <c r="BI166" i="2"/>
  <c r="BI93" i="2"/>
  <c r="BI182" i="2"/>
  <c r="BI130" i="2"/>
  <c r="BI62" i="2"/>
  <c r="BI88" i="2"/>
  <c r="BI70" i="2"/>
  <c r="BI162" i="2"/>
  <c r="BI61" i="2"/>
  <c r="BI15" i="2"/>
  <c r="BI51" i="2"/>
  <c r="BI126" i="2"/>
  <c r="BI63" i="2"/>
  <c r="BI140" i="2"/>
  <c r="BI167" i="2"/>
  <c r="BI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<sst xmlns="http://schemas.openxmlformats.org/spreadsheetml/2006/main" count="1168" uniqueCount="327">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</sst>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10" sqref="C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10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0.78</v>
      </c>
      <c r="D9" s="33">
        <f t="shared" ref="D9:D18" si="0">C9*$C$5</f>
        <v>7.8000000000000007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0.02</v>
      </c>
      <c r="D10" s="33">
        <f t="shared" si="0"/>
        <v>0.2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0.8</v>
      </c>
      <c r="D19" s="38">
        <f>SUM(D9:D18)</f>
        <v>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v>122.32</v>
      </c>
      <c r="C36" s="60">
        <v>1</v>
      </c>
      <c r="D36" s="60">
        <v>40.76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7.1952941176470588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23</v>
      </c>
      <c r="B37" s="60">
        <v>187.68</v>
      </c>
      <c r="C37" s="60">
        <v>2</v>
      </c>
      <c r="D37" s="60">
        <v>57.75</v>
      </c>
      <c r="E37" s="51">
        <v>0.1</v>
      </c>
      <c r="F37" s="51">
        <v>0.8</v>
      </c>
      <c r="G37" s="51">
        <v>0</v>
      </c>
      <c r="H37" s="51">
        <v>0.1</v>
      </c>
      <c r="I37" s="53">
        <f t="shared" ref="I37:I55" si="1">IF(A37&lt;&gt;0,(B37-(B36-D36))/(A37-A36),"")</f>
        <v>17.686666666666667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29</v>
      </c>
      <c r="B38" s="60">
        <v>241.61</v>
      </c>
      <c r="C38" s="60">
        <v>3</v>
      </c>
      <c r="D38" s="60">
        <v>54.64</v>
      </c>
      <c r="E38" s="51">
        <v>0.1</v>
      </c>
      <c r="F38" s="51">
        <v>0.8</v>
      </c>
      <c r="G38" s="51">
        <v>0</v>
      </c>
      <c r="H38" s="51">
        <v>0.1</v>
      </c>
      <c r="I38" s="53">
        <f t="shared" si="1"/>
        <v>18.613333333333333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36</v>
      </c>
      <c r="B39" s="60">
        <v>311.13</v>
      </c>
      <c r="C39" s="60">
        <v>4</v>
      </c>
      <c r="D39" s="60">
        <v>76.069999999999993</v>
      </c>
      <c r="E39" s="51">
        <v>0.3</v>
      </c>
      <c r="F39" s="51">
        <v>0.5</v>
      </c>
      <c r="G39" s="51">
        <v>0</v>
      </c>
      <c r="H39" s="51">
        <v>0.2</v>
      </c>
      <c r="I39" s="49">
        <f t="shared" si="1"/>
        <v>17.737142857142853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44</v>
      </c>
      <c r="B40" s="60">
        <v>367.35</v>
      </c>
      <c r="C40" s="60">
        <v>5</v>
      </c>
      <c r="D40" s="60">
        <v>77.91</v>
      </c>
      <c r="E40" s="51">
        <v>0.3</v>
      </c>
      <c r="F40" s="51">
        <v>0.5</v>
      </c>
      <c r="G40" s="51">
        <v>0</v>
      </c>
      <c r="H40" s="51">
        <v>0.2</v>
      </c>
      <c r="I40" s="49">
        <f t="shared" si="1"/>
        <v>16.536250000000003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52</v>
      </c>
      <c r="B41" s="60">
        <v>406.59</v>
      </c>
      <c r="C41" s="60">
        <v>6</v>
      </c>
      <c r="D41" s="60">
        <v>75.37</v>
      </c>
      <c r="E41" s="51">
        <v>0.7</v>
      </c>
      <c r="F41" s="51">
        <v>0.3</v>
      </c>
      <c r="G41" s="51">
        <v>0</v>
      </c>
      <c r="H41" s="51">
        <v>0</v>
      </c>
      <c r="I41" s="53">
        <f t="shared" si="1"/>
        <v>14.64374999999999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60</v>
      </c>
      <c r="B42" s="60">
        <v>436.34</v>
      </c>
      <c r="C42" s="60">
        <v>7</v>
      </c>
      <c r="D42" s="60">
        <v>436.34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13.14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H1" zoomScaleNormal="100" workbookViewId="0">
      <selection activeCell="AR29" sqref="AR29:AS29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300.80663531652721</v>
      </c>
      <c r="T3" s="59">
        <f>IF('Données projet'!E9&gt;30,$R$33-$H$33,LOOKUP('Données projet'!$E$9,$A$3:$A$203,R3:R203)-LOOKUP('Données projet'!$E$9,$A$3:$A$203,$H$3:$H$203))</f>
        <v>306.01967513533549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581.88778927327667</v>
      </c>
      <c r="AO3" s="59">
        <f>IF('Données projet'!E10&gt;30,$AM$33-$H$33,LOOKUP('Données projet'!$E$10,$A$3:$A$203,AM3:AM203)-LOOKUP('Données projet'!$E$10,$A$3:$A$203,$H$3:$H$203))</f>
        <v>269.67340993773422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7.1952941176470588</v>
      </c>
      <c r="N4" s="13">
        <f>IF('Données projet'!$A$36&gt;35,N3+M4-V3,IF(A4&lt;'Données projet'!$A$36,$K$205^A4,IF(A4='Données projet'!$A$36,'Données projet'!$B$36,N3+M4-V3)))</f>
        <v>1.3267648858502221</v>
      </c>
      <c r="O4" s="13">
        <f>N4*VLOOKUP('Données projet'!$B$9,Paramètres!$A$1:$I$89,3,0)*VLOOKUP('Données projet'!$B$9,Paramètres!$A$1:$I$89,5,0)</f>
        <v>0.79340540173843288</v>
      </c>
      <c r="P4" s="13">
        <f>EXP(-1.0587+0.8836*LN(O4)+0.284)</f>
        <v>0.37561764201183739</v>
      </c>
      <c r="Q4" s="20">
        <f t="shared" ref="Q4:Q34" si="2">(O4+P4)*0.475*44/12</f>
        <v>2.0360484678650539</v>
      </c>
      <c r="R4" s="59">
        <f t="shared" si="0"/>
        <v>259.9249373567539</v>
      </c>
      <c r="S4" s="59">
        <f ca="1">AVERAGE(OFFSET($R$3,0,0,'Données projet'!$E$9+1,1))-AVERAGE(OFFSET($H$3,0,0,'Données projet'!$E$9+1,1))</f>
        <v>300.80663531652721</v>
      </c>
      <c r="T4" s="59">
        <f>$T$3</f>
        <v>306.01967513533549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3.5170868571428571</v>
      </c>
      <c r="AK4" s="13">
        <f>EXP(-1.0587+0.8836*LN(AJ4)+0.284)</f>
        <v>1.400101260019349</v>
      </c>
      <c r="AL4" s="20">
        <f t="shared" ref="AL4:AL67" si="4">(AJ4+AK4)*0.475*44/12</f>
        <v>8.5641026373908407</v>
      </c>
      <c r="AM4" s="59">
        <f t="shared" ref="AM4:AM67" si="5">AL4+(AD4+AE4)*44/12</f>
        <v>266.45299152627967</v>
      </c>
      <c r="AN4" s="59">
        <f ca="1">AVERAGE(OFFSET($AM$3,0,0,'Données projet'!$E$10+1,1))-AVERAGE(OFFSET($H$3,0,0,'Données projet'!$E$10+1,1))</f>
        <v>581.88778927327667</v>
      </c>
      <c r="AO4" s="59">
        <f>$AO$3</f>
        <v>269.67340993773422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7.1952941176470588</v>
      </c>
      <c r="N5" s="13">
        <f>IF('Données projet'!$A$36&gt;35,N4+M5-V4,IF(A5&lt;'Données projet'!$A$36,$K$205^A5,IF(A5='Données projet'!$A$36,'Données projet'!$B$36,N4+M5-V4)))</f>
        <v>1.7603050623251528</v>
      </c>
      <c r="O5" s="13">
        <f>N5*VLOOKUP('Données projet'!$B$9,Paramètres!$A$1:$I$89,3,0)*VLOOKUP('Données projet'!$B$9,Paramètres!$A$1:$I$89,5,0)</f>
        <v>1.0526624272704415</v>
      </c>
      <c r="P5" s="13">
        <f t="shared" ref="P5:P68" si="33">EXP(-1.0587+0.8836*LN(O5)+0.284)</f>
        <v>0.48222168139326793</v>
      </c>
      <c r="Q5" s="20">
        <f t="shared" si="2"/>
        <v>2.6732564892559605</v>
      </c>
      <c r="R5" s="59">
        <f t="shared" si="0"/>
        <v>261.78436760036709</v>
      </c>
      <c r="S5" s="59">
        <f ca="1">AVERAGE(OFFSET($R$3,0,0,'Données projet'!$E$9+1,1))-AVERAGE(OFFSET($H$3,0,0,'Données projet'!$E$9+1,1))</f>
        <v>300.80663531652721</v>
      </c>
      <c r="T5" s="59">
        <f t="shared" ref="T5:T68" si="34">$T$3</f>
        <v>306.01967513533549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7.0341737142857141</v>
      </c>
      <c r="AK5" s="13">
        <f t="shared" ref="AK5:AK68" si="35">EXP(-1.0587+0.8836*LN(AJ5)+0.284)</f>
        <v>2.5831495528484112</v>
      </c>
      <c r="AL5" s="20">
        <f t="shared" si="4"/>
        <v>16.750171356925268</v>
      </c>
      <c r="AM5" s="59">
        <f t="shared" si="5"/>
        <v>275.86128246803639</v>
      </c>
      <c r="AN5" s="59">
        <f ca="1">AVERAGE(OFFSET($AM$3,0,0,'Données projet'!$E$10+1,1))-AVERAGE(OFFSET($H$3,0,0,'Données projet'!$E$10+1,1))</f>
        <v>581.88778927327667</v>
      </c>
      <c r="AO5" s="59">
        <f t="shared" ref="AO5:AO68" si="36">$AO$3</f>
        <v>269.67340993773422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7.1952941176470588</v>
      </c>
      <c r="N6" s="13">
        <f>IF('Données projet'!$A$36&gt;35,N5+M6-V5,IF(A6&lt;'Données projet'!$A$36,$K$205^A6,IF(A6='Données projet'!$A$36,'Données projet'!$B$36,N5+M6-V5)))</f>
        <v>2.3355109450773996</v>
      </c>
      <c r="O6" s="13">
        <f>N6*VLOOKUP('Données projet'!$B$9,Paramètres!$A$1:$I$89,3,0)*VLOOKUP('Données projet'!$B$9,Paramètres!$A$1:$I$89,5,0)</f>
        <v>1.3966355451562853</v>
      </c>
      <c r="P6" s="13">
        <f t="shared" si="33"/>
        <v>0.61908101217040834</v>
      </c>
      <c r="Q6" s="20">
        <f t="shared" si="2"/>
        <v>3.5107063373439913</v>
      </c>
      <c r="R6" s="59">
        <f t="shared" si="0"/>
        <v>263.84403967067732</v>
      </c>
      <c r="S6" s="59">
        <f ca="1">AVERAGE(OFFSET($R$3,0,0,'Données projet'!$E$9+1,1))-AVERAGE(OFFSET($H$3,0,0,'Données projet'!$E$9+1,1))</f>
        <v>300.80663531652721</v>
      </c>
      <c r="T6" s="59">
        <f t="shared" si="34"/>
        <v>306.01967513533549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10.551260571428571</v>
      </c>
      <c r="AK6" s="13">
        <f t="shared" si="35"/>
        <v>3.6961006326523931</v>
      </c>
      <c r="AL6" s="20">
        <f t="shared" si="4"/>
        <v>24.814154097107675</v>
      </c>
      <c r="AM6" s="59">
        <f t="shared" si="5"/>
        <v>285.147487430441</v>
      </c>
      <c r="AN6" s="59">
        <f ca="1">AVERAGE(OFFSET($AM$3,0,0,'Données projet'!$E$10+1,1))-AVERAGE(OFFSET($H$3,0,0,'Données projet'!$E$10+1,1))</f>
        <v>581.88778927327667</v>
      </c>
      <c r="AO6" s="59">
        <f t="shared" si="36"/>
        <v>269.67340993773422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7.1952941176470588</v>
      </c>
      <c r="N7" s="13">
        <f>IF('Données projet'!$A$36&gt;35,N6+M7-V6,IF(A7&lt;'Données projet'!$A$36,$K$205^A7,IF(A7='Données projet'!$A$36,'Données projet'!$B$36,N6+M7-V6)))</f>
        <v>3.09867391244756</v>
      </c>
      <c r="O7" s="13">
        <f>N7*VLOOKUP('Données projet'!$B$9,Paramètres!$A$1:$I$89,3,0)*VLOOKUP('Données projet'!$B$9,Paramètres!$A$1:$I$89,5,0)</f>
        <v>1.8530069996436409</v>
      </c>
      <c r="P7" s="13">
        <f t="shared" si="33"/>
        <v>0.79478238830446668</v>
      </c>
      <c r="Q7" s="20">
        <f t="shared" si="2"/>
        <v>4.6115665173429541</v>
      </c>
      <c r="R7" s="59">
        <f t="shared" si="0"/>
        <v>266.16712207289851</v>
      </c>
      <c r="S7" s="59">
        <f ca="1">AVERAGE(OFFSET($R$3,0,0,'Données projet'!$E$9+1,1))-AVERAGE(OFFSET($H$3,0,0,'Données projet'!$E$9+1,1))</f>
        <v>300.80663531652721</v>
      </c>
      <c r="T7" s="59">
        <f t="shared" si="34"/>
        <v>306.01967513533549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14.068347428571428</v>
      </c>
      <c r="AK7" s="13">
        <f t="shared" si="35"/>
        <v>4.7658421593654818</v>
      </c>
      <c r="AL7" s="20">
        <f t="shared" si="4"/>
        <v>32.802880198990124</v>
      </c>
      <c r="AM7" s="59">
        <f t="shared" si="5"/>
        <v>294.35843575454567</v>
      </c>
      <c r="AN7" s="59">
        <f ca="1">AVERAGE(OFFSET($AM$3,0,0,'Données projet'!$E$10+1,1))-AVERAGE(OFFSET($H$3,0,0,'Données projet'!$E$10+1,1))</f>
        <v>581.88778927327667</v>
      </c>
      <c r="AO7" s="59">
        <f t="shared" si="36"/>
        <v>269.67340993773422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7.1952941176470588</v>
      </c>
      <c r="N8" s="13">
        <f>IF('Données projet'!$A$36&gt;35,N7+M8-V7,IF(A8&lt;'Données projet'!$A$36,$K$205^A8,IF(A8='Données projet'!$A$36,'Données projet'!$B$36,N7+M8-V7)))</f>
        <v>4.1112117397355483</v>
      </c>
      <c r="O8" s="13">
        <f>N8*VLOOKUP('Données projet'!$B$9,Paramètres!$A$1:$I$89,3,0)*VLOOKUP('Données projet'!$B$9,Paramètres!$A$1:$I$89,5,0)</f>
        <v>2.4585046203618579</v>
      </c>
      <c r="P8" s="13">
        <f t="shared" si="33"/>
        <v>1.0203495703161323</v>
      </c>
      <c r="Q8" s="20">
        <f t="shared" si="2"/>
        <v>6.0590043820974993</v>
      </c>
      <c r="R8" s="59">
        <f t="shared" si="0"/>
        <v>268.83678215987527</v>
      </c>
      <c r="S8" s="59">
        <f ca="1">AVERAGE(OFFSET($R$3,0,0,'Données projet'!$E$9+1,1))-AVERAGE(OFFSET($H$3,0,0,'Données projet'!$E$9+1,1))</f>
        <v>300.80663531652721</v>
      </c>
      <c r="T8" s="59">
        <f t="shared" si="34"/>
        <v>306.01967513533549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17.585434285714282</v>
      </c>
      <c r="AK8" s="13">
        <f t="shared" si="35"/>
        <v>5.804560501905633</v>
      </c>
      <c r="AL8" s="20">
        <f t="shared" si="4"/>
        <v>40.737574255104683</v>
      </c>
      <c r="AM8" s="59">
        <f t="shared" si="5"/>
        <v>303.51535203288245</v>
      </c>
      <c r="AN8" s="59">
        <f ca="1">AVERAGE(OFFSET($AM$3,0,0,'Données projet'!$E$10+1,1))-AVERAGE(OFFSET($H$3,0,0,'Données projet'!$E$10+1,1))</f>
        <v>581.88778927327667</v>
      </c>
      <c r="AO8" s="59">
        <f t="shared" si="36"/>
        <v>269.67340993773422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7.1952941176470588</v>
      </c>
      <c r="N9" s="13">
        <f>IF('Données projet'!$A$36&gt;35,N8+M9-V8,IF(A9&lt;'Données projet'!$A$36,$K$205^A9,IF(A9='Données projet'!$A$36,'Données projet'!$B$36,N8+M9-V8)))</f>
        <v>5.4546113745763272</v>
      </c>
      <c r="O9" s="13">
        <f>N9*VLOOKUP('Données projet'!$B$9,Paramètres!$A$1:$I$89,3,0)*VLOOKUP('Données projet'!$B$9,Paramètres!$A$1:$I$89,5,0)</f>
        <v>3.2618576019966441</v>
      </c>
      <c r="P9" s="13">
        <f t="shared" si="33"/>
        <v>1.3099349720938758</v>
      </c>
      <c r="Q9" s="20">
        <f t="shared" si="2"/>
        <v>7.962538733207654</v>
      </c>
      <c r="R9" s="59">
        <f t="shared" si="0"/>
        <v>271.96253873320768</v>
      </c>
      <c r="S9" s="59">
        <f ca="1">AVERAGE(OFFSET($R$3,0,0,'Données projet'!$E$9+1,1))-AVERAGE(OFFSET($H$3,0,0,'Données projet'!$E$9+1,1))</f>
        <v>300.80663531652721</v>
      </c>
      <c r="T9" s="59">
        <f t="shared" si="34"/>
        <v>306.01967513533549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21.102521142857139</v>
      </c>
      <c r="AK9" s="13">
        <f t="shared" si="35"/>
        <v>6.8192072738987575</v>
      </c>
      <c r="AL9" s="20">
        <f t="shared" si="4"/>
        <v>48.630343659183183</v>
      </c>
      <c r="AM9" s="59">
        <f t="shared" si="5"/>
        <v>312.63034365918315</v>
      </c>
      <c r="AN9" s="59">
        <f ca="1">AVERAGE(OFFSET($AM$3,0,0,'Données projet'!$E$10+1,1))-AVERAGE(OFFSET($H$3,0,0,'Données projet'!$E$10+1,1))</f>
        <v>581.88778927327667</v>
      </c>
      <c r="AO9" s="59">
        <f t="shared" si="36"/>
        <v>269.67340993773422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7.1952941176470588</v>
      </c>
      <c r="N10" s="13">
        <f>IF('Données projet'!$A$36&gt;35,N9+M10-V9,IF(A10&lt;'Données projet'!$A$36,$K$205^A10,IF(A10='Données projet'!$A$36,'Données projet'!$B$36,N9+M10-V9)))</f>
        <v>7.2369868377470841</v>
      </c>
      <c r="O10" s="13">
        <f>N10*VLOOKUP('Données projet'!$B$9,Paramètres!$A$1:$I$89,3,0)*VLOOKUP('Données projet'!$B$9,Paramètres!$A$1:$I$89,5,0)</f>
        <v>4.3277181289727569</v>
      </c>
      <c r="P10" s="13">
        <f t="shared" si="33"/>
        <v>1.6817076039762937</v>
      </c>
      <c r="Q10" s="20">
        <f t="shared" si="2"/>
        <v>10.466416484886262</v>
      </c>
      <c r="R10" s="59">
        <f t="shared" si="0"/>
        <v>275.68863870710851</v>
      </c>
      <c r="S10" s="59">
        <f ca="1">AVERAGE(OFFSET($R$3,0,0,'Données projet'!$E$9+1,1))-AVERAGE(OFFSET($H$3,0,0,'Données projet'!$E$9+1,1))</f>
        <v>300.80663531652721</v>
      </c>
      <c r="T10" s="59">
        <f t="shared" si="34"/>
        <v>306.01967513533549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24.619607999999992</v>
      </c>
      <c r="AK10" s="13">
        <f t="shared" si="35"/>
        <v>7.8142639118614152</v>
      </c>
      <c r="AL10" s="20">
        <f t="shared" si="4"/>
        <v>56.488993579825284</v>
      </c>
      <c r="AM10" s="59">
        <f t="shared" si="5"/>
        <v>321.71121580204749</v>
      </c>
      <c r="AN10" s="59">
        <f ca="1">AVERAGE(OFFSET($AM$3,0,0,'Données projet'!$E$10+1,1))-AVERAGE(OFFSET($H$3,0,0,'Données projet'!$E$10+1,1))</f>
        <v>581.88778927327667</v>
      </c>
      <c r="AO10" s="59">
        <f t="shared" si="36"/>
        <v>269.67340993773422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7.1952941176470588</v>
      </c>
      <c r="N11" s="13">
        <f>IF('Données projet'!$A$36&gt;35,N10+M11-V10,IF(A11&lt;'Données projet'!$A$36,$K$205^A11,IF(A11='Données projet'!$A$36,'Données projet'!$B$36,N10+M11-V10)))</f>
        <v>9.6017800156830688</v>
      </c>
      <c r="O11" s="13">
        <f>N11*VLOOKUP('Données projet'!$B$9,Paramètres!$A$1:$I$89,3,0)*VLOOKUP('Données projet'!$B$9,Paramètres!$A$1:$I$89,5,0)</f>
        <v>5.7418644493784763</v>
      </c>
      <c r="P11" s="13">
        <f t="shared" si="33"/>
        <v>2.1589930229521412</v>
      </c>
      <c r="Q11" s="20">
        <f t="shared" si="2"/>
        <v>13.760660097642491</v>
      </c>
      <c r="R11" s="59">
        <f t="shared" si="0"/>
        <v>280.20510454208693</v>
      </c>
      <c r="S11" s="59">
        <f ca="1">AVERAGE(OFFSET($R$3,0,0,'Données projet'!$E$9+1,1))-AVERAGE(OFFSET($H$3,0,0,'Données projet'!$E$9+1,1))</f>
        <v>300.80663531652721</v>
      </c>
      <c r="T11" s="59">
        <f t="shared" si="34"/>
        <v>306.01967513533549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28.136694857142849</v>
      </c>
      <c r="AK11" s="13">
        <f t="shared" si="35"/>
        <v>8.792851913254415</v>
      </c>
      <c r="AL11" s="20">
        <f t="shared" si="4"/>
        <v>64.318960625108559</v>
      </c>
      <c r="AM11" s="59">
        <f t="shared" si="5"/>
        <v>330.76340506955302</v>
      </c>
      <c r="AN11" s="59">
        <f ca="1">AVERAGE(OFFSET($AM$3,0,0,'Données projet'!$E$10+1,1))-AVERAGE(OFFSET($H$3,0,0,'Données projet'!$E$10+1,1))</f>
        <v>581.88778927327667</v>
      </c>
      <c r="AO11" s="59">
        <f t="shared" si="36"/>
        <v>269.67340993773422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7.1952941176470588</v>
      </c>
      <c r="N12" s="13">
        <f>IF('Données projet'!$A$36&gt;35,N11+M12-V11,IF(A12&lt;'Données projet'!$A$36,$K$205^A12,IF(A12='Données projet'!$A$36,'Données projet'!$B$36,N11+M12-V11)))</f>
        <v>12.739304566466691</v>
      </c>
      <c r="O12" s="13">
        <f>N12*VLOOKUP('Données projet'!$B$9,Paramètres!$A$1:$I$89,3,0)*VLOOKUP('Données projet'!$B$9,Paramètres!$A$1:$I$89,5,0)</f>
        <v>7.6181041307470823</v>
      </c>
      <c r="P12" s="13">
        <f t="shared" si="33"/>
        <v>2.7717368121157255</v>
      </c>
      <c r="Q12" s="20">
        <f t="shared" si="2"/>
        <v>18.095639642152722</v>
      </c>
      <c r="R12" s="59">
        <f t="shared" si="0"/>
        <v>285.7623063088194</v>
      </c>
      <c r="S12" s="59">
        <f ca="1">AVERAGE(OFFSET($R$3,0,0,'Données projet'!$E$9+1,1))-AVERAGE(OFFSET($H$3,0,0,'Données projet'!$E$9+1,1))</f>
        <v>300.80663531652721</v>
      </c>
      <c r="T12" s="59">
        <f t="shared" si="34"/>
        <v>306.01967513533549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31.653781714285703</v>
      </c>
      <c r="AK12" s="13">
        <f t="shared" si="35"/>
        <v>9.757265618420071</v>
      </c>
      <c r="AL12" s="20">
        <f t="shared" si="4"/>
        <v>72.124240771129223</v>
      </c>
      <c r="AM12" s="59">
        <f t="shared" si="5"/>
        <v>339.79090743779591</v>
      </c>
      <c r="AN12" s="59">
        <f ca="1">AVERAGE(OFFSET($AM$3,0,0,'Données projet'!$E$10+1,1))-AVERAGE(OFFSET($H$3,0,0,'Données projet'!$E$10+1,1))</f>
        <v>581.88778927327667</v>
      </c>
      <c r="AO12" s="59">
        <f t="shared" si="36"/>
        <v>269.67340993773422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7.1952941176470588</v>
      </c>
      <c r="N13" s="13">
        <f>IF('Données projet'!$A$36&gt;35,N12+M13-V12,IF(A13&lt;'Données projet'!$A$36,$K$205^A13,IF(A13='Données projet'!$A$36,'Données projet'!$B$36,N12+M13-V12)))</f>
        <v>16.902061968939393</v>
      </c>
      <c r="O13" s="13">
        <f>N13*VLOOKUP('Données projet'!$B$9,Paramètres!$A$1:$I$89,3,0)*VLOOKUP('Données projet'!$B$9,Paramètres!$A$1:$I$89,5,0)</f>
        <v>10.107433057425759</v>
      </c>
      <c r="P13" s="13">
        <f t="shared" si="33"/>
        <v>3.5583834102125023</v>
      </c>
      <c r="Q13" s="20">
        <f t="shared" si="2"/>
        <v>23.80129701446997</v>
      </c>
      <c r="R13" s="59">
        <f t="shared" si="0"/>
        <v>292.69018590335884</v>
      </c>
      <c r="S13" s="59">
        <f ca="1">AVERAGE(OFFSET($R$3,0,0,'Données projet'!$E$9+1,1))-AVERAGE(OFFSET($H$3,0,0,'Données projet'!$E$9+1,1))</f>
        <v>300.80663531652721</v>
      </c>
      <c r="T13" s="59">
        <f t="shared" si="34"/>
        <v>306.01967513533549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35.170868571428556</v>
      </c>
      <c r="AK13" s="13">
        <f t="shared" si="35"/>
        <v>10.709259603674569</v>
      </c>
      <c r="AL13" s="20">
        <f t="shared" si="4"/>
        <v>79.90788990497127</v>
      </c>
      <c r="AM13" s="59">
        <f t="shared" si="5"/>
        <v>348.79677879386014</v>
      </c>
      <c r="AN13" s="59">
        <f ca="1">AVERAGE(OFFSET($AM$3,0,0,'Données projet'!$E$10+1,1))-AVERAGE(OFFSET($H$3,0,0,'Données projet'!$E$10+1,1))</f>
        <v>581.88778927327667</v>
      </c>
      <c r="AO13" s="59">
        <f t="shared" si="36"/>
        <v>269.67340993773422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7.1952941176470588</v>
      </c>
      <c r="N14" s="13">
        <f>IF('Données projet'!$A$36&gt;35,N13+M14-V13,IF(A14&lt;'Données projet'!$A$36,$K$205^A14,IF(A14='Données projet'!$A$36,'Données projet'!$B$36,N13+M14-V13)))</f>
        <v>22.425062318853254</v>
      </c>
      <c r="O14" s="13">
        <f>N14*VLOOKUP('Données projet'!$B$9,Paramètres!$A$1:$I$89,3,0)*VLOOKUP('Données projet'!$B$9,Paramètres!$A$1:$I$89,5,0)</f>
        <v>13.410187266674248</v>
      </c>
      <c r="P14" s="13">
        <f t="shared" si="33"/>
        <v>4.5682881717800319</v>
      </c>
      <c r="Q14" s="20">
        <f t="shared" si="2"/>
        <v>31.312511388641202</v>
      </c>
      <c r="R14" s="59">
        <f t="shared" si="0"/>
        <v>301.42362249975235</v>
      </c>
      <c r="S14" s="59">
        <f ca="1">AVERAGE(OFFSET($R$3,0,0,'Données projet'!$E$9+1,1))-AVERAGE(OFFSET($H$3,0,0,'Données projet'!$E$9+1,1))</f>
        <v>300.80663531652721</v>
      </c>
      <c r="T14" s="59">
        <f t="shared" si="34"/>
        <v>306.01967513533549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38.687955428571414</v>
      </c>
      <c r="AK14" s="13">
        <f t="shared" si="35"/>
        <v>11.650217223542473</v>
      </c>
      <c r="AL14" s="20">
        <f t="shared" si="4"/>
        <v>87.672317369098337</v>
      </c>
      <c r="AM14" s="59">
        <f t="shared" si="5"/>
        <v>357.78342848020947</v>
      </c>
      <c r="AN14" s="59">
        <f ca="1">AVERAGE(OFFSET($AM$3,0,0,'Données projet'!$E$10+1,1))-AVERAGE(OFFSET($H$3,0,0,'Données projet'!$E$10+1,1))</f>
        <v>581.88778927327667</v>
      </c>
      <c r="AO14" s="59">
        <f t="shared" si="36"/>
        <v>269.67340993773422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7.1952941176470588</v>
      </c>
      <c r="N15" s="13">
        <f>IF('Données projet'!$A$36&gt;35,N14+M15-V14,IF(A15&lt;'Données projet'!$A$36,$K$205^A15,IF(A15='Données projet'!$A$36,'Données projet'!$B$36,N14+M15-V14)))</f>
        <v>29.752785247657449</v>
      </c>
      <c r="O15" s="13">
        <f>N15*VLOOKUP('Données projet'!$B$9,Paramètres!$A$1:$I$89,3,0)*VLOOKUP('Données projet'!$B$9,Paramètres!$A$1:$I$89,5,0)</f>
        <v>17.792165578099155</v>
      </c>
      <c r="P15" s="13">
        <f t="shared" si="33"/>
        <v>5.8648139940544119</v>
      </c>
      <c r="Q15" s="20">
        <f t="shared" si="2"/>
        <v>41.202572754834129</v>
      </c>
      <c r="R15" s="59">
        <f t="shared" si="0"/>
        <v>312.53590608816745</v>
      </c>
      <c r="S15" s="59">
        <f ca="1">AVERAGE(OFFSET($R$3,0,0,'Données projet'!$E$9+1,1))-AVERAGE(OFFSET($H$3,0,0,'Données projet'!$E$9+1,1))</f>
        <v>300.80663531652721</v>
      </c>
      <c r="T15" s="59">
        <f t="shared" si="34"/>
        <v>306.01967513533549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42.205042285714271</v>
      </c>
      <c r="AK15" s="13">
        <f t="shared" si="35"/>
        <v>12.581255887241159</v>
      </c>
      <c r="AL15" s="20">
        <f t="shared" si="4"/>
        <v>95.419469317897367</v>
      </c>
      <c r="AM15" s="59">
        <f t="shared" si="5"/>
        <v>366.7528026512307</v>
      </c>
      <c r="AN15" s="59">
        <f ca="1">AVERAGE(OFFSET($AM$3,0,0,'Données projet'!$E$10+1,1))-AVERAGE(OFFSET($H$3,0,0,'Données projet'!$E$10+1,1))</f>
        <v>581.88778927327667</v>
      </c>
      <c r="AO15" s="59">
        <f t="shared" si="36"/>
        <v>269.67340993773422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7.1952941176470588</v>
      </c>
      <c r="N16" s="13">
        <f>IF('Données projet'!$A$36&gt;35,N15+M16-V15,IF(A16&lt;'Données projet'!$A$36,$K$205^A16,IF(A16='Données projet'!$A$36,'Données projet'!$B$36,N15+M16-V15)))</f>
        <v>39.474950722834407</v>
      </c>
      <c r="O16" s="13">
        <f>N16*VLOOKUP('Données projet'!$B$9,Paramètres!$A$1:$I$89,3,0)*VLOOKUP('Données projet'!$B$9,Paramètres!$A$1:$I$89,5,0)</f>
        <v>23.606020532254977</v>
      </c>
      <c r="P16" s="13">
        <f t="shared" si="33"/>
        <v>7.5293067975293804</v>
      </c>
      <c r="Q16" s="20">
        <f t="shared" si="2"/>
        <v>54.227361766041078</v>
      </c>
      <c r="R16" s="59">
        <f t="shared" si="0"/>
        <v>326.78291732159664</v>
      </c>
      <c r="S16" s="59">
        <f ca="1">AVERAGE(OFFSET($R$3,0,0,'Données projet'!$E$9+1,1))-AVERAGE(OFFSET($H$3,0,0,'Données projet'!$E$9+1,1))</f>
        <v>300.80663531652721</v>
      </c>
      <c r="T16" s="59">
        <f t="shared" si="34"/>
        <v>306.01967513533549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45.722129142857128</v>
      </c>
      <c r="AK16" s="13">
        <f t="shared" si="35"/>
        <v>13.50329614922042</v>
      </c>
      <c r="AL16" s="20">
        <f t="shared" si="4"/>
        <v>103.1509490503684</v>
      </c>
      <c r="AM16" s="59">
        <f t="shared" si="5"/>
        <v>375.70650460592395</v>
      </c>
      <c r="AN16" s="59">
        <f ca="1">AVERAGE(OFFSET($AM$3,0,0,'Données projet'!$E$10+1,1))-AVERAGE(OFFSET($H$3,0,0,'Données projet'!$E$10+1,1))</f>
        <v>581.88778927327667</v>
      </c>
      <c r="AO16" s="59">
        <f t="shared" si="36"/>
        <v>269.67340993773422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7.1952941176470588</v>
      </c>
      <c r="N17" s="13">
        <f>IF('Données projet'!$A$36&gt;35,N16+M17-V16,IF(A17&lt;'Données projet'!$A$36,$K$205^A17,IF(A17='Données projet'!$A$36,'Données projet'!$B$36,N16+M17-V16)))</f>
        <v>52.373978489724536</v>
      </c>
      <c r="O17" s="13">
        <f>N17*VLOOKUP('Données projet'!$B$9,Paramètres!$A$1:$I$89,3,0)*VLOOKUP('Données projet'!$B$9,Paramètres!$A$1:$I$89,5,0)</f>
        <v>31.319639136855276</v>
      </c>
      <c r="P17" s="13">
        <f t="shared" si="33"/>
        <v>9.6661992876148126</v>
      </c>
      <c r="Q17" s="20">
        <f t="shared" si="2"/>
        <v>71.383668589285392</v>
      </c>
      <c r="R17" s="59">
        <f t="shared" si="0"/>
        <v>345.16144636706315</v>
      </c>
      <c r="S17" s="59">
        <f ca="1">AVERAGE(OFFSET($R$3,0,0,'Données projet'!$E$9+1,1))-AVERAGE(OFFSET($H$3,0,0,'Données projet'!$E$9+1,1))</f>
        <v>300.80663531652721</v>
      </c>
      <c r="T17" s="59">
        <f t="shared" si="34"/>
        <v>306.01967513533549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49.239215999999978</v>
      </c>
      <c r="AK17" s="13">
        <f t="shared" si="35"/>
        <v>14.417108895027585</v>
      </c>
      <c r="AL17" s="20">
        <f t="shared" si="4"/>
        <v>110.86809919217301</v>
      </c>
      <c r="AM17" s="59">
        <f t="shared" si="5"/>
        <v>384.64587696995079</v>
      </c>
      <c r="AN17" s="59">
        <f ca="1">AVERAGE(OFFSET($AM$3,0,0,'Données projet'!$E$10+1,1))-AVERAGE(OFFSET($H$3,0,0,'Données projet'!$E$10+1,1))</f>
        <v>581.88778927327667</v>
      </c>
      <c r="AO17" s="59">
        <f t="shared" si="36"/>
        <v>269.67340993773422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7.1952941176470588</v>
      </c>
      <c r="N18" s="13">
        <f>IF('Données projet'!$A$36&gt;35,N17+M18-V17,IF(A18&lt;'Données projet'!$A$36,$K$205^A18,IF(A18='Données projet'!$A$36,'Données projet'!$B$36,N17+M18-V17)))</f>
        <v>69.487955592441367</v>
      </c>
      <c r="O18" s="13">
        <f>N18*VLOOKUP('Données projet'!$B$9,Paramètres!$A$1:$I$89,3,0)*VLOOKUP('Données projet'!$B$9,Paramètres!$A$1:$I$89,5,0)</f>
        <v>41.553797444279937</v>
      </c>
      <c r="P18" s="13">
        <f t="shared" si="33"/>
        <v>12.409563214842624</v>
      </c>
      <c r="Q18" s="20">
        <f t="shared" si="2"/>
        <v>93.986186481305097</v>
      </c>
      <c r="R18" s="59">
        <f t="shared" si="0"/>
        <v>368.98618648130508</v>
      </c>
      <c r="S18" s="59">
        <f ca="1">AVERAGE(OFFSET($R$3,0,0,'Données projet'!$E$9+1,1))-AVERAGE(OFFSET($H$3,0,0,'Données projet'!$E$9+1,1))</f>
        <v>300.80663531652721</v>
      </c>
      <c r="T18" s="59">
        <f t="shared" si="34"/>
        <v>306.01967513533549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52.756302857142842</v>
      </c>
      <c r="AK18" s="13">
        <f t="shared" si="35"/>
        <v>15.323348643415981</v>
      </c>
      <c r="AL18" s="20">
        <f t="shared" si="4"/>
        <v>118.57205969680662</v>
      </c>
      <c r="AM18" s="59">
        <f t="shared" si="5"/>
        <v>393.5720596968066</v>
      </c>
      <c r="AN18" s="59">
        <f ca="1">AVERAGE(OFFSET($AM$3,0,0,'Données projet'!$E$10+1,1))-AVERAGE(OFFSET($H$3,0,0,'Données projet'!$E$10+1,1))</f>
        <v>581.88778927327667</v>
      </c>
      <c r="AO18" s="59">
        <f t="shared" si="36"/>
        <v>269.67340993773422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7.1952941176470588</v>
      </c>
      <c r="N19" s="13">
        <f>IF('Données projet'!$A$36&gt;35,N18+M19-V18,IF(A19&lt;'Données projet'!$A$36,$K$205^A19,IF(A19='Données projet'!$A$36,'Données projet'!$B$36,N18+M19-V18)))</f>
        <v>92.194179469570756</v>
      </c>
      <c r="O19" s="13">
        <f>N19*VLOOKUP('Données projet'!$B$9,Paramètres!$A$1:$I$89,3,0)*VLOOKUP('Données projet'!$B$9,Paramètres!$A$1:$I$89,5,0)</f>
        <v>55.13211932280332</v>
      </c>
      <c r="P19" s="13">
        <f t="shared" si="33"/>
        <v>15.931521231978957</v>
      </c>
      <c r="Q19" s="20">
        <f t="shared" si="2"/>
        <v>123.76917396624582</v>
      </c>
      <c r="R19" s="59">
        <f t="shared" si="0"/>
        <v>399.99139618846806</v>
      </c>
      <c r="S19" s="59">
        <f ca="1">AVERAGE(OFFSET($R$3,0,0,'Données projet'!$E$9+1,1))-AVERAGE(OFFSET($H$3,0,0,'Données projet'!$E$9+1,1))</f>
        <v>300.80663531652721</v>
      </c>
      <c r="T19" s="59">
        <f t="shared" si="34"/>
        <v>306.01967513533549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56.273389714285692</v>
      </c>
      <c r="AK19" s="13">
        <f t="shared" si="35"/>
        <v>16.222577706752112</v>
      </c>
      <c r="AL19" s="20">
        <f t="shared" si="4"/>
        <v>126.26380992497417</v>
      </c>
      <c r="AM19" s="59">
        <f t="shared" si="5"/>
        <v>402.4860321471964</v>
      </c>
      <c r="AN19" s="59">
        <f ca="1">AVERAGE(OFFSET($AM$3,0,0,'Données projet'!$E$10+1,1))-AVERAGE(OFFSET($H$3,0,0,'Données projet'!$E$10+1,1))</f>
        <v>581.88778927327667</v>
      </c>
      <c r="AO19" s="59">
        <f t="shared" si="36"/>
        <v>269.67340993773422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122.32</v>
      </c>
      <c r="L20" s="12">
        <f>VLOOKUP(A20,'Données projet'!$A$35:$I$55,9,0)</f>
        <v>7.1952941176470588</v>
      </c>
      <c r="M20" s="12">
        <f t="array" ref="M20">INDEX(L:L,MIN(IF(ISNUMBER(L20:L216),ROW(L20:L216),"")))</f>
        <v>7.1952941176470588</v>
      </c>
      <c r="N20" s="13">
        <f>IF('Données projet'!$A$36&gt;35,N19+M20-V19,IF(A20&lt;'Données projet'!$A$36,$K$205^A20,IF(A20='Données projet'!$A$36,'Données projet'!$B$36,N19+M20-V19)))</f>
        <v>122.32</v>
      </c>
      <c r="O20" s="13">
        <f>N20*VLOOKUP('Données projet'!$B$9,Paramètres!$A$1:$I$89,3,0)*VLOOKUP('Données projet'!$B$9,Paramètres!$A$1:$I$89,5,0)</f>
        <v>73.147360000000006</v>
      </c>
      <c r="P20" s="13">
        <f t="shared" si="33"/>
        <v>20.453046120222783</v>
      </c>
      <c r="Q20" s="20">
        <f t="shared" si="2"/>
        <v>163.02070732605469</v>
      </c>
      <c r="R20" s="59">
        <f t="shared" si="0"/>
        <v>440.46515177049912</v>
      </c>
      <c r="S20" s="59">
        <f ca="1">AVERAGE(OFFSET($R$3,0,0,'Données projet'!$E$9+1,1))-AVERAGE(OFFSET($H$3,0,0,'Données projet'!$E$9+1,1))</f>
        <v>300.80663531652721</v>
      </c>
      <c r="T20" s="59">
        <f t="shared" si="34"/>
        <v>306.01967513533549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40.76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14.49315281448583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14.49315281448583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59.790476571428549</v>
      </c>
      <c r="AK20" s="13">
        <f t="shared" si="35"/>
        <v>17.115284135607041</v>
      </c>
      <c r="AL20" s="20">
        <f t="shared" si="4"/>
        <v>133.94419989808699</v>
      </c>
      <c r="AM20" s="59">
        <f t="shared" si="5"/>
        <v>411.38864434253145</v>
      </c>
      <c r="AN20" s="59">
        <f ca="1">AVERAGE(OFFSET($AM$3,0,0,'Données projet'!$E$10+1,1))-AVERAGE(OFFSET($H$3,0,0,'Données projet'!$E$10+1,1))</f>
        <v>581.88778927327667</v>
      </c>
      <c r="AO20" s="59">
        <f t="shared" si="36"/>
        <v>269.67340993773422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17.686666666666667</v>
      </c>
      <c r="N21" s="13">
        <f>IF('Données projet'!$A$36&gt;35,N20+M21-V20,IF(A21&lt;'Données projet'!$A$36,$K$205^A21,IF(A21='Données projet'!$A$36,'Données projet'!$B$36,N20+M21-V20)))</f>
        <v>99.24666666666667</v>
      </c>
      <c r="O21" s="13">
        <f>N21*VLOOKUP('Données projet'!$B$9,Paramètres!$A$1:$I$89,3,0)*VLOOKUP('Données projet'!$B$9,Paramètres!$A$1:$I$89,5,0)</f>
        <v>59.34950666666667</v>
      </c>
      <c r="P21" s="13">
        <f t="shared" si="33"/>
        <v>17.003699693551216</v>
      </c>
      <c r="Q21" s="20">
        <f t="shared" si="2"/>
        <v>132.98183441071282</v>
      </c>
      <c r="R21" s="59">
        <f t="shared" si="0"/>
        <v>411.64850107737948</v>
      </c>
      <c r="S21" s="59">
        <f ca="1">AVERAGE(OFFSET($R$3,0,0,'Données projet'!$E$9+1,1))-AVERAGE(OFFSET($H$3,0,0,'Données projet'!$E$9+1,1))</f>
        <v>300.80663531652721</v>
      </c>
      <c r="T21" s="59">
        <f t="shared" si="34"/>
        <v>306.01967513533549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14.096836788611933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14.096836788611933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63.307563428571406</v>
      </c>
      <c r="AK21" s="13">
        <f t="shared" si="35"/>
        <v>18.001895319269028</v>
      </c>
      <c r="AL21" s="20">
        <f t="shared" si="4"/>
        <v>141.61397398582207</v>
      </c>
      <c r="AM21" s="59">
        <f t="shared" si="5"/>
        <v>420.28064065248873</v>
      </c>
      <c r="AN21" s="59">
        <f ca="1">AVERAGE(OFFSET($AM$3,0,0,'Données projet'!$E$10+1,1))-AVERAGE(OFFSET($H$3,0,0,'Données projet'!$E$10+1,1))</f>
        <v>581.88778927327667</v>
      </c>
      <c r="AO21" s="59">
        <f t="shared" si="36"/>
        <v>269.67340993773422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17.686666666666667</v>
      </c>
      <c r="N22" s="13">
        <f>IF('Données projet'!$A$36&gt;35,N21+M22-V21,IF(A22&lt;'Données projet'!$A$36,$K$205^A22,IF(A22='Données projet'!$A$36,'Données projet'!$B$36,N21+M22-V21)))</f>
        <v>116.93333333333334</v>
      </c>
      <c r="O22" s="13">
        <f>N22*VLOOKUP('Données projet'!$B$9,Paramètres!$A$1:$I$89,3,0)*VLOOKUP('Données projet'!$B$9,Paramètres!$A$1:$I$89,5,0)</f>
        <v>69.92613333333334</v>
      </c>
      <c r="P22" s="13">
        <f t="shared" si="33"/>
        <v>19.655112747639016</v>
      </c>
      <c r="Q22" s="20">
        <f t="shared" si="2"/>
        <v>156.02067025769352</v>
      </c>
      <c r="R22" s="59">
        <f t="shared" si="0"/>
        <v>435.90955914658241</v>
      </c>
      <c r="S22" s="59">
        <f ca="1">AVERAGE(OFFSET($R$3,0,0,'Données projet'!$E$9+1,1))-AVERAGE(OFFSET($H$3,0,0,'Données projet'!$E$9+1,1))</f>
        <v>300.80663531652721</v>
      </c>
      <c r="T22" s="59">
        <f t="shared" si="34"/>
        <v>306.01967513533549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13.711358045306911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13.711358045306911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66.82465028571427</v>
      </c>
      <c r="AK22" s="13">
        <f t="shared" si="35"/>
        <v>18.882788477272459</v>
      </c>
      <c r="AL22" s="20">
        <f t="shared" si="4"/>
        <v>149.27378917886855</v>
      </c>
      <c r="AM22" s="59">
        <f t="shared" si="5"/>
        <v>429.16267806775738</v>
      </c>
      <c r="AN22" s="59">
        <f ca="1">AVERAGE(OFFSET($AM$3,0,0,'Données projet'!$E$10+1,1))-AVERAGE(OFFSET($H$3,0,0,'Données projet'!$E$10+1,1))</f>
        <v>581.88778927327667</v>
      </c>
      <c r="AO22" s="59">
        <f t="shared" si="36"/>
        <v>269.67340993773422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17.686666666666667</v>
      </c>
      <c r="N23" s="13">
        <f>IF('Données projet'!$A$36&gt;35,N22+M23-V22,IF(A23&lt;'Données projet'!$A$36,$K$205^A23,IF(A23='Données projet'!$A$36,'Données projet'!$B$36,N22+M23-V22)))</f>
        <v>134.62</v>
      </c>
      <c r="O23" s="13">
        <f>N23*VLOOKUP('Données projet'!$B$9,Paramètres!$A$1:$I$89,3,0)*VLOOKUP('Données projet'!$B$9,Paramètres!$A$1:$I$89,5,0)</f>
        <v>80.502760000000009</v>
      </c>
      <c r="P23" s="13">
        <f t="shared" si="33"/>
        <v>22.260066705482632</v>
      </c>
      <c r="Q23" s="20">
        <f t="shared" si="2"/>
        <v>178.97858984538223</v>
      </c>
      <c r="R23" s="59">
        <f t="shared" si="0"/>
        <v>460.0897009564934</v>
      </c>
      <c r="S23" s="59">
        <f ca="1">AVERAGE(OFFSET($R$3,0,0,'Données projet'!$E$9+1,1))-AVERAGE(OFFSET($H$3,0,0,'Données projet'!$E$9+1,1))</f>
        <v>300.80663531652721</v>
      </c>
      <c r="T23" s="59">
        <f t="shared" si="34"/>
        <v>306.01967513533549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13.336420238509012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13.336420238509012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70.341737142857127</v>
      </c>
      <c r="AK23" s="13">
        <f t="shared" si="35"/>
        <v>19.758298879173367</v>
      </c>
      <c r="AL23" s="20">
        <f t="shared" si="4"/>
        <v>156.92422940503644</v>
      </c>
      <c r="AM23" s="59">
        <f t="shared" si="5"/>
        <v>438.03534051614758</v>
      </c>
      <c r="AN23" s="59">
        <f ca="1">AVERAGE(OFFSET($AM$3,0,0,'Données projet'!$E$10+1,1))-AVERAGE(OFFSET($H$3,0,0,'Données projet'!$E$10+1,1))</f>
        <v>581.88778927327667</v>
      </c>
      <c r="AO23" s="59">
        <f t="shared" si="36"/>
        <v>269.67340993773422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17.686666666666667</v>
      </c>
      <c r="N24" s="13">
        <f>IF('Données projet'!$A$36&gt;35,N23+M24-V23,IF(A24&lt;'Données projet'!$A$36,$K$205^A24,IF(A24='Données projet'!$A$36,'Données projet'!$B$36,N23+M24-V23)))</f>
        <v>152.30666666666667</v>
      </c>
      <c r="O24" s="13">
        <f>N24*VLOOKUP('Données projet'!$B$9,Paramètres!$A$1:$I$89,3,0)*VLOOKUP('Données projet'!$B$9,Paramètres!$A$1:$I$89,5,0)</f>
        <v>91.079386666666679</v>
      </c>
      <c r="P24" s="13">
        <f t="shared" si="33"/>
        <v>24.825366166504242</v>
      </c>
      <c r="Q24" s="20">
        <f t="shared" si="2"/>
        <v>201.8674445177727</v>
      </c>
      <c r="R24" s="59">
        <f t="shared" si="0"/>
        <v>484.20077785110601</v>
      </c>
      <c r="S24" s="59">
        <f ca="1">AVERAGE(OFFSET($R$3,0,0,'Données projet'!$E$9+1,1))-AVERAGE(OFFSET($H$3,0,0,'Données projet'!$E$9+1,1))</f>
        <v>300.80663531652721</v>
      </c>
      <c r="T24" s="59">
        <f t="shared" si="34"/>
        <v>306.01967513533549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12.971735125755124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12.971735125755124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73.858823999999984</v>
      </c>
      <c r="AK24" s="13">
        <f t="shared" si="35"/>
        <v>20.628726373651425</v>
      </c>
      <c r="AL24" s="20">
        <f t="shared" si="4"/>
        <v>164.56581690077618</v>
      </c>
      <c r="AM24" s="59">
        <f t="shared" si="5"/>
        <v>446.89915023410947</v>
      </c>
      <c r="AN24" s="59">
        <f ca="1">AVERAGE(OFFSET($AM$3,0,0,'Données projet'!$E$10+1,1))-AVERAGE(OFFSET($H$3,0,0,'Données projet'!$E$10+1,1))</f>
        <v>581.88778927327667</v>
      </c>
      <c r="AO24" s="59">
        <f t="shared" si="36"/>
        <v>269.67340993773422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17.686666666666667</v>
      </c>
      <c r="N25" s="13">
        <f>IF('Données projet'!$A$36&gt;35,N24+M25-V24,IF(A25&lt;'Données projet'!$A$36,$K$205^A25,IF(A25='Données projet'!$A$36,'Données projet'!$B$36,N24+M25-V24)))</f>
        <v>169.99333333333334</v>
      </c>
      <c r="O25" s="13">
        <f>N25*VLOOKUP('Données projet'!$B$9,Paramètres!$A$1:$I$89,3,0)*VLOOKUP('Données projet'!$B$9,Paramètres!$A$1:$I$89,5,0)</f>
        <v>101.65601333333333</v>
      </c>
      <c r="P25" s="13">
        <f t="shared" si="33"/>
        <v>27.356141971554642</v>
      </c>
      <c r="Q25" s="20">
        <f t="shared" si="2"/>
        <v>224.6961704893466</v>
      </c>
      <c r="R25" s="59">
        <f t="shared" si="0"/>
        <v>508.25172604490217</v>
      </c>
      <c r="S25" s="59">
        <f ca="1">AVERAGE(OFFSET($R$3,0,0,'Données projet'!$E$9+1,1))-AVERAGE(OFFSET($H$3,0,0,'Données projet'!$E$9+1,1))</f>
        <v>300.80663531652721</v>
      </c>
      <c r="T25" s="59">
        <f t="shared" si="34"/>
        <v>306.01967513533549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12.617022346587447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12.617022346587447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77.375910857142856</v>
      </c>
      <c r="AK25" s="13">
        <f t="shared" si="35"/>
        <v>21.49434063873689</v>
      </c>
      <c r="AL25" s="20">
        <f t="shared" si="4"/>
        <v>172.19902135532388</v>
      </c>
      <c r="AM25" s="59">
        <f t="shared" si="5"/>
        <v>455.75457691087945</v>
      </c>
      <c r="AN25" s="59">
        <f ca="1">AVERAGE(OFFSET($AM$3,0,0,'Données projet'!$E$10+1,1))-AVERAGE(OFFSET($H$3,0,0,'Données projet'!$E$10+1,1))</f>
        <v>581.88778927327667</v>
      </c>
      <c r="AO25" s="59">
        <f t="shared" si="36"/>
        <v>269.67340993773422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187.68</v>
      </c>
      <c r="L26" s="12">
        <f>VLOOKUP(A26,'Données projet'!$A$35:$I$55,9,0)</f>
        <v>17.686666666666667</v>
      </c>
      <c r="M26" s="12">
        <f t="array" ref="M26">INDEX(L:L,MIN(IF(ISNUMBER(L26:L222),ROW(L26:L222),"")))</f>
        <v>17.686666666666667</v>
      </c>
      <c r="N26" s="13">
        <f>IF('Données projet'!$A$36&gt;35,N25+M26-V25,IF(A26&lt;'Données projet'!$A$36,$K$205^A26,IF(A26='Données projet'!$A$36,'Données projet'!$B$36,N25+M26-V25)))</f>
        <v>187.68</v>
      </c>
      <c r="O26" s="13">
        <f>N26*VLOOKUP('Données projet'!$B$9,Paramètres!$A$1:$I$89,3,0)*VLOOKUP('Données projet'!$B$9,Paramètres!$A$1:$I$89,5,0)</f>
        <v>112.23264000000002</v>
      </c>
      <c r="P26" s="13">
        <f t="shared" si="33"/>
        <v>29.85639523393861</v>
      </c>
      <c r="Q26" s="20">
        <f t="shared" si="2"/>
        <v>247.47173636577645</v>
      </c>
      <c r="R26" s="59">
        <f t="shared" si="0"/>
        <v>532.24951414355428</v>
      </c>
      <c r="S26" s="59">
        <f ca="1">AVERAGE(OFFSET($R$3,0,0,'Données projet'!$E$9+1,1))-AVERAGE(OFFSET($H$3,0,0,'Données projet'!$E$9+1,1))</f>
        <v>300.80663531652721</v>
      </c>
      <c r="T26" s="59">
        <f t="shared" si="34"/>
        <v>306.01967513533549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57.75</v>
      </c>
      <c r="W26" s="16">
        <f>IF(ISNA(VLOOKUP(A26,'Données projet'!$A$35:$I$55,5,0)),0%,VLOOKUP(A26,'Données projet'!$A$35:$I$55,5,0)*VLOOKUP('Données projet'!$B$9,Paramètres!$A$1:$I$89,7,0))</f>
        <v>4.5000000000000005E-2</v>
      </c>
      <c r="X26" s="16">
        <f>IF(ISNA(VLOOKUP(A26,'Données projet'!$A$35:$I$55,6,0)),0%,VLOOKUP(A26,'Données projet'!$A$35:$I$55,6,0)*VLOOKUP('Données projet'!$B$9,Paramètres!$A$1:$I$89,7,0))</f>
        <v>0.36000000000000004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2.0615508083869565</v>
      </c>
      <c r="AA26" s="21">
        <f>EXP(-LN(2)/25)*AA25+(1-EXP(-LN(2)/25))/(LN(2)/25)*Calculateur!V26*Calculateur!X26*VLOOKUP('Données projet'!$B$9,Paramètres!$A$1:$I$89,3,0)*0.475*44/12</f>
        <v>28.699478785754813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30.761029594141771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80.892997714285713</v>
      </c>
      <c r="AK26" s="13">
        <f t="shared" si="35"/>
        <v>22.355385450466887</v>
      </c>
      <c r="AL26" s="20">
        <f t="shared" si="4"/>
        <v>179.82426734527743</v>
      </c>
      <c r="AM26" s="59">
        <f t="shared" si="5"/>
        <v>464.60204512305518</v>
      </c>
      <c r="AN26" s="59">
        <f ca="1">AVERAGE(OFFSET($AM$3,0,0,'Données projet'!$E$10+1,1))-AVERAGE(OFFSET($H$3,0,0,'Données projet'!$E$10+1,1))</f>
        <v>581.88778927327667</v>
      </c>
      <c r="AO26" s="59">
        <f t="shared" si="36"/>
        <v>269.67340993773422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18.613333333333333</v>
      </c>
      <c r="N27" s="13">
        <f>IF('Données projet'!$A$36&gt;35,N26+M27-V26,IF(A27&lt;'Données projet'!$A$36,$K$205^A27,IF(A27='Données projet'!$A$36,'Données projet'!$B$36,N26+M27-V26)))</f>
        <v>148.54333333333335</v>
      </c>
      <c r="O27" s="13">
        <f>N27*VLOOKUP('Données projet'!$B$9,Paramètres!$A$1:$I$89,3,0)*VLOOKUP('Données projet'!$B$9,Paramètres!$A$1:$I$89,5,0)</f>
        <v>88.828913333333347</v>
      </c>
      <c r="P27" s="13">
        <f t="shared" si="33"/>
        <v>24.282572155728136</v>
      </c>
      <c r="Q27" s="20">
        <f t="shared" si="2"/>
        <v>197.00250389344876</v>
      </c>
      <c r="R27" s="59">
        <f t="shared" si="0"/>
        <v>483.00250389344876</v>
      </c>
      <c r="S27" s="59">
        <f ca="1">AVERAGE(OFFSET($R$3,0,0,'Données projet'!$E$9+1,1))-AVERAGE(OFFSET($H$3,0,0,'Données projet'!$E$9+1,1))</f>
        <v>300.80663531652721</v>
      </c>
      <c r="T27" s="59">
        <f t="shared" si="34"/>
        <v>306.01967513533549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2.0211250544563213</v>
      </c>
      <c r="AA27" s="21">
        <f>EXP(-LN(2)/25)*AA26+(1-EXP(-LN(2)/25))/(LN(2)/25)*Calculateur!V27*Calculateur!X27*VLOOKUP('Données projet'!$B$9,Paramètres!$A$1:$I$89,3,0)*0.475*44/12</f>
        <v>27.914690029118351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29.935815083574671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84.410084571428584</v>
      </c>
      <c r="AK27" s="13">
        <f t="shared" si="35"/>
        <v>23.212082188219242</v>
      </c>
      <c r="AL27" s="20">
        <f t="shared" si="4"/>
        <v>187.44194043971996</v>
      </c>
      <c r="AM27" s="59">
        <f t="shared" si="5"/>
        <v>473.44194043971993</v>
      </c>
      <c r="AN27" s="59">
        <f ca="1">AVERAGE(OFFSET($AM$3,0,0,'Données projet'!$E$10+1,1))-AVERAGE(OFFSET($H$3,0,0,'Données projet'!$E$10+1,1))</f>
        <v>581.88778927327667</v>
      </c>
      <c r="AO27" s="59">
        <f t="shared" si="36"/>
        <v>269.67340993773422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18.613333333333333</v>
      </c>
      <c r="N28" s="13">
        <f>IF('Données projet'!$A$36&gt;35,N27+M28-V27,IF(A28&lt;'Données projet'!$A$36,$K$205^A28,IF(A28='Données projet'!$A$36,'Données projet'!$B$36,N27+M28-V27)))</f>
        <v>167.15666666666669</v>
      </c>
      <c r="O28" s="13">
        <f>N28*VLOOKUP('Données projet'!$B$9,Paramètres!$A$1:$I$89,3,0)*VLOOKUP('Données projet'!$B$9,Paramètres!$A$1:$I$89,5,0)</f>
        <v>99.959686666666684</v>
      </c>
      <c r="P28" s="13">
        <f t="shared" si="33"/>
        <v>26.952393227223038</v>
      </c>
      <c r="Q28" s="20">
        <f t="shared" si="2"/>
        <v>221.03853914852459</v>
      </c>
      <c r="R28" s="59">
        <f t="shared" si="0"/>
        <v>508.26076137074682</v>
      </c>
      <c r="S28" s="59">
        <f ca="1">AVERAGE(OFFSET($R$3,0,0,'Données projet'!$E$9+1,1))-AVERAGE(OFFSET($H$3,0,0,'Données projet'!$E$9+1,1))</f>
        <v>300.80663531652721</v>
      </c>
      <c r="T28" s="59">
        <f t="shared" si="34"/>
        <v>306.01967513533549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1.9814920249029906</v>
      </c>
      <c r="AA28" s="21">
        <f>EXP(-LN(2)/25)*AA27+(1-EXP(-LN(2)/25))/(LN(2)/25)*Calculateur!V28*Calculateur!X28*VLOOKUP('Données projet'!$B$9,Paramètres!$A$1:$I$89,3,0)*0.475*44/12</f>
        <v>27.15136136230236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29.132853387205351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87.927171428571441</v>
      </c>
      <c r="AK28" s="13">
        <f t="shared" si="35"/>
        <v>24.06463273936156</v>
      </c>
      <c r="AL28" s="20">
        <f t="shared" si="4"/>
        <v>195.05239225914997</v>
      </c>
      <c r="AM28" s="59">
        <f t="shared" si="5"/>
        <v>482.27461448137217</v>
      </c>
      <c r="AN28" s="59">
        <f ca="1">AVERAGE(OFFSET($AM$3,0,0,'Données projet'!$E$10+1,1))-AVERAGE(OFFSET($H$3,0,0,'Données projet'!$E$10+1,1))</f>
        <v>581.88778927327667</v>
      </c>
      <c r="AO28" s="59">
        <f t="shared" si="36"/>
        <v>269.67340993773422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18.613333333333333</v>
      </c>
      <c r="N29" s="13">
        <f>IF('Données projet'!$A$36&gt;35,N28+M29-V28,IF(A29&lt;'Données projet'!$A$36,$K$205^A29,IF(A29='Données projet'!$A$36,'Données projet'!$B$36,N28+M29-V28)))</f>
        <v>185.77000000000004</v>
      </c>
      <c r="O29" s="13">
        <f>N29*VLOOKUP('Données projet'!$B$9,Paramètres!$A$1:$I$89,3,0)*VLOOKUP('Données projet'!$B$9,Paramètres!$A$1:$I$89,5,0)</f>
        <v>111.09046000000004</v>
      </c>
      <c r="P29" s="13">
        <f t="shared" si="33"/>
        <v>29.587757766677999</v>
      </c>
      <c r="Q29" s="20">
        <f t="shared" si="2"/>
        <v>245.01456261029759</v>
      </c>
      <c r="R29" s="59">
        <f t="shared" si="0"/>
        <v>533.45900705474207</v>
      </c>
      <c r="S29" s="59">
        <f ca="1">AVERAGE(OFFSET($R$3,0,0,'Données projet'!$E$9+1,1))-AVERAGE(OFFSET($H$3,0,0,'Données projet'!$E$9+1,1))</f>
        <v>300.80663531652721</v>
      </c>
      <c r="T29" s="59">
        <f t="shared" si="34"/>
        <v>306.01967513533549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1.9426361748854397</v>
      </c>
      <c r="AA29" s="21">
        <f>EXP(-LN(2)/25)*AA28+(1-EXP(-LN(2)/25))/(LN(2)/25)*Calculateur!V29*Calculateur!X29*VLOOKUP('Données projet'!$B$9,Paramètres!$A$1:$I$89,3,0)*0.475*44/12</f>
        <v>26.408905958022164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28.351542132907603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91.444258285714298</v>
      </c>
      <c r="AK29" s="13">
        <f t="shared" si="35"/>
        <v>24.913221926074399</v>
      </c>
      <c r="AL29" s="20">
        <f t="shared" si="4"/>
        <v>202.65594470219867</v>
      </c>
      <c r="AM29" s="59">
        <f t="shared" si="5"/>
        <v>491.10038914664312</v>
      </c>
      <c r="AN29" s="59">
        <f ca="1">AVERAGE(OFFSET($AM$3,0,0,'Données projet'!$E$10+1,1))-AVERAGE(OFFSET($H$3,0,0,'Données projet'!$E$10+1,1))</f>
        <v>581.88778927327667</v>
      </c>
      <c r="AO29" s="59">
        <f t="shared" si="36"/>
        <v>269.67340993773422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18.613333333333333</v>
      </c>
      <c r="N30" s="13">
        <f>IF('Données projet'!$A$36&gt;35,N29+M30-V29,IF(A30&lt;'Données projet'!$A$36,$K$205^A30,IF(A30='Données projet'!$A$36,'Données projet'!$B$36,N29+M30-V29)))</f>
        <v>204.38333333333338</v>
      </c>
      <c r="O30" s="13">
        <f>N30*VLOOKUP('Données projet'!$B$9,Paramètres!$A$1:$I$89,3,0)*VLOOKUP('Données projet'!$B$9,Paramètres!$A$1:$I$89,5,0)</f>
        <v>122.22123333333337</v>
      </c>
      <c r="P30" s="13">
        <f t="shared" si="33"/>
        <v>32.192511187778997</v>
      </c>
      <c r="Q30" s="20">
        <f t="shared" si="2"/>
        <v>268.937271707604</v>
      </c>
      <c r="R30" s="59">
        <f t="shared" si="0"/>
        <v>558.60393837427068</v>
      </c>
      <c r="S30" s="59">
        <f ca="1">AVERAGE(OFFSET($R$3,0,0,'Données projet'!$E$9+1,1))-AVERAGE(OFFSET($H$3,0,0,'Données projet'!$E$9+1,1))</f>
        <v>300.80663531652721</v>
      </c>
      <c r="T30" s="59">
        <f t="shared" si="34"/>
        <v>306.01967513533549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1.9045422643870047</v>
      </c>
      <c r="AA30" s="21">
        <f>EXP(-LN(2)/25)*AA29+(1-EXP(-LN(2)/25))/(LN(2)/25)*Calculateur!V30*Calculateur!X30*VLOOKUP('Données projet'!$B$9,Paramètres!$A$1:$I$89,3,0)*0.475*44/12</f>
        <v>25.686753035816043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27.591295300203047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94.961345142857169</v>
      </c>
      <c r="AK30" s="13">
        <f t="shared" si="35"/>
        <v>25.758019548315733</v>
      </c>
      <c r="AL30" s="20">
        <f t="shared" si="4"/>
        <v>210.25289350379276</v>
      </c>
      <c r="AM30" s="59">
        <f t="shared" si="5"/>
        <v>499.91956017045948</v>
      </c>
      <c r="AN30" s="59">
        <f ca="1">AVERAGE(OFFSET($AM$3,0,0,'Données projet'!$E$10+1,1))-AVERAGE(OFFSET($H$3,0,0,'Données projet'!$E$10+1,1))</f>
        <v>581.88778927327667</v>
      </c>
      <c r="AO30" s="59">
        <f t="shared" si="36"/>
        <v>269.67340993773422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18.613333333333333</v>
      </c>
      <c r="N31" s="13">
        <f>IF('Données projet'!$A$36&gt;35,N30+M31-V30,IF(A31&lt;'Données projet'!$A$36,$K$205^A31,IF(A31='Données projet'!$A$36,'Données projet'!$B$36,N30+M31-V30)))</f>
        <v>222.99666666666673</v>
      </c>
      <c r="O31" s="13">
        <f>N31*VLOOKUP('Données projet'!$B$9,Paramètres!$A$1:$I$89,3,0)*VLOOKUP('Données projet'!$B$9,Paramètres!$A$1:$I$89,5,0)</f>
        <v>133.35200666666671</v>
      </c>
      <c r="P31" s="13">
        <f t="shared" si="33"/>
        <v>34.769758316414304</v>
      </c>
      <c r="Q31" s="20">
        <f t="shared" si="2"/>
        <v>292.81207401219939</v>
      </c>
      <c r="R31" s="59">
        <f t="shared" si="0"/>
        <v>583.70096290108825</v>
      </c>
      <c r="S31" s="59">
        <f ca="1">AVERAGE(OFFSET($R$3,0,0,'Données projet'!$E$9+1,1))-AVERAGE(OFFSET($H$3,0,0,'Données projet'!$E$9+1,1))</f>
        <v>300.80663531652721</v>
      </c>
      <c r="T31" s="59">
        <f t="shared" si="34"/>
        <v>306.01967513533549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1.8671953522384528</v>
      </c>
      <c r="AA31" s="21">
        <f>EXP(-LN(2)/25)*AA30+(1-EXP(-LN(2)/25))/(LN(2)/25)*Calculateur!V31*Calculateur!X31*VLOOKUP('Données projet'!$B$9,Paramètres!$A$1:$I$89,3,0)*0.475*44/12</f>
        <v>24.984347423244017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26.851542775482471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98.478432000000026</v>
      </c>
      <c r="AK31" s="13">
        <f t="shared" si="35"/>
        <v>26.599182115615513</v>
      </c>
      <c r="AL31" s="20">
        <f t="shared" si="4"/>
        <v>217.84351125136371</v>
      </c>
      <c r="AM31" s="59">
        <f t="shared" si="5"/>
        <v>508.73240014025259</v>
      </c>
      <c r="AN31" s="59">
        <f ca="1">AVERAGE(OFFSET($AM$3,0,0,'Données projet'!$E$10+1,1))-AVERAGE(OFFSET($H$3,0,0,'Données projet'!$E$10+1,1))</f>
        <v>581.88778927327667</v>
      </c>
      <c r="AO31" s="59">
        <f t="shared" si="36"/>
        <v>269.67340993773422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241.61</v>
      </c>
      <c r="L32" s="12">
        <f>VLOOKUP(A32,'Données projet'!$A$35:$I$55,9,0)</f>
        <v>18.613333333333333</v>
      </c>
      <c r="M32" s="12">
        <f t="array" ref="M32">INDEX(L:L,MIN(IF(ISNUMBER(L32:L228),ROW(L32:L228),"")))</f>
        <v>18.613333333333333</v>
      </c>
      <c r="N32" s="13">
        <f>IF('Données projet'!$A$36&gt;35,N31+M32-V31,IF(A32&lt;'Données projet'!$A$36,$K$205^A32,IF(A32='Données projet'!$A$36,'Données projet'!$B$36,N31+M32-V31)))</f>
        <v>241.61000000000007</v>
      </c>
      <c r="O32" s="13">
        <f>N32*VLOOKUP('Données projet'!$B$9,Paramètres!$A$1:$I$89,3,0)*VLOOKUP('Données projet'!$B$9,Paramètres!$A$1:$I$89,5,0)</f>
        <v>144.48278000000005</v>
      </c>
      <c r="P32" s="13">
        <f t="shared" si="33"/>
        <v>37.322056105193219</v>
      </c>
      <c r="Q32" s="20">
        <f t="shared" si="2"/>
        <v>316.6434228832116</v>
      </c>
      <c r="R32" s="59">
        <f t="shared" si="0"/>
        <v>608.75453399432274</v>
      </c>
      <c r="S32" s="59">
        <f ca="1">AVERAGE(OFFSET($R$3,0,0,'Données projet'!$E$9+1,1))-AVERAGE(OFFSET($H$3,0,0,'Données projet'!$E$9+1,1))</f>
        <v>300.80663531652721</v>
      </c>
      <c r="T32" s="59">
        <f t="shared" si="34"/>
        <v>306.01967513533549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54.64</v>
      </c>
      <c r="W32" s="16">
        <f>IF(ISNA(VLOOKUP(A32,'Données projet'!$A$35:$I$55,5,0)),0%,VLOOKUP(A32,'Données projet'!$A$35:$I$55,5,0)*VLOOKUP('Données projet'!$B$9,Paramètres!$A$1:$I$89,7,0))</f>
        <v>4.5000000000000005E-2</v>
      </c>
      <c r="X32" s="16">
        <f>IF(ISNA(VLOOKUP(A32,'Données projet'!$A$35:$I$55,6,0)),0%,VLOOKUP(A32,'Données projet'!$A$35:$I$55,6,0)*VLOOKUP('Données projet'!$B$9,Paramètres!$A$1:$I$89,7,0))</f>
        <v>0.36000000000000004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3.7811112867125427</v>
      </c>
      <c r="AA32" s="21">
        <f>EXP(-LN(2)/25)*AA31+(1-EXP(-LN(2)/25))/(LN(2)/25)*Calculateur!V32*Calculateur!X32*VLOOKUP('Données projet'!$B$9,Paramètres!$A$1:$I$89,3,0)*0.475*44/12</f>
        <v>39.843953246524457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43.625064533237001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101.99551885714288</v>
      </c>
      <c r="AK32" s="13">
        <f t="shared" si="35"/>
        <v>27.436854324518826</v>
      </c>
      <c r="AL32" s="20">
        <f t="shared" si="4"/>
        <v>225.4280499580608</v>
      </c>
      <c r="AM32" s="59">
        <f t="shared" si="5"/>
        <v>517.539161069172</v>
      </c>
      <c r="AN32" s="59">
        <f ca="1">AVERAGE(OFFSET($AM$3,0,0,'Données projet'!$E$10+1,1))-AVERAGE(OFFSET($H$3,0,0,'Données projet'!$E$10+1,1))</f>
        <v>581.88778927327667</v>
      </c>
      <c r="AO32" s="59">
        <f t="shared" si="36"/>
        <v>269.67340993773422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17.737142857142853</v>
      </c>
      <c r="N33" s="13">
        <f>IF('Données projet'!$A$36&gt;35,N32+M33-V32,IF(A33&lt;'Données projet'!$A$36,$K$205^A33,IF(A33='Données projet'!$A$36,'Données projet'!$B$36,N32+M33-V32)))</f>
        <v>204.70714285714291</v>
      </c>
      <c r="O33" s="13">
        <f>N33*VLOOKUP('Données projet'!$B$9,Paramètres!$A$1:$I$89,3,0)*VLOOKUP('Données projet'!$B$9,Paramètres!$A$1:$I$89,5,0)</f>
        <v>122.41487142857147</v>
      </c>
      <c r="P33" s="13">
        <f t="shared" si="33"/>
        <v>32.237573625209684</v>
      </c>
      <c r="Q33" s="20">
        <f t="shared" si="2"/>
        <v>269.35300846866886</v>
      </c>
      <c r="R33" s="59">
        <f t="shared" si="0"/>
        <v>562.68634180200218</v>
      </c>
      <c r="S33" s="59">
        <f ca="1">AVERAGE(OFFSET($R$3,0,0,'Données projet'!$E$9+1,1))-AVERAGE(OFFSET($H$3,0,0,'Données projet'!$E$9+1,1))</f>
        <v>300.80663531652721</v>
      </c>
      <c r="T33" s="59">
        <f t="shared" si="34"/>
        <v>306.01967513533549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3.7069660006302714</v>
      </c>
      <c r="AA33" s="21">
        <f>EXP(-LN(2)/25)*AA32+(1-EXP(-LN(2)/25))/(LN(2)/25)*Calculateur!V33*Calculateur!X33*VLOOKUP('Données projet'!$B$9,Paramètres!$A$1:$I$89,3,0)*0.475*44/12</f>
        <v>38.75441824969581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42.461384250326084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105.51260571428575</v>
      </c>
      <c r="AK33" s="13">
        <f t="shared" si="35"/>
        <v>28.271170326518615</v>
      </c>
      <c r="AL33" s="20">
        <f t="shared" si="4"/>
        <v>233.00674327106756</v>
      </c>
      <c r="AM33" s="59">
        <f t="shared" si="5"/>
        <v>526.34007660440091</v>
      </c>
      <c r="AN33" s="59">
        <f ca="1">AVERAGE(OFFSET($AM$3,0,0,'Données projet'!$E$10+1,1))-AVERAGE(OFFSET($H$3,0,0,'Données projet'!$E$10+1,1))</f>
        <v>581.88778927327667</v>
      </c>
      <c r="AO33" s="59">
        <f t="shared" si="36"/>
        <v>269.67340993773422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17.737142857142853</v>
      </c>
      <c r="N34" s="13">
        <f>IF('Données projet'!$A$36&gt;35,N33+M34-V33,IF(A34&lt;'Données projet'!$A$36,$K$205^A34,IF(A34='Données projet'!$A$36,'Données projet'!$B$36,N33+M34-V33)))</f>
        <v>222.44428571428577</v>
      </c>
      <c r="O34" s="13">
        <f>N34*VLOOKUP('Données projet'!$B$9,Paramètres!$A$1:$I$89,3,0)*VLOOKUP('Données projet'!$B$9,Paramètres!$A$1:$I$89,5,0)</f>
        <v>133.02168285714291</v>
      </c>
      <c r="P34" s="13">
        <f t="shared" si="33"/>
        <v>34.693645048951552</v>
      </c>
      <c r="Q34" s="20">
        <f t="shared" si="2"/>
        <v>292.10419610311448</v>
      </c>
      <c r="R34" s="59">
        <f t="shared" si="0"/>
        <v>585.43752943644779</v>
      </c>
      <c r="S34" s="59">
        <f ca="1">AVERAGE(OFFSET($R$3,0,0,'Données projet'!$E$9+1,1))-AVERAGE(OFFSET($H$3,0,0,'Données projet'!$E$9+1,1))</f>
        <v>300.80663531652721</v>
      </c>
      <c r="T34" s="59">
        <f t="shared" si="34"/>
        <v>306.01967513533549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3.6342746583839145</v>
      </c>
      <c r="AA34" s="21">
        <f>EXP(-LN(2)/25)*AA33+(1-EXP(-LN(2)/25))/(LN(2)/25)*Calculateur!V34*Calculateur!X34*VLOOKUP('Données projet'!$B$9,Paramètres!$A$1:$I$89,3,0)*0.475*44/12</f>
        <v>37.694676644651594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41.32895130303551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109.02969257142863</v>
      </c>
      <c r="AK34" s="13">
        <f t="shared" si="35"/>
        <v>29.102254822181546</v>
      </c>
      <c r="AL34" s="20">
        <f t="shared" si="4"/>
        <v>240.57980837720436</v>
      </c>
      <c r="AM34" s="59">
        <f t="shared" si="5"/>
        <v>533.91314171053773</v>
      </c>
      <c r="AN34" s="59">
        <f ca="1">AVERAGE(OFFSET($AM$3,0,0,'Données projet'!$E$10+1,1))-AVERAGE(OFFSET($H$3,0,0,'Données projet'!$E$10+1,1))</f>
        <v>581.88778927327667</v>
      </c>
      <c r="AO34" s="59">
        <f t="shared" si="36"/>
        <v>269.67340993773422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17.737142857142853</v>
      </c>
      <c r="N35" s="13">
        <f>IF('Données projet'!$A$36&gt;35,N34+M35-V34,IF(A35&lt;'Données projet'!$A$36,$K$205^A35,IF(A35='Données projet'!$A$36,'Données projet'!$B$36,N34+M35-V34)))</f>
        <v>240.18142857142863</v>
      </c>
      <c r="O35" s="13">
        <f>N35*VLOOKUP('Données projet'!$B$9,Paramètres!$A$1:$I$89,3,0)*VLOOKUP('Données projet'!$B$9,Paramètres!$A$1:$I$89,5,0)</f>
        <v>143.62849428571434</v>
      </c>
      <c r="P35" s="13">
        <f t="shared" si="33"/>
        <v>37.127000660847131</v>
      </c>
      <c r="Q35" s="20">
        <f t="shared" ref="Q35:Q66" si="53">(O35+P35)*0.475*44/12</f>
        <v>314.81582036526123</v>
      </c>
      <c r="R35" s="59">
        <f t="shared" si="0"/>
        <v>608.14915369859455</v>
      </c>
      <c r="S35" s="59">
        <f ca="1">AVERAGE(OFFSET($R$3,0,0,'Données projet'!$E$9+1,1))-AVERAGE(OFFSET($H$3,0,0,'Données projet'!$E$9+1,1))</f>
        <v>300.80663531652721</v>
      </c>
      <c r="T35" s="59">
        <f t="shared" si="34"/>
        <v>306.01967513533549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3.5630087490216678</v>
      </c>
      <c r="AA35" s="21">
        <f>EXP(-LN(2)/25)*AA34+(1-EXP(-LN(2)/25))/(LN(2)/25)*Calculateur!V35*Calculateur!X35*VLOOKUP('Données projet'!$B$9,Paramètres!$A$1:$I$89,3,0)*0.475*44/12</f>
        <v>36.663913729526705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40.226922478548374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112.54677942857147</v>
      </c>
      <c r="AK35" s="13">
        <f t="shared" si="35"/>
        <v>29.930224010130704</v>
      </c>
      <c r="AL35" s="20">
        <f t="shared" si="4"/>
        <v>248.14744765573963</v>
      </c>
      <c r="AM35" s="59">
        <f t="shared" si="5"/>
        <v>541.48078098907297</v>
      </c>
      <c r="AN35" s="59">
        <f ca="1">AVERAGE(OFFSET($AM$3,0,0,'Données projet'!$E$10+1,1))-AVERAGE(OFFSET($H$3,0,0,'Données projet'!$E$10+1,1))</f>
        <v>581.88778927327667</v>
      </c>
      <c r="AO35" s="59">
        <f t="shared" si="36"/>
        <v>269.67340993773422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17.737142857142853</v>
      </c>
      <c r="N36" s="13">
        <f>IF('Données projet'!$A$36&gt;35,N35+M36-V35,IF(A36&lt;'Données projet'!$A$36,$K$205^A36,IF(A36='Données projet'!$A$36,'Données projet'!$B$36,N35+M36-V35)))</f>
        <v>257.91857142857145</v>
      </c>
      <c r="O36" s="13">
        <f>N36*VLOOKUP('Données projet'!$B$9,Paramètres!$A$1:$I$89,3,0)*VLOOKUP('Données projet'!$B$9,Paramètres!$A$1:$I$89,5,0)</f>
        <v>154.23530571428574</v>
      </c>
      <c r="P36" s="13">
        <f t="shared" si="33"/>
        <v>39.539508761330566</v>
      </c>
      <c r="Q36" s="20">
        <f t="shared" si="53"/>
        <v>337.49113521169841</v>
      </c>
      <c r="R36" s="59">
        <f t="shared" si="0"/>
        <v>630.82446854503178</v>
      </c>
      <c r="S36" s="59">
        <f ca="1">AVERAGE(OFFSET($R$3,0,0,'Données projet'!$E$9+1,1))-AVERAGE(OFFSET($H$3,0,0,'Données projet'!$E$9+1,1))</f>
        <v>300.80663531652721</v>
      </c>
      <c r="T36" s="59">
        <f t="shared" si="34"/>
        <v>306.01967513533549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3.4931403206741019</v>
      </c>
      <c r="AA36" s="21">
        <f>EXP(-LN(2)/25)*AA35+(1-EXP(-LN(2)/25))/(LN(2)/25)*Calculateur!V36*Calculateur!X36*VLOOKUP('Données projet'!$B$9,Paramètres!$A$1:$I$89,3,0)*0.475*44/12</f>
        <v>35.661337080521371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39.154477401195471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116.06386628571434</v>
      </c>
      <c r="AK36" s="13">
        <f t="shared" si="35"/>
        <v>30.755186414072718</v>
      </c>
      <c r="AL36" s="20">
        <f t="shared" si="4"/>
        <v>255.70985011879577</v>
      </c>
      <c r="AM36" s="59">
        <f t="shared" si="5"/>
        <v>549.04318345212914</v>
      </c>
      <c r="AN36" s="59">
        <f ca="1">AVERAGE(OFFSET($AM$3,0,0,'Données projet'!$E$10+1,1))-AVERAGE(OFFSET($H$3,0,0,'Données projet'!$E$10+1,1))</f>
        <v>581.88778927327667</v>
      </c>
      <c r="AO36" s="59">
        <f t="shared" si="36"/>
        <v>269.67340993773422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17.737142857142853</v>
      </c>
      <c r="N37" s="13">
        <f>IF('Données projet'!$A$36&gt;35,N36+M37-V36,IF(A37&lt;'Données projet'!$A$36,$K$205^A37,IF(A37='Données projet'!$A$36,'Données projet'!$B$36,N36+M37-V36)))</f>
        <v>275.65571428571428</v>
      </c>
      <c r="O37" s="13">
        <f>N37*VLOOKUP('Données projet'!$B$9,Paramètres!$A$1:$I$89,3,0)*VLOOKUP('Données projet'!$B$9,Paramètres!$A$1:$I$89,5,0)</f>
        <v>164.84211714285715</v>
      </c>
      <c r="P37" s="13">
        <f t="shared" si="33"/>
        <v>41.932766136496305</v>
      </c>
      <c r="Q37" s="20">
        <f t="shared" si="53"/>
        <v>360.13292171154058</v>
      </c>
      <c r="R37" s="59">
        <f t="shared" si="0"/>
        <v>653.46625504487383</v>
      </c>
      <c r="S37" s="59">
        <f ca="1">AVERAGE(OFFSET($R$3,0,0,'Données projet'!$E$9+1,1))-AVERAGE(OFFSET($H$3,0,0,'Données projet'!$E$9+1,1))</f>
        <v>300.80663531652721</v>
      </c>
      <c r="T37" s="59">
        <f t="shared" si="34"/>
        <v>306.01967513533549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3.4246419695908985</v>
      </c>
      <c r="AA37" s="21">
        <f>EXP(-LN(2)/25)*AA36+(1-EXP(-LN(2)/25))/(LN(2)/25)*Calculateur!V37*Calculateur!X37*VLOOKUP('Données projet'!$B$9,Paramètres!$A$1:$I$89,3,0)*0.475*44/12</f>
        <v>34.686175942706299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38.1108179122972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119.58095314285718</v>
      </c>
      <c r="AK37" s="13">
        <f t="shared" si="35"/>
        <v>31.577243606763055</v>
      </c>
      <c r="AL37" s="20">
        <f t="shared" si="4"/>
        <v>263.26719267225525</v>
      </c>
      <c r="AM37" s="59">
        <f t="shared" si="5"/>
        <v>556.60052600558856</v>
      </c>
      <c r="AN37" s="59">
        <f ca="1">AVERAGE(OFFSET($AM$3,0,0,'Données projet'!$E$10+1,1))-AVERAGE(OFFSET($H$3,0,0,'Données projet'!$E$10+1,1))</f>
        <v>581.88778927327667</v>
      </c>
      <c r="AO37" s="59">
        <f t="shared" si="36"/>
        <v>269.67340993773422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17.737142857142853</v>
      </c>
      <c r="N38" s="13">
        <f>IF('Données projet'!$A$36&gt;35,N37+M38-V37,IF(A38&lt;'Données projet'!$A$36,$K$205^A38,IF(A38='Données projet'!$A$36,'Données projet'!$B$36,N37+M38-V37)))</f>
        <v>293.39285714285711</v>
      </c>
      <c r="O38" s="13">
        <f>N38*VLOOKUP('Données projet'!$B$9,Paramètres!$A$1:$I$89,3,0)*VLOOKUP('Données projet'!$B$9,Paramètres!$A$1:$I$89,5,0)</f>
        <v>175.44892857142858</v>
      </c>
      <c r="P38" s="13">
        <f t="shared" si="33"/>
        <v>44.308152462369684</v>
      </c>
      <c r="Q38" s="20">
        <f t="shared" si="53"/>
        <v>382.7435828005319</v>
      </c>
      <c r="R38" s="59">
        <f t="shared" si="0"/>
        <v>676.07691613386521</v>
      </c>
      <c r="S38" s="59">
        <f ca="1">AVERAGE(OFFSET($R$3,0,0,'Données projet'!$E$9+1,1))-AVERAGE(OFFSET($H$3,0,0,'Données projet'!$E$9+1,1))</f>
        <v>300.80663531652721</v>
      </c>
      <c r="T38" s="59">
        <f t="shared" si="34"/>
        <v>306.01967513533549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3.3574868293925682</v>
      </c>
      <c r="AA38" s="21">
        <f>EXP(-LN(2)/25)*AA37+(1-EXP(-LN(2)/25))/(LN(2)/25)*Calculateur!V38*Calculateur!X38*VLOOKUP('Données projet'!$B$9,Paramètres!$A$1:$I$89,3,0)*0.475*44/12</f>
        <v>33.737680637486278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37.095167466878848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123.09804000000005</v>
      </c>
      <c r="AK38" s="13">
        <f t="shared" si="35"/>
        <v>32.396490846405321</v>
      </c>
      <c r="AL38" s="20">
        <f t="shared" si="4"/>
        <v>270.81964122415599</v>
      </c>
      <c r="AM38" s="59">
        <f t="shared" si="5"/>
        <v>564.1529745574893</v>
      </c>
      <c r="AN38" s="59">
        <f ca="1">AVERAGE(OFFSET($AM$3,0,0,'Données projet'!$E$10+1,1))-AVERAGE(OFFSET($H$3,0,0,'Données projet'!$E$10+1,1))</f>
        <v>581.88778927327667</v>
      </c>
      <c r="AO38" s="59">
        <f t="shared" si="36"/>
        <v>269.67340993773422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311.13</v>
      </c>
      <c r="L39" s="12">
        <f>VLOOKUP(A39,'Données projet'!$A$35:$I$55,9,0)</f>
        <v>17.737142857142853</v>
      </c>
      <c r="M39" s="12">
        <f t="array" ref="M39">INDEX(L:L,MIN(IF(ISNUMBER(L39:L235),ROW(L39:L235),"")))</f>
        <v>17.737142857142853</v>
      </c>
      <c r="N39" s="13">
        <f>IF('Données projet'!$A$36&gt;35,N38+M39-V38,IF(A39&lt;'Données projet'!$A$36,$K$205^A39,IF(A39='Données projet'!$A$36,'Données projet'!$B$36,N38+M39-V38)))</f>
        <v>311.12999999999994</v>
      </c>
      <c r="O39" s="13">
        <f>N39*VLOOKUP('Données projet'!$B$9,Paramètres!$A$1:$I$89,3,0)*VLOOKUP('Données projet'!$B$9,Paramètres!$A$1:$I$89,5,0)</f>
        <v>186.05573999999996</v>
      </c>
      <c r="P39" s="13">
        <f t="shared" si="33"/>
        <v>46.66687117215772</v>
      </c>
      <c r="Q39" s="20">
        <f t="shared" si="53"/>
        <v>405.32521445817457</v>
      </c>
      <c r="R39" s="59">
        <f t="shared" si="0"/>
        <v>698.65854779150789</v>
      </c>
      <c r="S39" s="59">
        <f ca="1">AVERAGE(OFFSET($R$3,0,0,'Données projet'!$E$9+1,1))-AVERAGE(OFFSET($H$3,0,0,'Données projet'!$E$9+1,1))</f>
        <v>300.80663531652721</v>
      </c>
      <c r="T39" s="59">
        <f t="shared" si="34"/>
        <v>306.01967513533549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76.069999999999993</v>
      </c>
      <c r="W39" s="16">
        <f>IF(ISNA(VLOOKUP(A39,'Données projet'!$A$35:$I$55,5,0)),0%,VLOOKUP(A39,'Données projet'!$A$35:$I$55,5,0)*VLOOKUP('Données projet'!$B$9,Paramètres!$A$1:$I$89,7,0))</f>
        <v>0.13500000000000001</v>
      </c>
      <c r="X39" s="16">
        <f>IF(ISNA(VLOOKUP(A39,'Données projet'!$A$35:$I$55,6,0)),0%,VLOOKUP(A39,'Données projet'!$A$35:$I$55,6,0)*VLOOKUP('Données projet'!$B$9,Paramètres!$A$1:$I$89,7,0))</f>
        <v>0.22500000000000001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11.438254793987262</v>
      </c>
      <c r="AA39" s="21">
        <f>EXP(-LN(2)/25)*AA38+(1-EXP(-LN(2)/25))/(LN(2)/25)*Calculateur!V39*Calculateur!X39*VLOOKUP('Données projet'!$B$9,Paramètres!$A$1:$I$89,3,0)*0.475*44/12</f>
        <v>46.339338553954832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57.777593347942094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126.61512685714293</v>
      </c>
      <c r="AK39" s="13">
        <f t="shared" si="35"/>
        <v>33.213017638275041</v>
      </c>
      <c r="AL39" s="20">
        <f t="shared" si="4"/>
        <v>278.36735166285297</v>
      </c>
      <c r="AM39" s="59">
        <f t="shared" si="5"/>
        <v>571.70068499618628</v>
      </c>
      <c r="AN39" s="59">
        <f ca="1">AVERAGE(OFFSET($AM$3,0,0,'Données projet'!$E$10+1,1))-AVERAGE(OFFSET($H$3,0,0,'Données projet'!$E$10+1,1))</f>
        <v>581.88778927327667</v>
      </c>
      <c r="AO39" s="59">
        <f t="shared" si="36"/>
        <v>269.67340993773422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16.536250000000003</v>
      </c>
      <c r="N40" s="13">
        <f>IF('Données projet'!$A$36&gt;35,N39+M40-V39,IF(A40&lt;'Données projet'!$A$36,$K$205^A40,IF(A40='Données projet'!$A$36,'Données projet'!$B$36,N39+M40-V39)))</f>
        <v>251.59624999999994</v>
      </c>
      <c r="O40" s="13">
        <f>N40*VLOOKUP('Données projet'!$B$9,Paramètres!$A$1:$I$89,3,0)*VLOOKUP('Données projet'!$B$9,Paramètres!$A$1:$I$89,5,0)</f>
        <v>150.45455749999999</v>
      </c>
      <c r="P40" s="13">
        <f t="shared" si="33"/>
        <v>38.681867245543785</v>
      </c>
      <c r="Q40" s="20">
        <f t="shared" si="53"/>
        <v>329.4126064318221</v>
      </c>
      <c r="R40" s="59">
        <f t="shared" si="0"/>
        <v>622.74593976515541</v>
      </c>
      <c r="S40" s="59">
        <f ca="1">AVERAGE(OFFSET($R$3,0,0,'Données projet'!$E$9+1,1))-AVERAGE(OFFSET($H$3,0,0,'Données projet'!$E$9+1,1))</f>
        <v>300.80663531652721</v>
      </c>
      <c r="T40" s="59">
        <f t="shared" si="34"/>
        <v>306.01967513533549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11.213957594123709</v>
      </c>
      <c r="AA40" s="21">
        <f>EXP(-LN(2)/25)*AA39+(1-EXP(-LN(2)/25))/(LN(2)/25)*Calculateur!V40*Calculateur!X40*VLOOKUP('Données projet'!$B$9,Paramètres!$A$1:$I$89,3,0)*0.475*44/12</f>
        <v>45.072186904317036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56.286144498440748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130.13221371428577</v>
      </c>
      <c r="AK40" s="13">
        <f t="shared" si="35"/>
        <v>34.026908232186209</v>
      </c>
      <c r="AL40" s="20">
        <f t="shared" si="4"/>
        <v>285.91047072343866</v>
      </c>
      <c r="AM40" s="59">
        <f t="shared" si="5"/>
        <v>579.24380405677198</v>
      </c>
      <c r="AN40" s="59">
        <f ca="1">AVERAGE(OFFSET($AM$3,0,0,'Données projet'!$E$10+1,1))-AVERAGE(OFFSET($H$3,0,0,'Données projet'!$E$10+1,1))</f>
        <v>581.88778927327667</v>
      </c>
      <c r="AO40" s="59">
        <f t="shared" si="36"/>
        <v>269.67340993773422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16.536250000000003</v>
      </c>
      <c r="N41" s="13">
        <f>IF('Données projet'!$A$36&gt;35,N40+M41-V40,IF(A41&lt;'Données projet'!$A$36,$K$205^A41,IF(A41='Données projet'!$A$36,'Données projet'!$B$36,N40+M41-V40)))</f>
        <v>268.13249999999994</v>
      </c>
      <c r="O41" s="13">
        <f>N41*VLOOKUP('Données projet'!$B$9,Paramètres!$A$1:$I$89,3,0)*VLOOKUP('Données projet'!$B$9,Paramètres!$A$1:$I$89,5,0)</f>
        <v>160.34323499999996</v>
      </c>
      <c r="P41" s="13">
        <f t="shared" si="33"/>
        <v>40.919923361013716</v>
      </c>
      <c r="Q41" s="20">
        <f t="shared" si="53"/>
        <v>350.53333414543209</v>
      </c>
      <c r="R41" s="59">
        <f t="shared" si="0"/>
        <v>643.86666747876541</v>
      </c>
      <c r="S41" s="59">
        <f ca="1">AVERAGE(OFFSET($R$3,0,0,'Données projet'!$E$9+1,1))-AVERAGE(OFFSET($H$3,0,0,'Données projet'!$E$9+1,1))</f>
        <v>300.80663531652721</v>
      </c>
      <c r="T41" s="59">
        <f t="shared" si="34"/>
        <v>306.01967513533549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10.994058725541697</v>
      </c>
      <c r="AA41" s="21">
        <f>EXP(-LN(2)/25)*AA40+(1-EXP(-LN(2)/25))/(LN(2)/25)*Calculateur!V41*Calculateur!X41*VLOOKUP('Données projet'!$B$9,Paramètres!$A$1:$I$89,3,0)*0.475*44/12</f>
        <v>43.839685583175189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54.833744308716888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133.64930057142865</v>
      </c>
      <c r="AK41" s="13">
        <f t="shared" si="35"/>
        <v>34.8382420646657</v>
      </c>
      <c r="AL41" s="20">
        <f t="shared" si="4"/>
        <v>293.44913675786432</v>
      </c>
      <c r="AM41" s="59">
        <f t="shared" si="5"/>
        <v>586.78247009119764</v>
      </c>
      <c r="AN41" s="59">
        <f ca="1">AVERAGE(OFFSET($AM$3,0,0,'Données projet'!$E$10+1,1))-AVERAGE(OFFSET($H$3,0,0,'Données projet'!$E$10+1,1))</f>
        <v>581.88778927327667</v>
      </c>
      <c r="AO41" s="59">
        <f t="shared" si="36"/>
        <v>269.67340993773422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16.536250000000003</v>
      </c>
      <c r="N42" s="13">
        <f>IF('Données projet'!$A$36&gt;35,N41+M42-V41,IF(A42&lt;'Données projet'!$A$36,$K$205^A42,IF(A42='Données projet'!$A$36,'Données projet'!$B$36,N41+M42-V41)))</f>
        <v>284.66874999999993</v>
      </c>
      <c r="O42" s="13">
        <f>N42*VLOOKUP('Données projet'!$B$9,Paramètres!$A$1:$I$89,3,0)*VLOOKUP('Données projet'!$B$9,Paramètres!$A$1:$I$89,5,0)</f>
        <v>170.23191249999999</v>
      </c>
      <c r="P42" s="13">
        <f t="shared" si="33"/>
        <v>43.141960148805921</v>
      </c>
      <c r="Q42" s="20">
        <f t="shared" si="53"/>
        <v>371.62616153000363</v>
      </c>
      <c r="R42" s="59">
        <f t="shared" si="0"/>
        <v>664.95949486333689</v>
      </c>
      <c r="S42" s="59">
        <f ca="1">AVERAGE(OFFSET($R$3,0,0,'Données projet'!$E$9+1,1))-AVERAGE(OFFSET($H$3,0,0,'Données projet'!$E$9+1,1))</f>
        <v>300.80663531652721</v>
      </c>
      <c r="T42" s="59">
        <f t="shared" si="34"/>
        <v>306.01967513533549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10.778471939647513</v>
      </c>
      <c r="AA42" s="21">
        <f>EXP(-LN(2)/25)*AA41+(1-EXP(-LN(2)/25))/(LN(2)/25)*Calculateur!V42*Calculateur!X42*VLOOKUP('Données projet'!$B$9,Paramètres!$A$1:$I$89,3,0)*0.475*44/12</f>
        <v>42.640887075474396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53.419359015121913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137.16638742857151</v>
      </c>
      <c r="AK42" s="13">
        <f t="shared" si="35"/>
        <v>35.647094153273272</v>
      </c>
      <c r="AL42" s="20">
        <f t="shared" si="4"/>
        <v>300.98348042171295</v>
      </c>
      <c r="AM42" s="59">
        <f t="shared" si="5"/>
        <v>594.31681375504627</v>
      </c>
      <c r="AN42" s="59">
        <f ca="1">AVERAGE(OFFSET($AM$3,0,0,'Données projet'!$E$10+1,1))-AVERAGE(OFFSET($H$3,0,0,'Données projet'!$E$10+1,1))</f>
        <v>581.88778927327667</v>
      </c>
      <c r="AO42" s="59">
        <f t="shared" si="36"/>
        <v>269.67340993773422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16.536250000000003</v>
      </c>
      <c r="N43" s="13">
        <f>IF('Données projet'!$A$36&gt;35,N42+M43-V42,IF(A43&lt;'Données projet'!$A$36,$K$205^A43,IF(A43='Données projet'!$A$36,'Données projet'!$B$36,N42+M43-V42)))</f>
        <v>301.20499999999993</v>
      </c>
      <c r="O43" s="13">
        <f>N43*VLOOKUP('Données projet'!$B$9,Paramètres!$A$1:$I$89,3,0)*VLOOKUP('Données projet'!$B$9,Paramètres!$A$1:$I$89,5,0)</f>
        <v>180.12058999999999</v>
      </c>
      <c r="P43" s="13">
        <f t="shared" si="33"/>
        <v>45.349014174000445</v>
      </c>
      <c r="Q43" s="20">
        <f t="shared" si="53"/>
        <v>392.69289393638411</v>
      </c>
      <c r="R43" s="59">
        <f t="shared" si="0"/>
        <v>686.02622726971742</v>
      </c>
      <c r="S43" s="59">
        <f ca="1">AVERAGE(OFFSET($R$3,0,0,'Données projet'!$E$9+1,1))-AVERAGE(OFFSET($H$3,0,0,'Données projet'!$E$9+1,1))</f>
        <v>300.80663531652721</v>
      </c>
      <c r="T43" s="59">
        <f t="shared" si="34"/>
        <v>306.01967513533549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10.567112679129758</v>
      </c>
      <c r="AA43" s="21">
        <f>EXP(-LN(2)/25)*AA42+(1-EXP(-LN(2)/25))/(LN(2)/25)*Calculateur!V43*Calculateur!X43*VLOOKUP('Données projet'!$B$9,Paramètres!$A$1:$I$89,3,0)*0.475*44/12</f>
        <v>41.474869776008752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52.041982455138509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140.68347428571437</v>
      </c>
      <c r="AK43" s="13">
        <f t="shared" si="35"/>
        <v>36.453535449340755</v>
      </c>
      <c r="AL43" s="20">
        <f t="shared" si="4"/>
        <v>308.51362528855435</v>
      </c>
      <c r="AM43" s="59">
        <f t="shared" si="5"/>
        <v>601.84695862188767</v>
      </c>
      <c r="AN43" s="59">
        <f ca="1">AVERAGE(OFFSET($AM$3,0,0,'Données projet'!$E$10+1,1))-AVERAGE(OFFSET($H$3,0,0,'Données projet'!$E$10+1,1))</f>
        <v>581.88778927327667</v>
      </c>
      <c r="AO43" s="59">
        <f t="shared" si="36"/>
        <v>269.67340993773422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16.536250000000003</v>
      </c>
      <c r="N44" s="13">
        <f>IF('Données projet'!$A$36&gt;35,N43+M44-V43,IF(A44&lt;'Données projet'!$A$36,$K$205^A44,IF(A44='Données projet'!$A$36,'Données projet'!$B$36,N43+M44-V43)))</f>
        <v>317.74124999999992</v>
      </c>
      <c r="O44" s="13">
        <f>N44*VLOOKUP('Données projet'!$B$9,Paramètres!$A$1:$I$89,3,0)*VLOOKUP('Données projet'!$B$9,Paramètres!$A$1:$I$89,5,0)</f>
        <v>190.00926749999999</v>
      </c>
      <c r="P44" s="13">
        <f t="shared" si="33"/>
        <v>47.542001758079778</v>
      </c>
      <c r="Q44" s="20">
        <f t="shared" si="53"/>
        <v>413.73512729115561</v>
      </c>
      <c r="R44" s="59">
        <f t="shared" si="0"/>
        <v>707.06846062448892</v>
      </c>
      <c r="S44" s="59">
        <f ca="1">AVERAGE(OFFSET($R$3,0,0,'Données projet'!$E$9+1,1))-AVERAGE(OFFSET($H$3,0,0,'Données projet'!$E$9+1,1))</f>
        <v>300.80663531652721</v>
      </c>
      <c r="T44" s="59">
        <f t="shared" si="34"/>
        <v>306.01967513533549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10.359898044794338</v>
      </c>
      <c r="AA44" s="21">
        <f>EXP(-LN(2)/25)*AA43+(1-EXP(-LN(2)/25))/(LN(2)/25)*Calculateur!V44*Calculateur!X44*VLOOKUP('Données projet'!$B$9,Paramètres!$A$1:$I$89,3,0)*0.475*44/12</f>
        <v>40.340737280915185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50.700635325709527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144.20056114285723</v>
      </c>
      <c r="AK44" s="13">
        <f t="shared" si="35"/>
        <v>37.257633154444321</v>
      </c>
      <c r="AL44" s="20">
        <f t="shared" si="4"/>
        <v>316.03968840113345</v>
      </c>
      <c r="AM44" s="59">
        <f t="shared" si="5"/>
        <v>609.37302173446676</v>
      </c>
      <c r="AN44" s="59">
        <f ca="1">AVERAGE(OFFSET($AM$3,0,0,'Données projet'!$E$10+1,1))-AVERAGE(OFFSET($H$3,0,0,'Données projet'!$E$10+1,1))</f>
        <v>581.88778927327667</v>
      </c>
      <c r="AO44" s="59">
        <f t="shared" si="36"/>
        <v>269.67340993773422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16.536250000000003</v>
      </c>
      <c r="N45" s="13">
        <f>IF('Données projet'!$A$36&gt;35,N44+M45-V44,IF(A45&lt;'Données projet'!$A$36,$K$205^A45,IF(A45='Données projet'!$A$36,'Données projet'!$B$36,N44+M45-V44)))</f>
        <v>334.27749999999992</v>
      </c>
      <c r="O45" s="13">
        <f>N45*VLOOKUP('Données projet'!$B$9,Paramètres!$A$1:$I$89,3,0)*VLOOKUP('Données projet'!$B$9,Paramètres!$A$1:$I$89,5,0)</f>
        <v>199.89794499999996</v>
      </c>
      <c r="P45" s="13">
        <f t="shared" si="33"/>
        <v>49.721738459069584</v>
      </c>
      <c r="Q45" s="20">
        <f t="shared" si="53"/>
        <v>434.75428202454617</v>
      </c>
      <c r="R45" s="59">
        <f t="shared" si="0"/>
        <v>728.08761535787949</v>
      </c>
      <c r="S45" s="59">
        <f ca="1">AVERAGE(OFFSET($R$3,0,0,'Données projet'!$E$9+1,1))-AVERAGE(OFFSET($H$3,0,0,'Données projet'!$E$9+1,1))</f>
        <v>300.80663531652721</v>
      </c>
      <c r="T45" s="59">
        <f t="shared" si="34"/>
        <v>306.01967513533549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10.156746763049787</v>
      </c>
      <c r="AA45" s="21">
        <f>EXP(-LN(2)/25)*AA44+(1-EXP(-LN(2)/25))/(LN(2)/25)*Calculateur!V45*Calculateur!X45*VLOOKUP('Données projet'!$B$9,Paramètres!$A$1:$I$89,3,0)*0.475*44/12</f>
        <v>39.237617698541385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49.394364461591174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147.71764800000008</v>
      </c>
      <c r="AK45" s="13">
        <f t="shared" si="35"/>
        <v>38.059451005131997</v>
      </c>
      <c r="AL45" s="20">
        <f t="shared" si="4"/>
        <v>323.56178076727167</v>
      </c>
      <c r="AM45" s="59">
        <f t="shared" si="5"/>
        <v>616.89511410060504</v>
      </c>
      <c r="AN45" s="59">
        <f ca="1">AVERAGE(OFFSET($AM$3,0,0,'Données projet'!$E$10+1,1))-AVERAGE(OFFSET($H$3,0,0,'Données projet'!$E$10+1,1))</f>
        <v>581.88778927327667</v>
      </c>
      <c r="AO45" s="59">
        <f t="shared" si="36"/>
        <v>269.67340993773422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5.575369807727423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5.575369807727423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16.536250000000003</v>
      </c>
      <c r="N46" s="13">
        <f>IF('Données projet'!$A$36&gt;35,N45+M46-V45,IF(A46&lt;'Données projet'!$A$36,$K$205^A46,IF(A46='Données projet'!$A$36,'Données projet'!$B$36,N45+M46-V45)))</f>
        <v>350.81374999999991</v>
      </c>
      <c r="O46" s="13">
        <f>N46*VLOOKUP('Données projet'!$B$9,Paramètres!$A$1:$I$89,3,0)*VLOOKUP('Données projet'!$B$9,Paramètres!$A$1:$I$89,5,0)</f>
        <v>209.78662249999996</v>
      </c>
      <c r="P46" s="13">
        <f t="shared" si="33"/>
        <v>51.888954587591464</v>
      </c>
      <c r="Q46" s="20">
        <f t="shared" si="53"/>
        <v>455.75163009422175</v>
      </c>
      <c r="R46" s="59">
        <f t="shared" si="0"/>
        <v>749.08496342755507</v>
      </c>
      <c r="S46" s="59">
        <f ca="1">AVERAGE(OFFSET($R$3,0,0,'Données projet'!$E$9+1,1))-AVERAGE(OFFSET($H$3,0,0,'Données projet'!$E$9+1,1))</f>
        <v>300.80663531652721</v>
      </c>
      <c r="T46" s="59">
        <f t="shared" si="34"/>
        <v>306.01967513533549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9.957579154030201</v>
      </c>
      <c r="AA46" s="21">
        <f>EXP(-LN(2)/25)*AA45+(1-EXP(-LN(2)/25))/(LN(2)/25)*Calculateur!V46*Calculateur!X46*VLOOKUP('Données projet'!$B$9,Paramètres!$A$1:$I$89,3,0)*0.475*44/12</f>
        <v>38.164662979158138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48.122242133188337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117.10034700000008</v>
      </c>
      <c r="AK46" s="13">
        <f t="shared" si="35"/>
        <v>30.997743089027207</v>
      </c>
      <c r="AL46" s="20">
        <f t="shared" si="4"/>
        <v>257.93750690505584</v>
      </c>
      <c r="AM46" s="59">
        <f t="shared" si="5"/>
        <v>551.27084023838916</v>
      </c>
      <c r="AN46" s="59">
        <f ca="1">AVERAGE(OFFSET($AM$3,0,0,'Données projet'!$E$10+1,1))-AVERAGE(OFFSET($H$3,0,0,'Données projet'!$E$10+1,1))</f>
        <v>581.88778927327667</v>
      </c>
      <c r="AO46" s="59">
        <f t="shared" si="36"/>
        <v>269.67340993773422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5.4660402064376861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5.4660402064376861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367.35</v>
      </c>
      <c r="L47" s="12">
        <f>VLOOKUP(A47,'Données projet'!$A$35:$I$55,9,0)</f>
        <v>16.536250000000003</v>
      </c>
      <c r="M47" s="12">
        <f t="array" ref="M47">INDEX(L:L,MIN(IF(ISNUMBER(L47:L243),ROW(L47:L243),"")))</f>
        <v>16.536250000000003</v>
      </c>
      <c r="N47" s="13">
        <f>IF('Données projet'!$A$36&gt;35,N46+M47-V46,IF(A47&lt;'Données projet'!$A$36,$K$205^A47,IF(A47='Données projet'!$A$36,'Données projet'!$B$36,N46+M47-V46)))</f>
        <v>367.34999999999991</v>
      </c>
      <c r="O47" s="13">
        <f>N47*VLOOKUP('Données projet'!$B$9,Paramètres!$A$1:$I$89,3,0)*VLOOKUP('Données projet'!$B$9,Paramètres!$A$1:$I$89,5,0)</f>
        <v>219.67529999999996</v>
      </c>
      <c r="P47" s="13">
        <f t="shared" si="33"/>
        <v>54.044307714561441</v>
      </c>
      <c r="Q47" s="20">
        <f t="shared" si="53"/>
        <v>476.72831676952774</v>
      </c>
      <c r="R47" s="59">
        <f t="shared" si="0"/>
        <v>770.06165010286099</v>
      </c>
      <c r="S47" s="59">
        <f ca="1">AVERAGE(OFFSET($R$3,0,0,'Données projet'!$E$9+1,1))-AVERAGE(OFFSET($H$3,0,0,'Données projet'!$E$9+1,1))</f>
        <v>300.80663531652721</v>
      </c>
      <c r="T47" s="59">
        <f t="shared" si="34"/>
        <v>306.01967513533549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77.91</v>
      </c>
      <c r="W47" s="16">
        <f>IF(ISNA(VLOOKUP(A47,'Données projet'!$A$35:$I$55,5,0)),0%,VLOOKUP(A47,'Données projet'!$A$35:$I$55,5,0)*VLOOKUP('Données projet'!$B$9,Paramètres!$A$1:$I$89,7,0))</f>
        <v>0.13500000000000001</v>
      </c>
      <c r="X47" s="16">
        <f>IF(ISNA(VLOOKUP(A47,'Données projet'!$A$35:$I$55,6,0)),0%,VLOOKUP(A47,'Données projet'!$A$35:$I$55,6,0)*VLOOKUP('Données projet'!$B$9,Paramètres!$A$1:$I$89,7,0))</f>
        <v>0.22500000000000001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18.105975463014815</v>
      </c>
      <c r="AA47" s="21">
        <f>EXP(-LN(2)/25)*AA46+(1-EXP(-LN(2)/25))/(LN(2)/25)*Calculateur!V47*Calculateur!X47*VLOOKUP('Données projet'!$B$9,Paramètres!$A$1:$I$89,3,0)*0.475*44/12</f>
        <v>50.972391930525085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69.078367393539907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125.5794540000001</v>
      </c>
      <c r="AK47" s="13">
        <f t="shared" si="35"/>
        <v>32.97285338000448</v>
      </c>
      <c r="AL47" s="20">
        <f t="shared" si="4"/>
        <v>276.14526868684135</v>
      </c>
      <c r="AM47" s="59">
        <f t="shared" si="5"/>
        <v>569.47860202017466</v>
      </c>
      <c r="AN47" s="59">
        <f ca="1">AVERAGE(OFFSET($AM$3,0,0,'Données projet'!$E$10+1,1))-AVERAGE(OFFSET($H$3,0,0,'Données projet'!$E$10+1,1))</f>
        <v>581.88778927327667</v>
      </c>
      <c r="AO47" s="59">
        <f t="shared" si="36"/>
        <v>269.67340993773422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5.3588544919447685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5.3588544919447685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14.64374999999999</v>
      </c>
      <c r="N48" s="13">
        <f>IF('Données projet'!$A$36&gt;35,N47+M48-V47,IF(A48&lt;'Données projet'!$A$36,$K$205^A48,IF(A48='Données projet'!$A$36,'Données projet'!$B$36,N47+M48-V47)))</f>
        <v>304.0837499999999</v>
      </c>
      <c r="O48" s="13">
        <f>N48*VLOOKUP('Données projet'!$B$9,Paramètres!$A$1:$I$89,3,0)*VLOOKUP('Données projet'!$B$9,Paramètres!$A$1:$I$89,5,0)</f>
        <v>181.84208249999998</v>
      </c>
      <c r="P48" s="13">
        <f t="shared" si="33"/>
        <v>45.731772411922861</v>
      </c>
      <c r="Q48" s="20">
        <f t="shared" si="53"/>
        <v>396.35779730493226</v>
      </c>
      <c r="R48" s="59">
        <f t="shared" si="0"/>
        <v>689.69113063826558</v>
      </c>
      <c r="S48" s="59">
        <f ca="1">AVERAGE(OFFSET($R$3,0,0,'Données projet'!$E$9+1,1))-AVERAGE(OFFSET($H$3,0,0,'Données projet'!$E$9+1,1))</f>
        <v>300.80663531652721</v>
      </c>
      <c r="T48" s="59">
        <f t="shared" si="34"/>
        <v>306.01967513533549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17.750928327739665</v>
      </c>
      <c r="AA48" s="21">
        <f>EXP(-LN(2)/25)*AA47+(1-EXP(-LN(2)/25))/(LN(2)/25)*Calculateur!V48*Calculateur!X48*VLOOKUP('Données projet'!$B$9,Paramètres!$A$1:$I$89,3,0)*0.475*44/12</f>
        <v>49.578549192663282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67.329477520402946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134.05856100000008</v>
      </c>
      <c r="AK48" s="13">
        <f t="shared" si="35"/>
        <v>34.932489097291651</v>
      </c>
      <c r="AL48" s="20">
        <f t="shared" si="4"/>
        <v>294.3260789194498</v>
      </c>
      <c r="AM48" s="59">
        <f t="shared" si="5"/>
        <v>587.65941225278311</v>
      </c>
      <c r="AN48" s="59">
        <f ca="1">AVERAGE(OFFSET($AM$3,0,0,'Données projet'!$E$10+1,1))-AVERAGE(OFFSET($H$3,0,0,'Données projet'!$E$10+1,1))</f>
        <v>581.88778927327667</v>
      </c>
      <c r="AO48" s="59">
        <f t="shared" si="36"/>
        <v>269.67340993773422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5.2537706239362265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5.2537706239362265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14.64374999999999</v>
      </c>
      <c r="N49" s="13">
        <f>IF('Données projet'!$A$36&gt;35,N48+M49-V48,IF(A49&lt;'Données projet'!$A$36,$K$205^A49,IF(A49='Données projet'!$A$36,'Données projet'!$B$36,N48+M49-V48)))</f>
        <v>318.72749999999991</v>
      </c>
      <c r="O49" s="13">
        <f>N49*VLOOKUP('Données projet'!$B$9,Paramètres!$A$1:$I$89,3,0)*VLOOKUP('Données projet'!$B$9,Paramètres!$A$1:$I$89,5,0)</f>
        <v>190.59904499999996</v>
      </c>
      <c r="P49" s="13">
        <f t="shared" si="33"/>
        <v>47.672368921426973</v>
      </c>
      <c r="Q49" s="20">
        <f t="shared" si="53"/>
        <v>414.98937924648521</v>
      </c>
      <c r="R49" s="59">
        <f t="shared" si="0"/>
        <v>708.32271257981847</v>
      </c>
      <c r="S49" s="59">
        <f ca="1">AVERAGE(OFFSET($R$3,0,0,'Données projet'!$E$9+1,1))-AVERAGE(OFFSET($H$3,0,0,'Données projet'!$E$9+1,1))</f>
        <v>300.80663531652721</v>
      </c>
      <c r="T49" s="59">
        <f t="shared" si="34"/>
        <v>306.01967513533549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17.402843450229891</v>
      </c>
      <c r="AA49" s="21">
        <f>EXP(-LN(2)/25)*AA48+(1-EXP(-LN(2)/25))/(LN(2)/25)*Calculateur!V49*Calculateur!X49*VLOOKUP('Données projet'!$B$9,Paramètres!$A$1:$I$89,3,0)*0.475*44/12</f>
        <v>48.222821157767314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65.625664607997209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142.53766800000008</v>
      </c>
      <c r="AK49" s="13">
        <f t="shared" si="35"/>
        <v>36.877740410345027</v>
      </c>
      <c r="AL49" s="20">
        <f t="shared" si="4"/>
        <v>312.48183631468436</v>
      </c>
      <c r="AM49" s="59">
        <f t="shared" si="5"/>
        <v>605.81516964801767</v>
      </c>
      <c r="AN49" s="59">
        <f ca="1">AVERAGE(OFFSET($AM$3,0,0,'Données projet'!$E$10+1,1))-AVERAGE(OFFSET($H$3,0,0,'Données projet'!$E$10+1,1))</f>
        <v>581.88778927327667</v>
      </c>
      <c r="AO49" s="59">
        <f t="shared" si="36"/>
        <v>269.67340993773422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5.1507473864845013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5.1507473864845013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14.64374999999999</v>
      </c>
      <c r="N50" s="13">
        <f>IF('Données projet'!$A$36&gt;35,N49+M50-V49,IF(A50&lt;'Données projet'!$A$36,$K$205^A50,IF(A50='Données projet'!$A$36,'Données projet'!$B$36,N49+M50-V49)))</f>
        <v>333.37124999999992</v>
      </c>
      <c r="O50" s="13">
        <f>N50*VLOOKUP('Données projet'!$B$9,Paramètres!$A$1:$I$89,3,0)*VLOOKUP('Données projet'!$B$9,Paramètres!$A$1:$I$89,5,0)</f>
        <v>199.35600749999998</v>
      </c>
      <c r="P50" s="13">
        <f t="shared" si="33"/>
        <v>49.602611110771242</v>
      </c>
      <c r="Q50" s="20">
        <f t="shared" si="53"/>
        <v>433.6029274137598</v>
      </c>
      <c r="R50" s="59">
        <f t="shared" si="0"/>
        <v>726.93626074709312</v>
      </c>
      <c r="S50" s="59">
        <f ca="1">AVERAGE(OFFSET($R$3,0,0,'Données projet'!$E$9+1,1))-AVERAGE(OFFSET($H$3,0,0,'Données projet'!$E$9+1,1))</f>
        <v>300.80663531652721</v>
      </c>
      <c r="T50" s="59">
        <f t="shared" si="34"/>
        <v>306.01967513533549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17.061584304857274</v>
      </c>
      <c r="AA50" s="21">
        <f>EXP(-LN(2)/25)*AA49+(1-EXP(-LN(2)/25))/(LN(2)/25)*Calculateur!V50*Calculateur!X50*VLOOKUP('Données projet'!$B$9,Paramètres!$A$1:$I$89,3,0)*0.475*44/12</f>
        <v>46.904165577280217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63.965749882137487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151.01677500000011</v>
      </c>
      <c r="AK50" s="13">
        <f t="shared" si="35"/>
        <v>38.809560459830927</v>
      </c>
      <c r="AL50" s="20">
        <f t="shared" si="4"/>
        <v>330.61420092587235</v>
      </c>
      <c r="AM50" s="59">
        <f t="shared" si="5"/>
        <v>623.94753425920567</v>
      </c>
      <c r="AN50" s="59">
        <f ca="1">AVERAGE(OFFSET($AM$3,0,0,'Données projet'!$E$10+1,1))-AVERAGE(OFFSET($H$3,0,0,'Données projet'!$E$10+1,1))</f>
        <v>581.88778927327667</v>
      </c>
      <c r="AO50" s="59">
        <f t="shared" si="36"/>
        <v>269.67340993773422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5.0497443718812338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5.0497443718812338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14.64374999999999</v>
      </c>
      <c r="N51" s="13">
        <f>IF('Données projet'!$A$36&gt;35,N50+M51-V50,IF(A51&lt;'Données projet'!$A$36,$K$205^A51,IF(A51='Données projet'!$A$36,'Données projet'!$B$36,N50+M51-V50)))</f>
        <v>348.01499999999993</v>
      </c>
      <c r="O51" s="13">
        <f>N51*VLOOKUP('Données projet'!$B$9,Paramètres!$A$1:$I$89,3,0)*VLOOKUP('Données projet'!$B$9,Paramètres!$A$1:$I$89,5,0)</f>
        <v>208.11296999999999</v>
      </c>
      <c r="P51" s="13">
        <f t="shared" si="33"/>
        <v>51.52300578513217</v>
      </c>
      <c r="Q51" s="20">
        <f t="shared" si="53"/>
        <v>452.19932449243839</v>
      </c>
      <c r="R51" s="59">
        <f t="shared" si="0"/>
        <v>745.53265782577171</v>
      </c>
      <c r="S51" s="59">
        <f ca="1">AVERAGE(OFFSET($R$3,0,0,'Données projet'!$E$9+1,1))-AVERAGE(OFFSET($H$3,0,0,'Données projet'!$E$9+1,1))</f>
        <v>300.80663531652721</v>
      </c>
      <c r="T51" s="59">
        <f t="shared" si="34"/>
        <v>306.01967513533549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16.727017043177888</v>
      </c>
      <c r="AA51" s="21">
        <f>EXP(-LN(2)/25)*AA50+(1-EXP(-LN(2)/25))/(LN(2)/25)*Calculateur!V51*Calculateur!X51*VLOOKUP('Données projet'!$B$9,Paramètres!$A$1:$I$89,3,0)*0.475*44/12</f>
        <v>45.621568702986622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62.34858574616451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159.49588200000008</v>
      </c>
      <c r="AK51" s="13">
        <f t="shared" si="35"/>
        <v>40.728789309687656</v>
      </c>
      <c r="AL51" s="20">
        <f t="shared" si="4"/>
        <v>348.72463586437283</v>
      </c>
      <c r="AM51" s="59">
        <f t="shared" si="5"/>
        <v>642.05796919770614</v>
      </c>
      <c r="AN51" s="59">
        <f ca="1">AVERAGE(OFFSET($AM$3,0,0,'Données projet'!$E$10+1,1))-AVERAGE(OFFSET($H$3,0,0,'Données projet'!$E$10+1,1))</f>
        <v>581.88778927327667</v>
      </c>
      <c r="AO51" s="59">
        <f t="shared" si="36"/>
        <v>269.67340993773422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4.9507219647885812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4.9507219647885812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14.64374999999999</v>
      </c>
      <c r="N52" s="13">
        <f>IF('Données projet'!$A$36&gt;35,N51+M52-V51,IF(A52&lt;'Données projet'!$A$36,$K$205^A52,IF(A52='Données projet'!$A$36,'Données projet'!$B$36,N51+M52-V51)))</f>
        <v>362.65874999999994</v>
      </c>
      <c r="O52" s="13">
        <f>N52*VLOOKUP('Données projet'!$B$9,Paramètres!$A$1:$I$89,3,0)*VLOOKUP('Données projet'!$B$9,Paramètres!$A$1:$I$89,5,0)</f>
        <v>216.86993249999998</v>
      </c>
      <c r="P52" s="13">
        <f t="shared" si="33"/>
        <v>53.434014686329654</v>
      </c>
      <c r="Q52" s="20">
        <f t="shared" si="53"/>
        <v>470.77937468285745</v>
      </c>
      <c r="R52" s="59">
        <f t="shared" si="0"/>
        <v>764.11270801619071</v>
      </c>
      <c r="S52" s="59">
        <f ca="1">AVERAGE(OFFSET($R$3,0,0,'Données projet'!$E$9+1,1))-AVERAGE(OFFSET($H$3,0,0,'Données projet'!$E$9+1,1))</f>
        <v>300.80663531652721</v>
      </c>
      <c r="T52" s="59">
        <f t="shared" si="34"/>
        <v>306.01967513533549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16.399010441434154</v>
      </c>
      <c r="AA52" s="21">
        <f>EXP(-LN(2)/25)*AA51+(1-EXP(-LN(2)/25))/(LN(2)/25)*Calculateur!V52*Calculateur!X52*VLOOKUP('Données projet'!$B$9,Paramètres!$A$1:$I$89,3,0)*0.475*44/12</f>
        <v>44.374044507669424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60.773054949103582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167.97498900000011</v>
      </c>
      <c r="AK52" s="13">
        <f t="shared" si="35"/>
        <v>42.636172660412917</v>
      </c>
      <c r="AL52" s="20">
        <f t="shared" si="4"/>
        <v>366.81443989188602</v>
      </c>
      <c r="AM52" s="59">
        <f t="shared" si="5"/>
        <v>660.14777322521934</v>
      </c>
      <c r="AN52" s="59">
        <f ca="1">AVERAGE(OFFSET($AM$3,0,0,'Données projet'!$E$10+1,1))-AVERAGE(OFFSET($H$3,0,0,'Données projet'!$E$10+1,1))</f>
        <v>581.88778927327667</v>
      </c>
      <c r="AO52" s="59">
        <f t="shared" si="36"/>
        <v>269.67340993773422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4.853641326701311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4.853641326701311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14.64374999999999</v>
      </c>
      <c r="N53" s="13">
        <f>IF('Données projet'!$A$36&gt;35,N52+M53-V52,IF(A53&lt;'Données projet'!$A$36,$K$205^A53,IF(A53='Données projet'!$A$36,'Données projet'!$B$36,N52+M53-V52)))</f>
        <v>377.30249999999995</v>
      </c>
      <c r="O53" s="13">
        <f>N53*VLOOKUP('Données projet'!$B$9,Paramètres!$A$1:$I$89,3,0)*VLOOKUP('Données projet'!$B$9,Paramètres!$A$1:$I$89,5,0)</f>
        <v>225.62689499999999</v>
      </c>
      <c r="P53" s="13">
        <f t="shared" si="33"/>
        <v>55.336060156511813</v>
      </c>
      <c r="Q53" s="20">
        <f t="shared" si="53"/>
        <v>489.34381356425803</v>
      </c>
      <c r="R53" s="59">
        <f t="shared" si="0"/>
        <v>782.67714689759134</v>
      </c>
      <c r="S53" s="59">
        <f ca="1">AVERAGE(OFFSET($R$3,0,0,'Données projet'!$E$9+1,1))-AVERAGE(OFFSET($H$3,0,0,'Données projet'!$E$9+1,1))</f>
        <v>300.80663531652721</v>
      </c>
      <c r="T53" s="59">
        <f t="shared" si="34"/>
        <v>306.01967513533549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16.077435849086342</v>
      </c>
      <c r="AA53" s="21">
        <f>EXP(-LN(2)/25)*AA52+(1-EXP(-LN(2)/25))/(LN(2)/25)*Calculateur!V53*Calculateur!X53*VLOOKUP('Données projet'!$B$9,Paramètres!$A$1:$I$89,3,0)*0.475*44/12</f>
        <v>43.160633927077619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59.238069776163961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176.45409600000011</v>
      </c>
      <c r="AK53" s="13">
        <f t="shared" si="35"/>
        <v>44.532376676436577</v>
      </c>
      <c r="AL53" s="20">
        <f t="shared" si="4"/>
        <v>384.88477324479385</v>
      </c>
      <c r="AM53" s="59">
        <f t="shared" si="5"/>
        <v>678.21810657812716</v>
      </c>
      <c r="AN53" s="59">
        <f ca="1">AVERAGE(OFFSET($AM$3,0,0,'Données projet'!$E$10+1,1))-AVERAGE(OFFSET($H$3,0,0,'Données projet'!$E$10+1,1))</f>
        <v>581.88778927327667</v>
      </c>
      <c r="AO53" s="59">
        <f t="shared" si="36"/>
        <v>269.67340993773422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9.3493382006381829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9.3493382006381829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14.64374999999999</v>
      </c>
      <c r="N54" s="13">
        <f>IF('Données projet'!$A$36&gt;35,N53+M54-V53,IF(A54&lt;'Données projet'!$A$36,$K$205^A54,IF(A54='Données projet'!$A$36,'Données projet'!$B$36,N53+M54-V53)))</f>
        <v>391.94624999999996</v>
      </c>
      <c r="O54" s="13">
        <f>N54*VLOOKUP('Données projet'!$B$9,Paramètres!$A$1:$I$89,3,0)*VLOOKUP('Données projet'!$B$9,Paramètres!$A$1:$I$89,5,0)</f>
        <v>234.3838575</v>
      </c>
      <c r="P54" s="13">
        <f t="shared" si="33"/>
        <v>57.229529897835612</v>
      </c>
      <c r="Q54" s="20">
        <f t="shared" si="53"/>
        <v>507.89331638456366</v>
      </c>
      <c r="R54" s="59">
        <f t="shared" si="0"/>
        <v>801.22664971789698</v>
      </c>
      <c r="S54" s="59">
        <f ca="1">AVERAGE(OFFSET($R$3,0,0,'Données projet'!$E$9+1,1))-AVERAGE(OFFSET($H$3,0,0,'Données projet'!$E$9+1,1))</f>
        <v>300.80663531652721</v>
      </c>
      <c r="T54" s="59">
        <f t="shared" si="34"/>
        <v>306.01967513533549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15.762167138353337</v>
      </c>
      <c r="AA54" s="21">
        <f>EXP(-LN(2)/25)*AA53+(1-EXP(-LN(2)/25))/(LN(2)/25)*Calculateur!V54*Calculateur!X54*VLOOKUP('Données projet'!$B$9,Paramètres!$A$1:$I$89,3,0)*0.475*44/12</f>
        <v>41.980404122622588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57.742571260975922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152.90554500000013</v>
      </c>
      <c r="AK54" s="13">
        <f t="shared" si="35"/>
        <v>39.238142074568863</v>
      </c>
      <c r="AL54" s="20">
        <f t="shared" si="4"/>
        <v>334.65025498820768</v>
      </c>
      <c r="AM54" s="59">
        <f t="shared" si="5"/>
        <v>627.98358832154099</v>
      </c>
      <c r="AN54" s="59">
        <f ca="1">AVERAGE(OFFSET($AM$3,0,0,'Données projet'!$E$10+1,1))-AVERAGE(OFFSET($H$3,0,0,'Données projet'!$E$10+1,1))</f>
        <v>581.88778927327667</v>
      </c>
      <c r="AO54" s="59">
        <f t="shared" si="36"/>
        <v>269.67340993773422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9.1660033810568926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9.1660033810568926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406.59</v>
      </c>
      <c r="L55" s="12">
        <f>VLOOKUP(A55,'Données projet'!$A$35:$I$55,9,0)</f>
        <v>14.64374999999999</v>
      </c>
      <c r="M55" s="12">
        <f t="array" ref="M55">INDEX(L:L,MIN(IF(ISNUMBER(L55:L251),ROW(L55:L251),"")))</f>
        <v>14.64374999999999</v>
      </c>
      <c r="N55" s="13">
        <f>IF('Données projet'!$A$36&gt;35,N54+M55-V54,IF(A55&lt;'Données projet'!$A$36,$K$205^A55,IF(A55='Données projet'!$A$36,'Données projet'!$B$36,N54+M55-V54)))</f>
        <v>406.59</v>
      </c>
      <c r="O55" s="13">
        <f>N55*VLOOKUP('Données projet'!$B$9,Paramètres!$A$1:$I$89,3,0)*VLOOKUP('Données projet'!$B$9,Paramètres!$A$1:$I$89,5,0)</f>
        <v>243.14081999999999</v>
      </c>
      <c r="P55" s="13">
        <f t="shared" si="33"/>
        <v>59.114781000830845</v>
      </c>
      <c r="Q55" s="20">
        <f t="shared" si="53"/>
        <v>526.42850507644698</v>
      </c>
      <c r="R55" s="59">
        <f t="shared" si="0"/>
        <v>819.76183840978024</v>
      </c>
      <c r="S55" s="59">
        <f ca="1">AVERAGE(OFFSET($R$3,0,0,'Données projet'!$E$9+1,1))-AVERAGE(OFFSET($H$3,0,0,'Données projet'!$E$9+1,1))</f>
        <v>300.80663531652721</v>
      </c>
      <c r="T55" s="59">
        <f t="shared" si="34"/>
        <v>306.01967513533549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75.37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0.13500000000000001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34.286909070273168</v>
      </c>
      <c r="AA55" s="21">
        <f>EXP(-LN(2)/25)*AA54+(1-EXP(-LN(2)/25))/(LN(2)/25)*Calculateur!V55*Calculateur!X55*VLOOKUP('Données projet'!$B$9,Paramètres!$A$1:$I$89,3,0)*0.475*44/12</f>
        <v>48.872307388581874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83.159216458855042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161.54977800000012</v>
      </c>
      <c r="AK55" s="13">
        <f t="shared" si="35"/>
        <v>41.191875810979205</v>
      </c>
      <c r="AL55" s="20">
        <f t="shared" si="4"/>
        <v>353.10838038745561</v>
      </c>
      <c r="AM55" s="59">
        <f t="shared" si="5"/>
        <v>646.44171372078893</v>
      </c>
      <c r="AN55" s="59">
        <f ca="1">AVERAGE(OFFSET($AM$3,0,0,'Données projet'!$E$10+1,1))-AVERAGE(OFFSET($H$3,0,0,'Données projet'!$E$10+1,1))</f>
        <v>581.88778927327667</v>
      </c>
      <c r="AO55" s="59">
        <f t="shared" si="36"/>
        <v>269.67340993773422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8.9862636454643923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8.9862636454643923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13.14</v>
      </c>
      <c r="N56" s="13">
        <f>IF('Données projet'!$A$36&gt;35,N55+M56-V55,IF(A56&lt;'Données projet'!$A$36,$K$205^A56,IF(A56='Données projet'!$A$36,'Données projet'!$B$36,N55+M56-V55)))</f>
        <v>344.35999999999996</v>
      </c>
      <c r="O56" s="13">
        <f>N56*VLOOKUP('Données projet'!$B$9,Paramètres!$A$1:$I$89,3,0)*VLOOKUP('Données projet'!$B$9,Paramètres!$A$1:$I$89,5,0)</f>
        <v>205.92728</v>
      </c>
      <c r="P56" s="13">
        <f t="shared" si="33"/>
        <v>51.04458202864172</v>
      </c>
      <c r="Q56" s="20">
        <f t="shared" si="53"/>
        <v>447.55932636655098</v>
      </c>
      <c r="R56" s="59">
        <f t="shared" si="0"/>
        <v>740.89265969988423</v>
      </c>
      <c r="S56" s="59">
        <f ca="1">AVERAGE(OFFSET($R$3,0,0,'Données projet'!$E$9+1,1))-AVERAGE(OFFSET($H$3,0,0,'Données projet'!$E$9+1,1))</f>
        <v>300.80663531652721</v>
      </c>
      <c r="T56" s="59">
        <f t="shared" si="34"/>
        <v>306.01967513533549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33.614563696354665</v>
      </c>
      <c r="AA56" s="21">
        <f>EXP(-LN(2)/25)*AA55+(1-EXP(-LN(2)/25))/(LN(2)/25)*Calculateur!V56*Calculateur!X56*VLOOKUP('Données projet'!$B$9,Paramètres!$A$1:$I$89,3,0)*0.475*44/12</f>
        <v>47.535891572958157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81.150455269312829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170.19401100000013</v>
      </c>
      <c r="AK56" s="13">
        <f t="shared" si="35"/>
        <v>43.133472710542861</v>
      </c>
      <c r="AL56" s="20">
        <f t="shared" si="4"/>
        <v>371.54536746252899</v>
      </c>
      <c r="AM56" s="59">
        <f t="shared" si="5"/>
        <v>664.8787007958623</v>
      </c>
      <c r="AN56" s="59">
        <f ca="1">AVERAGE(OFFSET($AM$3,0,0,'Données projet'!$E$10+1,1))-AVERAGE(OFFSET($H$3,0,0,'Données projet'!$E$10+1,1))</f>
        <v>581.88778927327667</v>
      </c>
      <c r="AO56" s="59">
        <f t="shared" si="36"/>
        <v>269.67340993773422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8.8100484964564476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8.8100484964564476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13.14</v>
      </c>
      <c r="N57" s="13">
        <f>IF('Données projet'!$A$36&gt;35,N56+M57-V56,IF(A57&lt;'Données projet'!$A$36,$K$205^A57,IF(A57='Données projet'!$A$36,'Données projet'!$B$36,N56+M57-V56)))</f>
        <v>357.49999999999994</v>
      </c>
      <c r="O57" s="13">
        <f>N57*VLOOKUP('Données projet'!$B$9,Paramètres!$A$1:$I$89,3,0)*VLOOKUP('Données projet'!$B$9,Paramètres!$A$1:$I$89,5,0)</f>
        <v>213.785</v>
      </c>
      <c r="P57" s="13">
        <f t="shared" si="33"/>
        <v>52.761841557402377</v>
      </c>
      <c r="Q57" s="20">
        <f t="shared" si="53"/>
        <v>464.23574904580914</v>
      </c>
      <c r="R57" s="59">
        <f t="shared" si="0"/>
        <v>757.5690823791424</v>
      </c>
      <c r="S57" s="59">
        <f ca="1">AVERAGE(OFFSET($R$3,0,0,'Données projet'!$E$9+1,1))-AVERAGE(OFFSET($H$3,0,0,'Données projet'!$E$9+1,1))</f>
        <v>300.80663531652721</v>
      </c>
      <c r="T57" s="59">
        <f t="shared" si="34"/>
        <v>306.01967513533549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32.955402605128512</v>
      </c>
      <c r="AA57" s="21">
        <f>EXP(-LN(2)/25)*AA56+(1-EXP(-LN(2)/25))/(LN(2)/25)*Calculateur!V57*Calculateur!X57*VLOOKUP('Données projet'!$B$9,Paramètres!$A$1:$I$89,3,0)*0.475*44/12</f>
        <v>46.236020118091723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79.191422723220228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178.83824400000015</v>
      </c>
      <c r="AK57" s="13">
        <f t="shared" si="35"/>
        <v>45.06361953668285</v>
      </c>
      <c r="AL57" s="20">
        <f t="shared" si="4"/>
        <v>389.96241232638954</v>
      </c>
      <c r="AM57" s="59">
        <f t="shared" si="5"/>
        <v>683.2957456597228</v>
      </c>
      <c r="AN57" s="59">
        <f ca="1">AVERAGE(OFFSET($AM$3,0,0,'Données projet'!$E$10+1,1))-AVERAGE(OFFSET($H$3,0,0,'Données projet'!$E$10+1,1))</f>
        <v>581.88778927327667</v>
      </c>
      <c r="AO57" s="59">
        <f t="shared" si="36"/>
        <v>269.67340993773422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8.6372888190399202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8.6372888190399202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13.14</v>
      </c>
      <c r="N58" s="13">
        <f>IF('Données projet'!$A$36&gt;35,N57+M58-V57,IF(A58&lt;'Données projet'!$A$36,$K$205^A58,IF(A58='Données projet'!$A$36,'Données projet'!$B$36,N57+M58-V57)))</f>
        <v>370.63999999999993</v>
      </c>
      <c r="O58" s="13">
        <f>N58*VLOOKUP('Données projet'!$B$9,Paramètres!$A$1:$I$89,3,0)*VLOOKUP('Données projet'!$B$9,Paramètres!$A$1:$I$89,5,0)</f>
        <v>221.64272</v>
      </c>
      <c r="P58" s="13">
        <f t="shared" si="33"/>
        <v>54.471768066609272</v>
      </c>
      <c r="Q58" s="20">
        <f t="shared" si="53"/>
        <v>480.89940004934442</v>
      </c>
      <c r="R58" s="59">
        <f t="shared" si="0"/>
        <v>774.23273338267768</v>
      </c>
      <c r="S58" s="59">
        <f ca="1">AVERAGE(OFFSET($R$3,0,0,'Données projet'!$E$9+1,1))-AVERAGE(OFFSET($H$3,0,0,'Données projet'!$E$9+1,1))</f>
        <v>300.80663531652721</v>
      </c>
      <c r="T58" s="59">
        <f t="shared" si="34"/>
        <v>306.01967513533549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32.309167260852739</v>
      </c>
      <c r="AA58" s="21">
        <f>EXP(-LN(2)/25)*AA57+(1-EXP(-LN(2)/25))/(LN(2)/25)*Calculateur!V58*Calculateur!X58*VLOOKUP('Données projet'!$B$9,Paramètres!$A$1:$I$89,3,0)*0.475*44/12</f>
        <v>44.97169371651588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77.280860977368619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187.48247700000016</v>
      </c>
      <c r="AK58" s="13">
        <f t="shared" si="35"/>
        <v>46.982932911694917</v>
      </c>
      <c r="AL58" s="20">
        <f t="shared" si="4"/>
        <v>408.3605889295356</v>
      </c>
      <c r="AM58" s="59">
        <f t="shared" si="5"/>
        <v>701.69392226286891</v>
      </c>
      <c r="AN58" s="59">
        <f ca="1">AVERAGE(OFFSET($AM$3,0,0,'Données projet'!$E$10+1,1))-AVERAGE(OFFSET($H$3,0,0,'Données projet'!$E$10+1,1))</f>
        <v>581.88778927327667</v>
      </c>
      <c r="AO58" s="59">
        <f t="shared" si="36"/>
        <v>269.67340993773422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8.4679168535245335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8.4679168535245335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13.14</v>
      </c>
      <c r="N59" s="13">
        <f>IF('Données projet'!$A$36&gt;35,N58+M59-V58,IF(A59&lt;'Données projet'!$A$36,$K$205^A59,IF(A59='Données projet'!$A$36,'Données projet'!$B$36,N58+M59-V58)))</f>
        <v>383.77999999999992</v>
      </c>
      <c r="O59" s="13">
        <f>N59*VLOOKUP('Données projet'!$B$9,Paramètres!$A$1:$I$89,3,0)*VLOOKUP('Données projet'!$B$9,Paramètres!$A$1:$I$89,5,0)</f>
        <v>229.50043999999997</v>
      </c>
      <c r="P59" s="13">
        <f t="shared" si="33"/>
        <v>56.174651313961498</v>
      </c>
      <c r="Q59" s="20">
        <f t="shared" si="53"/>
        <v>497.55078403848285</v>
      </c>
      <c r="R59" s="59">
        <f t="shared" si="0"/>
        <v>790.88411737181616</v>
      </c>
      <c r="S59" s="59">
        <f ca="1">AVERAGE(OFFSET($R$3,0,0,'Données projet'!$E$9+1,1))-AVERAGE(OFFSET($H$3,0,0,'Données projet'!$E$9+1,1))</f>
        <v>300.80663531652721</v>
      </c>
      <c r="T59" s="59">
        <f t="shared" si="34"/>
        <v>306.01967513533549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31.675604197513575</v>
      </c>
      <c r="AA59" s="21">
        <f>EXP(-LN(2)/25)*AA58+(1-EXP(-LN(2)/25))/(LN(2)/25)*Calculateur!V59*Calculateur!X59*VLOOKUP('Données projet'!$B$9,Paramètres!$A$1:$I$89,3,0)*0.475*44/12</f>
        <v>43.741940386879165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75.417544584392743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196.12671000000017</v>
      </c>
      <c r="AK59" s="13">
        <f t="shared" si="35"/>
        <v>48.891969383051702</v>
      </c>
      <c r="AL59" s="20">
        <f t="shared" si="4"/>
        <v>426.74086659214868</v>
      </c>
      <c r="AM59" s="59">
        <f t="shared" si="5"/>
        <v>720.07419992548193</v>
      </c>
      <c r="AN59" s="59">
        <f ca="1">AVERAGE(OFFSET($AM$3,0,0,'Données projet'!$E$10+1,1))-AVERAGE(OFFSET($H$3,0,0,'Données projet'!$E$10+1,1))</f>
        <v>581.88778927327667</v>
      </c>
      <c r="AO59" s="59">
        <f t="shared" si="36"/>
        <v>269.67340993773422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8.301866168946205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8.301866168946205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13.14</v>
      </c>
      <c r="N60" s="13">
        <f>IF('Données projet'!$A$36&gt;35,N59+M60-V59,IF(A60&lt;'Données projet'!$A$36,$K$205^A60,IF(A60='Données projet'!$A$36,'Données projet'!$B$36,N59+M60-V59)))</f>
        <v>396.9199999999999</v>
      </c>
      <c r="O60" s="13">
        <f>N60*VLOOKUP('Données projet'!$B$9,Paramètres!$A$1:$I$89,3,0)*VLOOKUP('Données projet'!$B$9,Paramètres!$A$1:$I$89,5,0)</f>
        <v>237.35815999999997</v>
      </c>
      <c r="P60" s="13">
        <f t="shared" si="33"/>
        <v>57.870760090028412</v>
      </c>
      <c r="Q60" s="20">
        <f t="shared" si="53"/>
        <v>514.19036915679942</v>
      </c>
      <c r="R60" s="59">
        <f t="shared" si="0"/>
        <v>807.52370249013279</v>
      </c>
      <c r="S60" s="59">
        <f ca="1">AVERAGE(OFFSET($R$3,0,0,'Données projet'!$E$9+1,1))-AVERAGE(OFFSET($H$3,0,0,'Données projet'!$E$9+1,1))</f>
        <v>300.80663531652721</v>
      </c>
      <c r="T60" s="59">
        <f t="shared" si="34"/>
        <v>306.01967513533549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31.054464919411181</v>
      </c>
      <c r="AA60" s="21">
        <f>EXP(-LN(2)/25)*AA59+(1-EXP(-LN(2)/25))/(LN(2)/25)*Calculateur!V60*Calculateur!X60*VLOOKUP('Données projet'!$B$9,Paramètres!$A$1:$I$89,3,0)*0.475*44/12</f>
        <v>42.545814726711285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73.600279646122459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204.77094300000016</v>
      </c>
      <c r="AK60" s="13">
        <f t="shared" si="35"/>
        <v>50.791233664926693</v>
      </c>
      <c r="AL60" s="20">
        <f t="shared" si="4"/>
        <v>445.10412435808092</v>
      </c>
      <c r="AM60" s="59">
        <f t="shared" si="5"/>
        <v>738.43745769141424</v>
      </c>
      <c r="AN60" s="59">
        <f ca="1">AVERAGE(OFFSET($AM$3,0,0,'Données projet'!$E$10+1,1))-AVERAGE(OFFSET($H$3,0,0,'Données projet'!$E$10+1,1))</f>
        <v>581.88778927327667</v>
      </c>
      <c r="AO60" s="59">
        <f t="shared" si="36"/>
        <v>269.67340993773422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8.1390716370115399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8.1390716370115399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13.14</v>
      </c>
      <c r="N61" s="13">
        <f>IF('Données projet'!$A$36&gt;35,N60+M61-V60,IF(A61&lt;'Données projet'!$A$36,$K$205^A61,IF(A61='Données projet'!$A$36,'Données projet'!$B$36,N60+M61-V60)))</f>
        <v>410.05999999999989</v>
      </c>
      <c r="O61" s="13">
        <f>N61*VLOOKUP('Données projet'!$B$9,Paramètres!$A$1:$I$89,3,0)*VLOOKUP('Données projet'!$B$9,Paramètres!$A$1:$I$89,5,0)</f>
        <v>245.21587999999994</v>
      </c>
      <c r="P61" s="13">
        <f t="shared" si="33"/>
        <v>59.560344378839609</v>
      </c>
      <c r="Q61" s="20">
        <f t="shared" si="53"/>
        <v>530.81859079314563</v>
      </c>
      <c r="R61" s="59">
        <f t="shared" si="0"/>
        <v>824.15192412647889</v>
      </c>
      <c r="S61" s="59">
        <f ca="1">AVERAGE(OFFSET($R$3,0,0,'Données projet'!$E$9+1,1))-AVERAGE(OFFSET($H$3,0,0,'Données projet'!$E$9+1,1))</f>
        <v>300.80663531652721</v>
      </c>
      <c r="T61" s="59">
        <f t="shared" si="34"/>
        <v>306.01967513533549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30.445505803694825</v>
      </c>
      <c r="AA61" s="21">
        <f>EXP(-LN(2)/25)*AA60+(1-EXP(-LN(2)/25))/(LN(2)/25)*Calculateur!V61*Calculateur!X61*VLOOKUP('Données projet'!$B$9,Paramètres!$A$1:$I$89,3,0)*0.475*44/12</f>
        <v>41.38239718562221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71.827902989317039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213.41517600000017</v>
      </c>
      <c r="AK61" s="13">
        <f t="shared" si="35"/>
        <v>52.681185448853228</v>
      </c>
      <c r="AL61" s="20">
        <f t="shared" si="4"/>
        <v>463.45116285675294</v>
      </c>
      <c r="AM61" s="59">
        <f t="shared" si="5"/>
        <v>756.7844961900862</v>
      </c>
      <c r="AN61" s="59">
        <f ca="1">AVERAGE(OFFSET($AM$3,0,0,'Données projet'!$E$10+1,1))-AVERAGE(OFFSET($H$3,0,0,'Données projet'!$E$10+1,1))</f>
        <v>581.88778927327667</v>
      </c>
      <c r="AO61" s="59">
        <f t="shared" si="36"/>
        <v>269.67340993773422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13.776770157795863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13.776770157795863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13.14</v>
      </c>
      <c r="N62" s="13">
        <f>IF('Données projet'!$A$36&gt;35,N61+M62-V61,IF(A62&lt;'Données projet'!$A$36,$K$205^A62,IF(A62='Données projet'!$A$36,'Données projet'!$B$36,N61+M62-V61)))</f>
        <v>423.19999999999987</v>
      </c>
      <c r="O62" s="13">
        <f>N62*VLOOKUP('Données projet'!$B$9,Paramètres!$A$1:$I$89,3,0)*VLOOKUP('Données projet'!$B$9,Paramètres!$A$1:$I$89,5,0)</f>
        <v>253.07359999999994</v>
      </c>
      <c r="P62" s="13">
        <f t="shared" si="33"/>
        <v>61.243637233758619</v>
      </c>
      <c r="Q62" s="20">
        <f t="shared" si="53"/>
        <v>547.43585484879611</v>
      </c>
      <c r="R62" s="59">
        <f t="shared" si="0"/>
        <v>840.76918818212948</v>
      </c>
      <c r="S62" s="59">
        <f ca="1">AVERAGE(OFFSET($R$3,0,0,'Données projet'!$E$9+1,1))-AVERAGE(OFFSET($H$3,0,0,'Données projet'!$E$9+1,1))</f>
        <v>300.80663531652721</v>
      </c>
      <c r="T62" s="59">
        <f t="shared" si="34"/>
        <v>306.01967513533549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29.848488004809283</v>
      </c>
      <c r="AA62" s="21">
        <f>EXP(-LN(2)/25)*AA61+(1-EXP(-LN(2)/25))/(LN(2)/25)*Calculateur!V62*Calculateur!X62*VLOOKUP('Données projet'!$B$9,Paramètres!$A$1:$I$89,3,0)*0.475*44/12</f>
        <v>40.250793358375681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70.099281363184957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181.13417400000017</v>
      </c>
      <c r="AK62" s="13">
        <f t="shared" si="35"/>
        <v>45.574426667354729</v>
      </c>
      <c r="AL62" s="20">
        <f t="shared" si="4"/>
        <v>394.85081282897653</v>
      </c>
      <c r="AM62" s="59">
        <f t="shared" si="5"/>
        <v>688.18414616230984</v>
      </c>
      <c r="AN62" s="59">
        <f ca="1">AVERAGE(OFFSET($AM$3,0,0,'Données projet'!$E$10+1,1))-AVERAGE(OFFSET($H$3,0,0,'Données projet'!$E$10+1,1))</f>
        <v>581.88778927327667</v>
      </c>
      <c r="AO62" s="59">
        <f t="shared" si="36"/>
        <v>269.67340993773422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13.506616098001555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13.506616098001555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436.34</v>
      </c>
      <c r="L63" s="12">
        <f>VLOOKUP(A63,'Données projet'!$A$35:$I$55,9,0)</f>
        <v>13.14</v>
      </c>
      <c r="M63" s="12">
        <f t="array" ref="M63">INDEX(L:L,MIN(IF(ISNUMBER(L63:L259),ROW(L63:L259),"")))</f>
        <v>13.14</v>
      </c>
      <c r="N63" s="13">
        <f>IF('Données projet'!$A$36&gt;35,N62+M63-V62,IF(A63&lt;'Données projet'!$A$36,$K$205^A63,IF(A63='Données projet'!$A$36,'Données projet'!$B$36,N62+M63-V62)))</f>
        <v>436.33999999999986</v>
      </c>
      <c r="O63" s="13">
        <f>N63*VLOOKUP('Données projet'!$B$9,Paramètres!$A$1:$I$89,3,0)*VLOOKUP('Données projet'!$B$9,Paramètres!$A$1:$I$89,5,0)</f>
        <v>260.93131999999991</v>
      </c>
      <c r="P63" s="13">
        <f t="shared" si="33"/>
        <v>62.92085641383472</v>
      </c>
      <c r="Q63" s="20">
        <f t="shared" si="53"/>
        <v>564.04254058742856</v>
      </c>
      <c r="R63" s="59">
        <f t="shared" si="0"/>
        <v>857.37587392076193</v>
      </c>
      <c r="S63" s="59">
        <f ca="1">AVERAGE(OFFSET($R$3,0,0,'Données projet'!$E$9+1,1))-AVERAGE(OFFSET($H$3,0,0,'Données projet'!$E$9+1,1))</f>
        <v>300.80663531652721</v>
      </c>
      <c r="T63" s="59">
        <f t="shared" si="34"/>
        <v>306.01967513533549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436.34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138.2979749040349</v>
      </c>
      <c r="AA63" s="21">
        <f>EXP(-LN(2)/25)*AA62+(1-EXP(-LN(2)/25))/(LN(2)/25)*Calculateur!V63*Calculateur!X63*VLOOKUP('Données projet'!$B$9,Paramètres!$A$1:$I$89,3,0)*0.475*44/12</f>
        <v>85.695341582912519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223.99331648694744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189.50583600000016</v>
      </c>
      <c r="AK63" s="13">
        <f t="shared" si="35"/>
        <v>47.430683653447495</v>
      </c>
      <c r="AL63" s="20">
        <f t="shared" si="4"/>
        <v>412.6644383964213</v>
      </c>
      <c r="AM63" s="59">
        <f t="shared" si="5"/>
        <v>705.99777172975462</v>
      </c>
      <c r="AN63" s="59">
        <f ca="1">AVERAGE(OFFSET($AM$3,0,0,'Données projet'!$E$10+1,1))-AVERAGE(OFFSET($H$3,0,0,'Données projet'!$E$10+1,1))</f>
        <v>581.88778927327667</v>
      </c>
      <c r="AO63" s="59">
        <f t="shared" si="36"/>
        <v>269.67340993773422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13.241759594542106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13.241759594542106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300.80663531652721</v>
      </c>
      <c r="T64" s="59">
        <f t="shared" si="34"/>
        <v>306.01967513533549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135.58603596960225</v>
      </c>
      <c r="AA64" s="21">
        <f>EXP(-LN(2)/25)*AA63+(1-EXP(-LN(2)/25))/(LN(2)/25)*Calculateur!V64*Calculateur!X64*VLOOKUP('Données projet'!$B$9,Paramètres!$A$1:$I$89,3,0)*0.475*44/12</f>
        <v>83.351997960805619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218.93803393040787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197.87749800000014</v>
      </c>
      <c r="AK64" s="13">
        <f t="shared" si="35"/>
        <v>49.277416774103372</v>
      </c>
      <c r="AL64" s="20">
        <f t="shared" si="4"/>
        <v>430.46147656489694</v>
      </c>
      <c r="AM64" s="59">
        <f t="shared" si="5"/>
        <v>723.79480989823026</v>
      </c>
      <c r="AN64" s="59">
        <f ca="1">AVERAGE(OFFSET($AM$3,0,0,'Données projet'!$E$10+1,1))-AVERAGE(OFFSET($H$3,0,0,'Données projet'!$E$10+1,1))</f>
        <v>581.88778927327667</v>
      </c>
      <c r="AO64" s="59">
        <f t="shared" si="36"/>
        <v>269.67340993773422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12.982096765568983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12.982096765568983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300.80663531652721</v>
      </c>
      <c r="T65" s="59">
        <f t="shared" si="34"/>
        <v>306.01967513533549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132.92727650355442</v>
      </c>
      <c r="AA65" s="21">
        <f>EXP(-LN(2)/25)*AA64+(1-EXP(-LN(2)/25))/(LN(2)/25)*Calculateur!V65*Calculateur!X65*VLOOKUP('Données projet'!$B$9,Paramètres!$A$1:$I$89,3,0)*0.475*44/12</f>
        <v>81.072733193276321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214.00000969683074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206.24916000000016</v>
      </c>
      <c r="AK65" s="13">
        <f t="shared" si="35"/>
        <v>51.115075026737237</v>
      </c>
      <c r="AL65" s="20">
        <f t="shared" si="4"/>
        <v>448.24270933823431</v>
      </c>
      <c r="AM65" s="59">
        <f t="shared" si="5"/>
        <v>741.57604267156762</v>
      </c>
      <c r="AN65" s="59">
        <f ca="1">AVERAGE(OFFSET($AM$3,0,0,'Données projet'!$E$10+1,1))-AVERAGE(OFFSET($H$3,0,0,'Données projet'!$E$10+1,1))</f>
        <v>581.88778927327667</v>
      </c>
      <c r="AO65" s="59">
        <f t="shared" si="36"/>
        <v>269.67340993773422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12.727525766293335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12.727525766293335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300.80663531652721</v>
      </c>
      <c r="T66" s="59">
        <f t="shared" si="34"/>
        <v>306.01967513533549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130.32065368895263</v>
      </c>
      <c r="AA66" s="21">
        <f>EXP(-LN(2)/25)*AA65+(1-EXP(-LN(2)/25))/(LN(2)/25)*Calculateur!V66*Calculateur!X66*VLOOKUP('Données projet'!$B$9,Paramètres!$A$1:$I$89,3,0)*0.475*44/12</f>
        <v>78.855795040676441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209.17644872962907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214.62082200000015</v>
      </c>
      <c r="AK66" s="13">
        <f t="shared" si="35"/>
        <v>52.944068896315315</v>
      </c>
      <c r="AL66" s="20">
        <f t="shared" si="4"/>
        <v>466.0088516444161</v>
      </c>
      <c r="AM66" s="59">
        <f t="shared" si="5"/>
        <v>759.34218497774941</v>
      </c>
      <c r="AN66" s="59">
        <f ca="1">AVERAGE(OFFSET($AM$3,0,0,'Données projet'!$E$10+1,1))-AVERAGE(OFFSET($H$3,0,0,'Données projet'!$E$10+1,1))</f>
        <v>581.88778927327667</v>
      </c>
      <c r="AO66" s="59">
        <f t="shared" si="36"/>
        <v>269.67340993773422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12.477946749040505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12.477946749040505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300.80663531652721</v>
      </c>
      <c r="T67" s="59">
        <f t="shared" si="34"/>
        <v>306.01967513533549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127.76514515786226</v>
      </c>
      <c r="AA67" s="21">
        <f>EXP(-LN(2)/25)*AA66+(1-EXP(-LN(2)/25))/(LN(2)/25)*Calculateur!V67*Calculateur!X67*VLOOKUP('Données projet'!$B$9,Paramètres!$A$1:$I$89,3,0)*0.475*44/12</f>
        <v>76.699479178443113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204.46462433630538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222.99248400000016</v>
      </c>
      <c r="AK67" s="13">
        <f t="shared" si="35"/>
        <v>54.764775031234961</v>
      </c>
      <c r="AL67" s="20">
        <f t="shared" si="4"/>
        <v>483.76055947940108</v>
      </c>
      <c r="AM67" s="59">
        <f t="shared" si="5"/>
        <v>777.09389281273434</v>
      </c>
      <c r="AN67" s="59">
        <f ca="1">AVERAGE(OFFSET($AM$3,0,0,'Données projet'!$E$10+1,1))-AVERAGE(OFFSET($H$3,0,0,'Données projet'!$E$10+1,1))</f>
        <v>581.88778927327667</v>
      </c>
      <c r="AO67" s="59">
        <f t="shared" si="36"/>
        <v>269.67340993773422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12.233261824087835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12.233261824087835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300.80663531652721</v>
      </c>
      <c r="T68" s="59">
        <f t="shared" si="34"/>
        <v>306.01967513533549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125.25974859036027</v>
      </c>
      <c r="AA68" s="21">
        <f>EXP(-LN(2)/25)*AA67+(1-EXP(-LN(2)/25))/(LN(2)/25)*Calculateur!V68*Calculateur!X68*VLOOKUP('Données projet'!$B$9,Paramètres!$A$1:$I$89,3,0)*0.475*44/12</f>
        <v>74.60212788685827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199.86187647721854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231.36414600000015</v>
      </c>
      <c r="AK68" s="13">
        <f t="shared" si="35"/>
        <v>56.57754019728695</v>
      </c>
      <c r="AL68" s="20">
        <f t="shared" ref="AL68:AL131" si="58">(AJ68+AK68)*0.475*44/12</f>
        <v>501.49843679360833</v>
      </c>
      <c r="AM68" s="59">
        <f t="shared" ref="AM68:AM131" si="59">AL68+(AD68+AE68)*44/12</f>
        <v>794.83177012694159</v>
      </c>
      <c r="AN68" s="59">
        <f ca="1">AVERAGE(OFFSET($AM$3,0,0,'Données projet'!$E$10+1,1))-AVERAGE(OFFSET($H$3,0,0,'Données projet'!$E$10+1,1))</f>
        <v>581.88778927327667</v>
      </c>
      <c r="AO68" s="59">
        <f t="shared" si="36"/>
        <v>269.67340993773422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11.993375021270419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11.993375021270419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300.80663531652721</v>
      </c>
      <c r="T69" s="59">
        <f t="shared" ref="T69:T132" si="88">$T$3</f>
        <v>306.01967513533549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122.80348132140598</v>
      </c>
      <c r="AA69" s="21">
        <f>EXP(-LN(2)/25)*AA68+(1-EXP(-LN(2)/25))/(LN(2)/25)*Calculateur!V69*Calculateur!X69*VLOOKUP('Données projet'!$B$9,Paramètres!$A$1:$I$89,3,0)*0.475*44/12</f>
        <v>72.562128776636726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195.36561009804271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239.73580800000011</v>
      </c>
      <c r="AK69" s="13">
        <f t="shared" ref="AK69:AK132" si="89">EXP(-1.0587+0.8836*LN(AJ69)+0.284)</f>
        <v>58.38268464325516</v>
      </c>
      <c r="AL69" s="20">
        <f t="shared" si="58"/>
        <v>519.22304135366949</v>
      </c>
      <c r="AM69" s="59">
        <f t="shared" si="59"/>
        <v>812.55637468700274</v>
      </c>
      <c r="AN69" s="59">
        <f ca="1">AVERAGE(OFFSET($AM$3,0,0,'Données projet'!$E$10+1,1))-AVERAGE(OFFSET($H$3,0,0,'Données projet'!$E$10+1,1))</f>
        <v>581.88778927327667</v>
      </c>
      <c r="AO69" s="59">
        <f t="shared" ref="AO69:AO132" si="90">$AO$3</f>
        <v>269.67340993773422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24.637928753319876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24.637928753319876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300.80663531652721</v>
      </c>
      <c r="T70" s="59">
        <f t="shared" si="88"/>
        <v>306.01967513533549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120.39537995542079</v>
      </c>
      <c r="AA70" s="21">
        <f>EXP(-LN(2)/25)*AA69+(1-EXP(-LN(2)/25))/(LN(2)/25)*Calculateur!V70*Calculateur!X70*VLOOKUP('Données projet'!$B$9,Paramètres!$A$1:$I$89,3,0)*0.475*44/12</f>
        <v>70.577913549363089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190.9732935047839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202.59942300000012</v>
      </c>
      <c r="AK70" s="13">
        <f t="shared" si="89"/>
        <v>50.315012169520465</v>
      </c>
      <c r="AL70" s="20">
        <f t="shared" si="58"/>
        <v>440.49264125358167</v>
      </c>
      <c r="AM70" s="59">
        <f t="shared" si="59"/>
        <v>733.82597458691498</v>
      </c>
      <c r="AN70" s="59">
        <f ca="1">AVERAGE(OFFSET($AM$3,0,0,'Données projet'!$E$10+1,1))-AVERAGE(OFFSET($H$3,0,0,'Données projet'!$E$10+1,1))</f>
        <v>581.88778927327667</v>
      </c>
      <c r="AO70" s="59">
        <f t="shared" si="90"/>
        <v>269.67340993773422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24.154793998119956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24.154793998119956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300.80663531652721</v>
      </c>
      <c r="T71" s="59">
        <f t="shared" si="88"/>
        <v>306.01967513533549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118.03449998842576</v>
      </c>
      <c r="AA71" s="21">
        <f>EXP(-LN(2)/25)*AA70+(1-EXP(-LN(2)/25))/(LN(2)/25)*Calculateur!V71*Calculateur!X71*VLOOKUP('Données projet'!$B$9,Paramètres!$A$1:$I$89,3,0)*0.475*44/12</f>
        <v>68.647956791824583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186.68245678025033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210.62160600000013</v>
      </c>
      <c r="AK71" s="13">
        <f t="shared" si="89"/>
        <v>52.071398873356536</v>
      </c>
      <c r="AL71" s="20">
        <f t="shared" si="58"/>
        <v>457.5236501544295</v>
      </c>
      <c r="AM71" s="59">
        <f t="shared" si="59"/>
        <v>750.85698348776282</v>
      </c>
      <c r="AN71" s="59">
        <f ca="1">AVERAGE(OFFSET($AM$3,0,0,'Données projet'!$E$10+1,1))-AVERAGE(OFFSET($H$3,0,0,'Données projet'!$E$10+1,1))</f>
        <v>581.88778927327667</v>
      </c>
      <c r="AO71" s="59">
        <f t="shared" si="90"/>
        <v>269.67340993773422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23.681133220786403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23.681133220786403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300.80663531652721</v>
      </c>
      <c r="T72" s="59">
        <f t="shared" si="88"/>
        <v>306.01967513533549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115.71991543758892</v>
      </c>
      <c r="AA72" s="21">
        <f>EXP(-LN(2)/25)*AA71+(1-EXP(-LN(2)/25))/(LN(2)/25)*Calculateur!V72*Calculateur!X72*VLOOKUP('Données projet'!$B$9,Paramètres!$A$1:$I$89,3,0)*0.475*44/12</f>
        <v>66.770774803312989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182.49069024090193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218.64378900000014</v>
      </c>
      <c r="AK72" s="13">
        <f t="shared" si="89"/>
        <v>53.820013961218514</v>
      </c>
      <c r="AL72" s="20">
        <f t="shared" si="58"/>
        <v>474.54112349078923</v>
      </c>
      <c r="AM72" s="59">
        <f t="shared" si="59"/>
        <v>767.87445682412249</v>
      </c>
      <c r="AN72" s="59">
        <f ca="1">AVERAGE(OFFSET($AM$3,0,0,'Données projet'!$E$10+1,1))-AVERAGE(OFFSET($H$3,0,0,'Données projet'!$E$10+1,1))</f>
        <v>581.88778927327667</v>
      </c>
      <c r="AO72" s="59">
        <f t="shared" si="90"/>
        <v>269.67340993773422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23.216760642391815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23.216760642391815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300.80663531652721</v>
      </c>
      <c r="T73" s="59">
        <f t="shared" si="88"/>
        <v>306.01967513533549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113.4507184780368</v>
      </c>
      <c r="AA73" s="21">
        <f>EXP(-LN(2)/25)*AA72+(1-EXP(-LN(2)/25))/(LN(2)/25)*Calculateur!V73*Calculateur!X73*VLOOKUP('Données projet'!$B$9,Paramètres!$A$1:$I$89,3,0)*0.475*44/12</f>
        <v>64.944924454993952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178.39564293303076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226.66597200000012</v>
      </c>
      <c r="AK73" s="13">
        <f t="shared" si="89"/>
        <v>55.561175235972904</v>
      </c>
      <c r="AL73" s="20">
        <f t="shared" si="58"/>
        <v>491.54561476931968</v>
      </c>
      <c r="AM73" s="59">
        <f t="shared" si="59"/>
        <v>784.878948102653</v>
      </c>
      <c r="AN73" s="59">
        <f ca="1">AVERAGE(OFFSET($AM$3,0,0,'Données projet'!$E$10+1,1))-AVERAGE(OFFSET($H$3,0,0,'Données projet'!$E$10+1,1))</f>
        <v>581.88778927327667</v>
      </c>
      <c r="AO73" s="59">
        <f t="shared" si="90"/>
        <v>269.67340993773422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22.761494127020239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22.761494127020239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300.80663531652721</v>
      </c>
      <c r="T74" s="59">
        <f t="shared" si="88"/>
        <v>306.01967513533549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111.22601908678803</v>
      </c>
      <c r="AA74" s="21">
        <f>EXP(-LN(2)/25)*AA73+(1-EXP(-LN(2)/25))/(LN(2)/25)*Calculateur!V74*Calculateur!X74*VLOOKUP('Données projet'!$B$9,Paramètres!$A$1:$I$89,3,0)*0.475*44/12</f>
        <v>63.169002080466996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174.39502116725504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234.68815500000011</v>
      </c>
      <c r="AK74" s="13">
        <f t="shared" si="89"/>
        <v>57.295176729679312</v>
      </c>
      <c r="AL74" s="20">
        <f t="shared" si="58"/>
        <v>508.53763609585832</v>
      </c>
      <c r="AM74" s="59">
        <f t="shared" si="59"/>
        <v>801.87096942919163</v>
      </c>
      <c r="AN74" s="59">
        <f ca="1">AVERAGE(OFFSET($AM$3,0,0,'Données projet'!$E$10+1,1))-AVERAGE(OFFSET($H$3,0,0,'Données projet'!$E$10+1,1))</f>
        <v>581.88778927327667</v>
      </c>
      <c r="AO74" s="59">
        <f t="shared" si="90"/>
        <v>269.67340993773422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22.315155110329943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22.315155110329943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300.80663531652721</v>
      </c>
      <c r="T75" s="59">
        <f t="shared" si="88"/>
        <v>306.01967513533549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109.044944693669</v>
      </c>
      <c r="AA75" s="21">
        <f>EXP(-LN(2)/25)*AA74+(1-EXP(-LN(2)/25))/(LN(2)/25)*Calculateur!V75*Calculateur!X75*VLOOKUP('Données projet'!$B$9,Paramètres!$A$1:$I$89,3,0)*0.475*44/12</f>
        <v>61.441642396663184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170.48658709033219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242.71033800000009</v>
      </c>
      <c r="AK75" s="13">
        <f t="shared" si="89"/>
        <v>59.022291232778812</v>
      </c>
      <c r="AL75" s="20">
        <f t="shared" si="58"/>
        <v>525.51766258042323</v>
      </c>
      <c r="AM75" s="59">
        <f t="shared" si="59"/>
        <v>818.85099591375661</v>
      </c>
      <c r="AN75" s="59">
        <f ca="1">AVERAGE(OFFSET($AM$3,0,0,'Données projet'!$E$10+1,1))-AVERAGE(OFFSET($H$3,0,0,'Données projet'!$E$10+1,1))</f>
        <v>581.88778927327667</v>
      </c>
      <c r="AO75" s="59">
        <f t="shared" si="90"/>
        <v>269.67340993773422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21.877568529517024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21.877568529517024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300.80663531652721</v>
      </c>
      <c r="T76" s="59">
        <f t="shared" si="88"/>
        <v>306.01967513533549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106.90663983907501</v>
      </c>
      <c r="AA76" s="21">
        <f>EXP(-LN(2)/25)*AA75+(1-EXP(-LN(2)/25))/(LN(2)/25)*Calculateur!V76*Calculateur!X76*VLOOKUP('Données projet'!$B$9,Paramètres!$A$1:$I$89,3,0)*0.475*44/12</f>
        <v>59.761517454250885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166.66815729332589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250.73252100000005</v>
      </c>
      <c r="AK76" s="13">
        <f t="shared" si="89"/>
        <v>60.74277247950485</v>
      </c>
      <c r="AL76" s="20">
        <f t="shared" si="58"/>
        <v>542.48613614347107</v>
      </c>
      <c r="AM76" s="59">
        <f t="shared" si="59"/>
        <v>835.81946947680444</v>
      </c>
      <c r="AN76" s="59">
        <f ca="1">AVERAGE(OFFSET($AM$3,0,0,'Données projet'!$E$10+1,1))-AVERAGE(OFFSET($H$3,0,0,'Données projet'!$E$10+1,1))</f>
        <v>581.88778927327667</v>
      </c>
      <c r="AO76" s="59">
        <f t="shared" si="90"/>
        <v>269.67340993773422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21.448562754652389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21.448562754652389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300.80663531652721</v>
      </c>
      <c r="T77" s="59">
        <f t="shared" si="88"/>
        <v>306.01967513533549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104.81026583844243</v>
      </c>
      <c r="AA77" s="21">
        <f>EXP(-LN(2)/25)*AA76+(1-EXP(-LN(2)/25))/(LN(2)/25)*Calculateur!V77*Calculateur!X77*VLOOKUP('Données projet'!$B$9,Paramètres!$A$1:$I$89,3,0)*0.475*44/12</f>
        <v>58.127335616742776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162.93760145518522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258.75470400000006</v>
      </c>
      <c r="AK77" s="13">
        <f t="shared" si="89"/>
        <v>62.456857045748947</v>
      </c>
      <c r="AL77" s="20">
        <f t="shared" si="58"/>
        <v>559.4434688213463</v>
      </c>
      <c r="AM77" s="59">
        <f t="shared" si="59"/>
        <v>852.77680215467967</v>
      </c>
      <c r="AN77" s="59">
        <f ca="1">AVERAGE(OFFSET($AM$3,0,0,'Données projet'!$E$10+1,1))-AVERAGE(OFFSET($H$3,0,0,'Données projet'!$E$10+1,1))</f>
        <v>581.88778927327667</v>
      </c>
      <c r="AO77" s="59">
        <f t="shared" si="90"/>
        <v>269.67340993773422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33.259977338364926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33.259977338364926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300.80663531652721</v>
      </c>
      <c r="T78" s="59">
        <f t="shared" si="88"/>
        <v>306.01967513533549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102.75500045330038</v>
      </c>
      <c r="AA78" s="21">
        <f>EXP(-LN(2)/25)*AA77+(1-EXP(-LN(2)/25))/(LN(2)/25)*Calculateur!V78*Calculateur!X78*VLOOKUP('Données projet'!$B$9,Paramètres!$A$1:$I$89,3,0)*0.475*44/12</f>
        <v>56.537840567519218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159.29284102081959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223.71813360000007</v>
      </c>
      <c r="AK78" s="13">
        <f t="shared" si="89"/>
        <v>54.92221376571495</v>
      </c>
      <c r="AL78" s="20">
        <f t="shared" si="58"/>
        <v>485.29860499528695</v>
      </c>
      <c r="AM78" s="59">
        <f t="shared" si="59"/>
        <v>778.63193832862021</v>
      </c>
      <c r="AN78" s="59">
        <f ca="1">AVERAGE(OFFSET($AM$3,0,0,'Données projet'!$E$10+1,1))-AVERAGE(OFFSET($H$3,0,0,'Données projet'!$E$10+1,1))</f>
        <v>581.88778927327667</v>
      </c>
      <c r="AO78" s="59">
        <f t="shared" si="90"/>
        <v>269.67340993773422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32.607769469342635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32.607769469342635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300.80663531652721</v>
      </c>
      <c r="T79" s="59">
        <f t="shared" si="88"/>
        <v>306.01967513533549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100.74003756877286</v>
      </c>
      <c r="AA79" s="21">
        <f>EXP(-LN(2)/25)*AA78+(1-EXP(-LN(2)/25))/(LN(2)/25)*Calculateur!V79*Calculateur!X79*VLOOKUP('Données projet'!$B$9,Paramètres!$A$1:$I$89,3,0)*0.475*44/12</f>
        <v>54.991810344004591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155.73184791277745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231.56908320000005</v>
      </c>
      <c r="AK79" s="13">
        <f t="shared" si="89"/>
        <v>56.621819638037671</v>
      </c>
      <c r="AL79" s="20">
        <f t="shared" si="58"/>
        <v>501.93248910958238</v>
      </c>
      <c r="AM79" s="59">
        <f t="shared" si="59"/>
        <v>795.26582244291569</v>
      </c>
      <c r="AN79" s="59">
        <f ca="1">AVERAGE(OFFSET($AM$3,0,0,'Données projet'!$E$10+1,1))-AVERAGE(OFFSET($H$3,0,0,'Données projet'!$E$10+1,1))</f>
        <v>581.88778927327667</v>
      </c>
      <c r="AO79" s="59">
        <f t="shared" si="90"/>
        <v>269.67340993773422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31.968350998824349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31.968350998824349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300.80663531652721</v>
      </c>
      <c r="T80" s="59">
        <f t="shared" si="88"/>
        <v>306.01967513533549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98.764586877404923</v>
      </c>
      <c r="AA80" s="21">
        <f>EXP(-LN(2)/25)*AA79+(1-EXP(-LN(2)/25))/(LN(2)/25)*Calculateur!V80*Calculateur!X80*VLOOKUP('Données projet'!$B$9,Paramètres!$A$1:$I$89,3,0)*0.475*44/12</f>
        <v>53.488056398254166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152.2526432756591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239.42003280000009</v>
      </c>
      <c r="AK80" s="13">
        <f t="shared" si="89"/>
        <v>58.314730148380967</v>
      </c>
      <c r="AL80" s="20">
        <f t="shared" si="58"/>
        <v>518.55471213509702</v>
      </c>
      <c r="AM80" s="59">
        <f t="shared" si="59"/>
        <v>811.88804546843039</v>
      </c>
      <c r="AN80" s="59">
        <f ca="1">AVERAGE(OFFSET($AM$3,0,0,'Données projet'!$E$10+1,1))-AVERAGE(OFFSET($H$3,0,0,'Données projet'!$E$10+1,1))</f>
        <v>581.88778927327667</v>
      </c>
      <c r="AO80" s="59">
        <f t="shared" si="90"/>
        <v>269.67340993773422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31.341471134506168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31.341471134506168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300.80663531652721</v>
      </c>
      <c r="T81" s="59">
        <f t="shared" si="88"/>
        <v>306.01967513533549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96.827873569188753</v>
      </c>
      <c r="AA81" s="21">
        <f>EXP(-LN(2)/25)*AA80+(1-EXP(-LN(2)/25))/(LN(2)/25)*Calculateur!V81*Calculateur!X81*VLOOKUP('Données projet'!$B$9,Paramètres!$A$1:$I$89,3,0)*0.475*44/12</f>
        <v>52.025422683229266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148.85329625241803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247.27098240000012</v>
      </c>
      <c r="AK81" s="13">
        <f t="shared" si="89"/>
        <v>60.001190025553029</v>
      </c>
      <c r="AL81" s="20">
        <f t="shared" si="58"/>
        <v>535.16570030783839</v>
      </c>
      <c r="AM81" s="59">
        <f t="shared" si="59"/>
        <v>828.49903364117176</v>
      </c>
      <c r="AN81" s="59">
        <f ca="1">AVERAGE(OFFSET($AM$3,0,0,'Données projet'!$E$10+1,1))-AVERAGE(OFFSET($H$3,0,0,'Données projet'!$E$10+1,1))</f>
        <v>581.88778927327667</v>
      </c>
      <c r="AO81" s="59">
        <f t="shared" si="90"/>
        <v>269.67340993773422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30.726884001968305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30.726884001968305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300.80663531652721</v>
      </c>
      <c r="T82" s="59">
        <f t="shared" si="88"/>
        <v>306.01967513533549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94.92913802766823</v>
      </c>
      <c r="AA82" s="21">
        <f>EXP(-LN(2)/25)*AA81+(1-EXP(-LN(2)/25))/(LN(2)/25)*Calculateur!V82*Calculateur!X82*VLOOKUP('Données projet'!$B$9,Paramètres!$A$1:$I$89,3,0)*0.475*44/12</f>
        <v>50.602784764058292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145.53192279172652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255.1219320000001</v>
      </c>
      <c r="AK82" s="13">
        <f t="shared" si="89"/>
        <v>61.681427575411924</v>
      </c>
      <c r="AL82" s="20">
        <f t="shared" si="58"/>
        <v>551.76585126050918</v>
      </c>
      <c r="AM82" s="59">
        <f t="shared" si="59"/>
        <v>845.09918459384244</v>
      </c>
      <c r="AN82" s="59">
        <f ca="1">AVERAGE(OFFSET($AM$3,0,0,'Données projet'!$E$10+1,1))-AVERAGE(OFFSET($H$3,0,0,'Données projet'!$E$10+1,1))</f>
        <v>581.88778927327667</v>
      </c>
      <c r="AO82" s="59">
        <f t="shared" si="90"/>
        <v>269.67340993773422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30.124348548238373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30.124348548238373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300.80663531652721</v>
      </c>
      <c r="T83" s="59">
        <f t="shared" si="88"/>
        <v>306.01967513533549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93.067635532002598</v>
      </c>
      <c r="AA83" s="21">
        <f>EXP(-LN(2)/25)*AA82+(1-EXP(-LN(2)/25))/(LN(2)/25)*Calculateur!V83*Calculateur!X83*VLOOKUP('Données projet'!$B$9,Paramètres!$A$1:$I$89,3,0)*0.475*44/12</f>
        <v>49.219048953600321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142.2866844856029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262.97288160000016</v>
      </c>
      <c r="AK83" s="13">
        <f t="shared" si="89"/>
        <v>63.355656254051972</v>
      </c>
      <c r="AL83" s="20">
        <f t="shared" si="58"/>
        <v>568.35553676247412</v>
      </c>
      <c r="AM83" s="59">
        <f t="shared" si="59"/>
        <v>861.68887009580749</v>
      </c>
      <c r="AN83" s="59">
        <f ca="1">AVERAGE(OFFSET($AM$3,0,0,'Données projet'!$E$10+1,1))-AVERAGE(OFFSET($H$3,0,0,'Données projet'!$E$10+1,1))</f>
        <v>581.88778927327667</v>
      </c>
      <c r="AO83" s="59">
        <f t="shared" si="90"/>
        <v>269.67340993773422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29.533628447245746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29.533628447245746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300.80663531652721</v>
      </c>
      <c r="T84" s="59">
        <f t="shared" si="88"/>
        <v>306.01967513533549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91.242635964872562</v>
      </c>
      <c r="AA84" s="21">
        <f>EXP(-LN(2)/25)*AA83+(1-EXP(-LN(2)/25))/(LN(2)/25)*Calculateur!V84*Calculateur!X84*VLOOKUP('Données projet'!$B$9,Paramètres!$A$1:$I$89,3,0)*0.475*44/12</f>
        <v>47.873151471646828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139.11578743651938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270.8238312000002</v>
      </c>
      <c r="AK84" s="13">
        <f t="shared" si="89"/>
        <v>65.024076047844915</v>
      </c>
      <c r="AL84" s="20">
        <f t="shared" si="58"/>
        <v>584.93510512333023</v>
      </c>
      <c r="AM84" s="59">
        <f t="shared" si="59"/>
        <v>878.26843845666349</v>
      </c>
      <c r="AN84" s="59">
        <f ca="1">AVERAGE(OFFSET($AM$3,0,0,'Données projet'!$E$10+1,1))-AVERAGE(OFFSET($H$3,0,0,'Données projet'!$E$10+1,1))</f>
        <v>581.88778927327667</v>
      </c>
      <c r="AO84" s="59">
        <f t="shared" si="90"/>
        <v>269.67340993773422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28.9544920071299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28.9544920071299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300.80663531652721</v>
      </c>
      <c r="T85" s="59">
        <f t="shared" si="88"/>
        <v>306.01967513533549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89.453423526114122</v>
      </c>
      <c r="AA85" s="21">
        <f>EXP(-LN(2)/25)*AA84+(1-EXP(-LN(2)/25))/(LN(2)/25)*Calculateur!V85*Calculateur!X85*VLOOKUP('Données projet'!$B$9,Paramètres!$A$1:$I$89,3,0)*0.475*44/12</f>
        <v>46.564057627115027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136.01748115322914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278.67478080000018</v>
      </c>
      <c r="AK85" s="13">
        <f t="shared" si="89"/>
        <v>66.686874688958113</v>
      </c>
      <c r="AL85" s="20">
        <f t="shared" si="58"/>
        <v>601.50488330993562</v>
      </c>
      <c r="AM85" s="59">
        <f t="shared" si="59"/>
        <v>894.83821664326888</v>
      </c>
      <c r="AN85" s="59">
        <f ca="1">AVERAGE(OFFSET($AM$3,0,0,'Données projet'!$E$10+1,1))-AVERAGE(OFFSET($H$3,0,0,'Données projet'!$E$10+1,1))</f>
        <v>581.88778927327667</v>
      </c>
      <c r="AO85" s="59">
        <f t="shared" si="90"/>
        <v>269.67340993773422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28.386712079366379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28.386712079366379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300.80663531652721</v>
      </c>
      <c r="T86" s="59">
        <f t="shared" si="88"/>
        <v>306.01967513533549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87.699296451967911</v>
      </c>
      <c r="AA86" s="21">
        <f>EXP(-LN(2)/25)*AA85+(1-EXP(-LN(2)/25))/(LN(2)/25)*Calculateur!V86*Calculateur!X86*VLOOKUP('Données projet'!$B$9,Paramètres!$A$1:$I$89,3,0)*0.475*44/12</f>
        <v>45.290761022604201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132.9900574745721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286.52573040000021</v>
      </c>
      <c r="AK86" s="13">
        <f t="shared" si="89"/>
        <v>68.344228730046424</v>
      </c>
      <c r="AL86" s="20">
        <f t="shared" si="58"/>
        <v>618.06517881816455</v>
      </c>
      <c r="AM86" s="59">
        <f t="shared" si="59"/>
        <v>911.39851215149793</v>
      </c>
      <c r="AN86" s="59">
        <f ca="1">AVERAGE(OFFSET($AM$3,0,0,'Données projet'!$E$10+1,1))-AVERAGE(OFFSET($H$3,0,0,'Données projet'!$E$10+1,1))</f>
        <v>581.88778927327667</v>
      </c>
      <c r="AO86" s="59">
        <f t="shared" si="90"/>
        <v>269.67340993773422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27.830065969674738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27.830065969674738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300.80663531652721</v>
      </c>
      <c r="T87" s="59">
        <f t="shared" si="88"/>
        <v>306.01967513533549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85.979566739833828</v>
      </c>
      <c r="AA87" s="21">
        <f>EXP(-LN(2)/25)*AA86+(1-EXP(-LN(2)/25))/(LN(2)/25)*Calculateur!V87*Calculateur!X87*VLOOKUP('Données projet'!$B$9,Paramètres!$A$1:$I$89,3,0)*0.475*44/12</f>
        <v>44.052282780703479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130.03184952053732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294.37668000000025</v>
      </c>
      <c r="AK87" s="13">
        <f t="shared" si="89"/>
        <v>69.99630449784344</v>
      </c>
      <c r="AL87" s="20">
        <f t="shared" si="58"/>
        <v>634.61628133374438</v>
      </c>
      <c r="AM87" s="59">
        <f t="shared" si="59"/>
        <v>927.94961466707764</v>
      </c>
      <c r="AN87" s="59">
        <f ca="1">AVERAGE(OFFSET($AM$3,0,0,'Données projet'!$E$10+1,1))-AVERAGE(OFFSET($H$3,0,0,'Données projet'!$E$10+1,1))</f>
        <v>581.88778927327667</v>
      </c>
      <c r="AO87" s="59">
        <f t="shared" si="90"/>
        <v>269.67340993773422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43.147236627276406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43.147236627276406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300.80663531652721</v>
      </c>
      <c r="T88" s="59">
        <f t="shared" si="88"/>
        <v>306.01967513533549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84.293559878423139</v>
      </c>
      <c r="AA88" s="21">
        <f>EXP(-LN(2)/25)*AA87+(1-EXP(-LN(2)/25))/(LN(2)/25)*Calculateur!V88*Calculateur!X88*VLOOKUP('Données projet'!$B$9,Paramètres!$A$1:$I$89,3,0)*0.475*44/12</f>
        <v>42.847670791456274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127.14123066987941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246.26032080000024</v>
      </c>
      <c r="AK88" s="13">
        <f t="shared" si="89"/>
        <v>59.784443753506842</v>
      </c>
      <c r="AL88" s="20">
        <f t="shared" si="58"/>
        <v>533.02796493069138</v>
      </c>
      <c r="AM88" s="59">
        <f t="shared" si="59"/>
        <v>826.36129826402475</v>
      </c>
      <c r="AN88" s="59">
        <f ca="1">AVERAGE(OFFSET($AM$3,0,0,'Données projet'!$E$10+1,1))-AVERAGE(OFFSET($H$3,0,0,'Données projet'!$E$10+1,1))</f>
        <v>581.88778927327667</v>
      </c>
      <c r="AO88" s="59">
        <f t="shared" si="90"/>
        <v>269.67340993773422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42.301145634231247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42.301145634231247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300.80663531652721</v>
      </c>
      <c r="T89" s="59">
        <f t="shared" si="88"/>
        <v>306.01967513533549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82.64061458320208</v>
      </c>
      <c r="AA89" s="21">
        <f>EXP(-LN(2)/25)*AA88+(1-EXP(-LN(2)/25))/(LN(2)/25)*Calculateur!V89*Calculateur!X89*VLOOKUP('Données projet'!$B$9,Paramètres!$A$1:$I$89,3,0)*0.475*44/12</f>
        <v>41.675998980402824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124.3166135636049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253.76201760000023</v>
      </c>
      <c r="AK89" s="13">
        <f t="shared" si="89"/>
        <v>61.390818695638195</v>
      </c>
      <c r="AL89" s="20">
        <f t="shared" si="58"/>
        <v>548.89118988157031</v>
      </c>
      <c r="AM89" s="59">
        <f t="shared" si="59"/>
        <v>842.22452321490368</v>
      </c>
      <c r="AN89" s="59">
        <f ca="1">AVERAGE(OFFSET($AM$3,0,0,'Données projet'!$E$10+1,1))-AVERAGE(OFFSET($H$3,0,0,'Données projet'!$E$10+1,1))</f>
        <v>581.88778927327667</v>
      </c>
      <c r="AO89" s="59">
        <f t="shared" si="90"/>
        <v>269.67340993773422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41.471645969495157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41.471645969495157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300.80663531652721</v>
      </c>
      <c r="T90" s="59">
        <f t="shared" si="88"/>
        <v>306.01967513533549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81.020082537023228</v>
      </c>
      <c r="AA90" s="21">
        <f>EXP(-LN(2)/25)*AA89+(1-EXP(-LN(2)/25))/(LN(2)/25)*Calculateur!V90*Calculateur!X90*VLOOKUP('Données projet'!$B$9,Paramètres!$A$1:$I$89,3,0)*0.475*44/12</f>
        <v>40.536366596638175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121.5564491336614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261.26371440000025</v>
      </c>
      <c r="AK90" s="13">
        <f t="shared" si="89"/>
        <v>62.991674736313257</v>
      </c>
      <c r="AL90" s="20">
        <f t="shared" si="58"/>
        <v>564.74480274574603</v>
      </c>
      <c r="AM90" s="59">
        <f t="shared" si="59"/>
        <v>858.07813607907929</v>
      </c>
      <c r="AN90" s="59">
        <f ca="1">AVERAGE(OFFSET($AM$3,0,0,'Données projet'!$E$10+1,1))-AVERAGE(OFFSET($H$3,0,0,'Données projet'!$E$10+1,1))</f>
        <v>581.88778927327667</v>
      </c>
      <c r="AO90" s="59">
        <f t="shared" si="90"/>
        <v>269.67340993773422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40.658412287239706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40.658412287239706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300.80663531652721</v>
      </c>
      <c r="T91" s="59">
        <f t="shared" si="88"/>
        <v>306.01967513533549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79.431328135842989</v>
      </c>
      <c r="AA91" s="21">
        <f>EXP(-LN(2)/25)*AA90+(1-EXP(-LN(2)/25))/(LN(2)/25)*Calculateur!V91*Calculateur!X91*VLOOKUP('Données projet'!$B$9,Paramètres!$A$1:$I$89,3,0)*0.475*44/12</f>
        <v>39.427897520338234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118.85922565618122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268.76541120000024</v>
      </c>
      <c r="AK91" s="13">
        <f t="shared" si="89"/>
        <v>64.587188539623412</v>
      </c>
      <c r="AL91" s="20">
        <f t="shared" si="58"/>
        <v>580.58911121317794</v>
      </c>
      <c r="AM91" s="59">
        <f t="shared" si="59"/>
        <v>873.92244454651131</v>
      </c>
      <c r="AN91" s="59">
        <f ca="1">AVERAGE(OFFSET($AM$3,0,0,'Données projet'!$E$10+1,1))-AVERAGE(OFFSET($H$3,0,0,'Données projet'!$E$10+1,1))</f>
        <v>581.88778927327667</v>
      </c>
      <c r="AO91" s="59">
        <f t="shared" si="90"/>
        <v>269.67340993773422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39.861125621469718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39.861125621469718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300.80663531652721</v>
      </c>
      <c r="T92" s="59">
        <f t="shared" si="88"/>
        <v>306.01967513533549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77.87372823942539</v>
      </c>
      <c r="AA92" s="21">
        <f>EXP(-LN(2)/25)*AA91+(1-EXP(-LN(2)/25))/(LN(2)/25)*Calculateur!V92*Calculateur!X92*VLOOKUP('Données projet'!$B$9,Paramètres!$A$1:$I$89,3,0)*0.475*44/12</f>
        <v>38.349739589221571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116.22346782864696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276.26710800000023</v>
      </c>
      <c r="AK92" s="13">
        <f t="shared" si="89"/>
        <v>66.177526346547864</v>
      </c>
      <c r="AL92" s="20">
        <f t="shared" si="58"/>
        <v>596.42440482023801</v>
      </c>
      <c r="AM92" s="59">
        <f t="shared" si="59"/>
        <v>889.75773815357138</v>
      </c>
      <c r="AN92" s="59">
        <f ca="1">AVERAGE(OFFSET($AM$3,0,0,'Données projet'!$E$10+1,1))-AVERAGE(OFFSET($H$3,0,0,'Données projet'!$E$10+1,1))</f>
        <v>581.88778927327667</v>
      </c>
      <c r="AO92" s="59">
        <f t="shared" si="90"/>
        <v>269.67340993773422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39.079473260918625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39.079473260918625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300.80663531652721</v>
      </c>
      <c r="T93" s="59">
        <f t="shared" si="88"/>
        <v>306.01967513533549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76.34667192693442</v>
      </c>
      <c r="AA93" s="21">
        <f>EXP(-LN(2)/25)*AA92+(1-EXP(-LN(2)/25))/(LN(2)/25)*Calculateur!V93*Calculateur!X93*VLOOKUP('Données projet'!$B$9,Paramètres!$A$1:$I$89,3,0)*0.475*44/12</f>
        <v>37.301063943429149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113.64773587036356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283.76880480000023</v>
      </c>
      <c r="AK93" s="13">
        <f t="shared" si="89"/>
        <v>67.762844856024827</v>
      </c>
      <c r="AL93" s="20">
        <f t="shared" si="58"/>
        <v>612.2509564842436</v>
      </c>
      <c r="AM93" s="59">
        <f t="shared" si="59"/>
        <v>905.58428981757697</v>
      </c>
      <c r="AN93" s="59">
        <f ca="1">AVERAGE(OFFSET($AM$3,0,0,'Données projet'!$E$10+1,1))-AVERAGE(OFFSET($H$3,0,0,'Données projet'!$E$10+1,1))</f>
        <v>581.88778927327667</v>
      </c>
      <c r="AO93" s="59">
        <f t="shared" si="90"/>
        <v>269.67340993773422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38.31314862639708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38.31314862639708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300.80663531652721</v>
      </c>
      <c r="T94" s="59">
        <f t="shared" si="88"/>
        <v>306.01967513533549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74.849560257319013</v>
      </c>
      <c r="AA94" s="21">
        <f>EXP(-LN(2)/25)*AA93+(1-EXP(-LN(2)/25))/(LN(2)/25)*Calculateur!V94*Calculateur!X94*VLOOKUP('Données projet'!$B$9,Paramètres!$A$1:$I$89,3,0)*0.475*44/12</f>
        <v>36.281064388318377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111.1306246456374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291.27050160000022</v>
      </c>
      <c r="AK94" s="13">
        <f t="shared" si="89"/>
        <v>69.343292010233441</v>
      </c>
      <c r="AL94" s="20">
        <f t="shared" si="58"/>
        <v>628.0690238711569</v>
      </c>
      <c r="AM94" s="59">
        <f t="shared" si="59"/>
        <v>921.40235720449027</v>
      </c>
      <c r="AN94" s="59">
        <f ca="1">AVERAGE(OFFSET($AM$3,0,0,'Données projet'!$E$10+1,1))-AVERAGE(OFFSET($H$3,0,0,'Données projet'!$E$10+1,1))</f>
        <v>581.88778927327667</v>
      </c>
      <c r="AO94" s="59">
        <f t="shared" si="90"/>
        <v>269.67340993773422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37.561851150546623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37.561851150546623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300.80663531652721</v>
      </c>
      <c r="T95" s="59">
        <f t="shared" si="88"/>
        <v>306.01967513533549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73.381806034396817</v>
      </c>
      <c r="AA95" s="21">
        <f>EXP(-LN(2)/25)*AA94+(1-EXP(-LN(2)/25))/(LN(2)/25)*Calculateur!V95*Calculateur!X95*VLOOKUP('Données projet'!$B$9,Paramètres!$A$1:$I$89,3,0)*0.475*44/12</f>
        <v>35.288956774681559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108.67076280907838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298.77219840000021</v>
      </c>
      <c r="AK95" s="13">
        <f t="shared" si="89"/>
        <v>70.919007696700163</v>
      </c>
      <c r="AL95" s="20">
        <f t="shared" si="58"/>
        <v>643.87885061841985</v>
      </c>
      <c r="AM95" s="59">
        <f t="shared" si="59"/>
        <v>937.2121839517531</v>
      </c>
      <c r="AN95" s="59">
        <f ca="1">AVERAGE(OFFSET($AM$3,0,0,'Données projet'!$E$10+1,1))-AVERAGE(OFFSET($H$3,0,0,'Données projet'!$E$10+1,1))</f>
        <v>581.88778927327667</v>
      </c>
      <c r="AO95" s="59">
        <f t="shared" si="90"/>
        <v>269.67340993773422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36.825286159951382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36.825286159951382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300.80663531652721</v>
      </c>
      <c r="T96" s="59">
        <f t="shared" si="88"/>
        <v>306.01967513533549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71.942833576544444</v>
      </c>
      <c r="AA96" s="21">
        <f>EXP(-LN(2)/25)*AA95+(1-EXP(-LN(2)/25))/(LN(2)/25)*Calculateur!V96*Calculateur!X96*VLOOKUP('Données projet'!$B$9,Paramètres!$A$1:$I$89,3,0)*0.475*44/12</f>
        <v>34.323978395912306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106.26681197245675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306.27389520000025</v>
      </c>
      <c r="AK96" s="13">
        <f t="shared" si="89"/>
        <v>72.490124377904692</v>
      </c>
      <c r="AL96" s="20">
        <f t="shared" si="58"/>
        <v>659.68066743151769</v>
      </c>
      <c r="AM96" s="59">
        <f t="shared" si="59"/>
        <v>953.01400076485106</v>
      </c>
      <c r="AN96" s="59">
        <f ca="1">AVERAGE(OFFSET($AM$3,0,0,'Données projet'!$E$10+1,1))-AVERAGE(OFFSET($H$3,0,0,'Données projet'!$E$10+1,1))</f>
        <v>581.88778927327667</v>
      </c>
      <c r="AO96" s="59">
        <f t="shared" si="90"/>
        <v>269.67340993773422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36.10316475956143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36.10316475956143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300.80663531652721</v>
      </c>
      <c r="T97" s="59">
        <f t="shared" si="88"/>
        <v>306.01967513533549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70.532078490904027</v>
      </c>
      <c r="AA97" s="21">
        <f>EXP(-LN(2)/25)*AA96+(1-EXP(-LN(2)/25))/(LN(2)/25)*Calculateur!V97*Calculateur!X97*VLOOKUP('Données projet'!$B$9,Paramètres!$A$1:$I$89,3,0)*0.475*44/12</f>
        <v>33.385387401656509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103.91746589256053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313.77559200000019</v>
      </c>
      <c r="AK97" s="13">
        <f t="shared" si="89"/>
        <v>74.056767657464533</v>
      </c>
      <c r="AL97" s="20">
        <f t="shared" si="58"/>
        <v>675.47469307008441</v>
      </c>
      <c r="AM97" s="59">
        <f t="shared" si="59"/>
        <v>968.80802640341767</v>
      </c>
      <c r="AN97" s="59">
        <f ca="1">AVERAGE(OFFSET($AM$3,0,0,'Données projet'!$E$10+1,1))-AVERAGE(OFFSET($H$3,0,0,'Données projet'!$E$10+1,1))</f>
        <v>581.88778927327667</v>
      </c>
      <c r="AO97" s="59">
        <f t="shared" si="90"/>
        <v>269.67340993773422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51.356167505910733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51.356167505910733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300.80663531652721</v>
      </c>
      <c r="T98" s="59">
        <f t="shared" si="88"/>
        <v>306.01967513533549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69.14898745201738</v>
      </c>
      <c r="AA98" s="21">
        <f>EXP(-LN(2)/25)*AA97+(1-EXP(-LN(2)/25))/(LN(2)/25)*Calculateur!V98*Calculateur!X98*VLOOKUP('Données projet'!$B$9,Paramètres!$A$1:$I$89,3,0)*0.475*44/12</f>
        <v>32.47246222749699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101.62144967951437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265.09463760000023</v>
      </c>
      <c r="AK98" s="13">
        <f t="shared" si="89"/>
        <v>63.807119294189917</v>
      </c>
      <c r="AL98" s="20">
        <f t="shared" si="58"/>
        <v>572.83722659071452</v>
      </c>
      <c r="AM98" s="59">
        <f t="shared" si="59"/>
        <v>866.17055992404789</v>
      </c>
      <c r="AN98" s="59">
        <f ca="1">AVERAGE(OFFSET($AM$3,0,0,'Données projet'!$E$10+1,1))-AVERAGE(OFFSET($H$3,0,0,'Données projet'!$E$10+1,1))</f>
        <v>581.88778927327667</v>
      </c>
      <c r="AO98" s="59">
        <f t="shared" si="90"/>
        <v>269.67340993773422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50.349104385288996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50.349104385288996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300.80663531652721</v>
      </c>
      <c r="T99" s="59">
        <f t="shared" si="88"/>
        <v>306.01967513533549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67.793017984801054</v>
      </c>
      <c r="AA99" s="21">
        <f>EXP(-LN(2)/25)*AA98+(1-EXP(-LN(2)/25))/(LN(2)/25)*Calculateur!V99*Calculateur!X99*VLOOKUP('Données projet'!$B$9,Paramètres!$A$1:$I$89,3,0)*0.475*44/12</f>
        <v>31.584501040233512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99.377519025034559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272.37556320000027</v>
      </c>
      <c r="AK99" s="13">
        <f t="shared" si="89"/>
        <v>65.35316643513535</v>
      </c>
      <c r="AL99" s="20">
        <f t="shared" si="58"/>
        <v>588.21087078119456</v>
      </c>
      <c r="AM99" s="59">
        <f t="shared" si="59"/>
        <v>881.54420411452793</v>
      </c>
      <c r="AN99" s="59">
        <f ca="1">AVERAGE(OFFSET($AM$3,0,0,'Données projet'!$E$10+1,1))-AVERAGE(OFFSET($H$3,0,0,'Données projet'!$E$10+1,1))</f>
        <v>581.88778927327667</v>
      </c>
      <c r="AO99" s="59">
        <f t="shared" si="90"/>
        <v>269.67340993773422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49.361789158214798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49.361789158214798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300.80663531652721</v>
      </c>
      <c r="T100" s="59">
        <f t="shared" si="88"/>
        <v>306.01967513533549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66.463638251777141</v>
      </c>
      <c r="AA100" s="21">
        <f>EXP(-LN(2)/25)*AA99+(1-EXP(-LN(2)/25))/(LN(2)/25)*Calculateur!V100*Calculateur!X100*VLOOKUP('Données projet'!$B$9,Paramètres!$A$1:$I$89,3,0)*0.475*44/12</f>
        <v>30.720821198331603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97.184459450108747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279.65648880000026</v>
      </c>
      <c r="AK100" s="13">
        <f t="shared" si="89"/>
        <v>66.894409904113928</v>
      </c>
      <c r="AL100" s="20">
        <f t="shared" si="58"/>
        <v>603.57614857633223</v>
      </c>
      <c r="AM100" s="59">
        <f t="shared" si="59"/>
        <v>896.9094819096656</v>
      </c>
      <c r="AN100" s="59">
        <f ca="1">AVERAGE(OFFSET($AM$3,0,0,'Données projet'!$E$10+1,1))-AVERAGE(OFFSET($H$3,0,0,'Données projet'!$E$10+1,1))</f>
        <v>581.88778927327667</v>
      </c>
      <c r="AO100" s="59">
        <f t="shared" si="90"/>
        <v>269.67340993773422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48.393834580540698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48.393834580540698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300.80663531652721</v>
      </c>
      <c r="T101" s="59">
        <f t="shared" si="88"/>
        <v>306.01967513533549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65.160326844476245</v>
      </c>
      <c r="AA101" s="21">
        <f>EXP(-LN(2)/25)*AA100+(1-EXP(-LN(2)/25))/(LN(2)/25)*Calculateur!V101*Calculateur!X101*VLOOKUP('Données projet'!$B$9,Paramètres!$A$1:$I$89,3,0)*0.475*44/12</f>
        <v>29.88075872712545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95.041085571601698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286.93741440000031</v>
      </c>
      <c r="AK101" s="13">
        <f t="shared" si="89"/>
        <v>68.430989143985158</v>
      </c>
      <c r="AL101" s="20">
        <f t="shared" si="58"/>
        <v>618.93330283910791</v>
      </c>
      <c r="AM101" s="59">
        <f t="shared" si="59"/>
        <v>912.26663617244117</v>
      </c>
      <c r="AN101" s="59">
        <f ca="1">AVERAGE(OFFSET($AM$3,0,0,'Données projet'!$E$10+1,1))-AVERAGE(OFFSET($H$3,0,0,'Données projet'!$E$10+1,1))</f>
        <v>581.88778927327667</v>
      </c>
      <c r="AO101" s="59">
        <f t="shared" si="90"/>
        <v>269.67340993773422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47.444861001740797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47.444861001740797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300.80663531652721</v>
      </c>
      <c r="T102" s="59">
        <f t="shared" si="88"/>
        <v>306.01967513533549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63.882572578931061</v>
      </c>
      <c r="AA102" s="21">
        <f>EXP(-LN(2)/25)*AA101+(1-EXP(-LN(2)/25))/(LN(2)/25)*Calculateur!V102*Calculateur!X102*VLOOKUP('Données projet'!$B$9,Paramètres!$A$1:$I$89,3,0)*0.475*44/12</f>
        <v>29.063667808371395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92.946240387302453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294.2183400000003</v>
      </c>
      <c r="AK102" s="13">
        <f t="shared" si="89"/>
        <v>69.963036117759913</v>
      </c>
      <c r="AL102" s="20">
        <f t="shared" si="58"/>
        <v>634.28256340509904</v>
      </c>
      <c r="AM102" s="59">
        <f t="shared" si="59"/>
        <v>927.61589673843241</v>
      </c>
      <c r="AN102" s="59">
        <f ca="1">AVERAGE(OFFSET($AM$3,0,0,'Données projet'!$E$10+1,1))-AVERAGE(OFFSET($H$3,0,0,'Données projet'!$E$10+1,1))</f>
        <v>581.88778927327667</v>
      </c>
      <c r="AO102" s="59">
        <f t="shared" si="90"/>
        <v>269.67340993773422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46.514496216004432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46.514496216004432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300.80663531652721</v>
      </c>
      <c r="T103" s="59">
        <f t="shared" si="88"/>
        <v>306.01967513533549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62.629874295180066</v>
      </c>
      <c r="AA103" s="21">
        <f>EXP(-LN(2)/25)*AA102+(1-EXP(-LN(2)/25))/(LN(2)/25)*Calculateur!V103*Calculateur!X103*VLOOKUP('Données projet'!$B$9,Paramètres!$A$1:$I$89,3,0)*0.475*44/12</f>
        <v>28.268920283759616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90.898794578939686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301.49926560000034</v>
      </c>
      <c r="AK103" s="13">
        <f t="shared" si="89"/>
        <v>71.490675884857296</v>
      </c>
      <c r="AL103" s="20">
        <f t="shared" si="58"/>
        <v>649.62414808612709</v>
      </c>
      <c r="AM103" s="59">
        <f t="shared" si="59"/>
        <v>942.95748141946046</v>
      </c>
      <c r="AN103" s="59">
        <f ca="1">AVERAGE(OFFSET($AM$3,0,0,'Données projet'!$E$10+1,1))-AVERAGE(OFFSET($H$3,0,0,'Données projet'!$E$10+1,1))</f>
        <v>581.88778927327667</v>
      </c>
      <c r="AO103" s="59">
        <f t="shared" si="90"/>
        <v>269.67340993773422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45.602375316249869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45.602375316249869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300.80663531652721</v>
      </c>
      <c r="T104" s="59">
        <f t="shared" si="88"/>
        <v>306.01967513533549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61.401740660702927</v>
      </c>
      <c r="AA104" s="21">
        <f>EXP(-LN(2)/25)*AA103+(1-EXP(-LN(2)/25))/(LN(2)/25)*Calculateur!V104*Calculateur!X104*VLOOKUP('Données projet'!$B$9,Paramètres!$A$1:$I$89,3,0)*0.475*44/12</f>
        <v>27.495905172002303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88.897645832705223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308.78019120000033</v>
      </c>
      <c r="AK104" s="13">
        <f t="shared" si="89"/>
        <v>73.014027120130123</v>
      </c>
      <c r="AL104" s="20">
        <f t="shared" si="58"/>
        <v>664.95826357422709</v>
      </c>
      <c r="AM104" s="59">
        <f t="shared" si="59"/>
        <v>958.29159690756046</v>
      </c>
      <c r="AN104" s="59">
        <f ca="1">AVERAGE(OFFSET($AM$3,0,0,'Données projet'!$E$10+1,1))-AVERAGE(OFFSET($H$3,0,0,'Données projet'!$E$10+1,1))</f>
        <v>581.88778927327667</v>
      </c>
      <c r="AO104" s="59">
        <f t="shared" si="90"/>
        <v>269.67340993773422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44.708140551000682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44.708140551000682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300.80663531652721</v>
      </c>
      <c r="T105" s="59">
        <f t="shared" si="88"/>
        <v>306.01967513533549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60.197689977710333</v>
      </c>
      <c r="AA105" s="21">
        <f>EXP(-LN(2)/25)*AA104+(1-EXP(-LN(2)/25))/(LN(2)/25)*Calculateur!V105*Calculateur!X105*VLOOKUP('Données projet'!$B$9,Paramètres!$A$1:$I$89,3,0)*0.475*44/12</f>
        <v>26.74402819912709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86.941718176837426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316.06111680000038</v>
      </c>
      <c r="AK105" s="13">
        <f t="shared" si="89"/>
        <v>74.533202582557081</v>
      </c>
      <c r="AL105" s="20">
        <f t="shared" si="58"/>
        <v>680.28510625795423</v>
      </c>
      <c r="AM105" s="59">
        <f t="shared" si="59"/>
        <v>973.6184395912876</v>
      </c>
      <c r="AN105" s="59">
        <f ca="1">AVERAGE(OFFSET($AM$3,0,0,'Données projet'!$E$10+1,1))-AVERAGE(OFFSET($H$3,0,0,'Données projet'!$E$10+1,1))</f>
        <v>581.88778927327667</v>
      </c>
      <c r="AO105" s="59">
        <f t="shared" si="90"/>
        <v>269.67340993773422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43.83144118406868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43.83144118406868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300.80663531652721</v>
      </c>
      <c r="T106" s="59">
        <f t="shared" si="88"/>
        <v>306.01967513533549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59.017249994212818</v>
      </c>
      <c r="AA106" s="21">
        <f>EXP(-LN(2)/25)*AA105+(1-EXP(-LN(2)/25))/(LN(2)/25)*Calculateur!V106*Calculateur!X106*VLOOKUP('Données projet'!$B$9,Paramètres!$A$1:$I$89,3,0)*0.475*44/12</f>
        <v>26.01271134161464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85.029961335827466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323.34204240000037</v>
      </c>
      <c r="AK106" s="13">
        <f t="shared" si="89"/>
        <v>76.048309539529996</v>
      </c>
      <c r="AL106" s="20">
        <f t="shared" si="58"/>
        <v>695.60486296134877</v>
      </c>
      <c r="AM106" s="59">
        <f t="shared" si="59"/>
        <v>988.93819629468203</v>
      </c>
      <c r="AN106" s="59">
        <f ca="1">AVERAGE(OFFSET($AM$3,0,0,'Données projet'!$E$10+1,1))-AVERAGE(OFFSET($H$3,0,0,'Données projet'!$E$10+1,1))</f>
        <v>581.88778927327667</v>
      </c>
      <c r="AO106" s="59">
        <f t="shared" si="90"/>
        <v>269.67340993773422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42.971933356988401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42.971933356988401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300.80663531652721</v>
      </c>
      <c r="T107" s="59">
        <f t="shared" si="88"/>
        <v>306.01967513533549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57.859957718794398</v>
      </c>
      <c r="AA107" s="21">
        <f>EXP(-LN(2)/25)*AA106+(1-EXP(-LN(2)/25))/(LN(2)/25)*Calculateur!V107*Calculateur!X107*VLOOKUP('Données projet'!$B$9,Paramètres!$A$1:$I$89,3,0)*0.475*44/12</f>
        <v>25.30139238202915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83.16135010082354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330.62296800000041</v>
      </c>
      <c r="AK107" s="13">
        <f t="shared" si="89"/>
        <v>77.559450151847827</v>
      </c>
      <c r="AL107" s="20">
        <f t="shared" si="58"/>
        <v>710.91771161446911</v>
      </c>
      <c r="AM107" s="59">
        <f t="shared" si="59"/>
        <v>1004.2510449478025</v>
      </c>
      <c r="AN107" s="59">
        <f ca="1">AVERAGE(OFFSET($AM$3,0,0,'Données projet'!$E$10+1,1))-AVERAGE(OFFSET($H$3,0,0,'Données projet'!$E$10+1,1))</f>
        <v>581.88778927327667</v>
      </c>
      <c r="AO107" s="59">
        <f t="shared" si="90"/>
        <v>269.67340993773422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57.661865407845688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57.661865407845688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300.80663531652721</v>
      </c>
      <c r="T108" s="59">
        <f t="shared" si="88"/>
        <v>306.01967513533549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56.725359239018346</v>
      </c>
      <c r="AA108" s="21">
        <f>EXP(-LN(2)/25)*AA107+(1-EXP(-LN(2)/25))/(LN(2)/25)*Calculateur!V108*Calculateur!X108*VLOOKUP('Données projet'!$B$9,Paramètres!$A$1:$I$89,3,0)*0.475*44/12</f>
        <v>24.609524476800164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81.334883715818506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283.34264400000046</v>
      </c>
      <c r="AK108" s="13">
        <f t="shared" si="89"/>
        <v>67.672917015543916</v>
      </c>
      <c r="AL108" s="20">
        <f t="shared" si="58"/>
        <v>611.3521021020731</v>
      </c>
      <c r="AM108" s="59">
        <f t="shared" si="59"/>
        <v>904.68543543540636</v>
      </c>
      <c r="AN108" s="59">
        <f ca="1">AVERAGE(OFFSET($AM$3,0,0,'Données projet'!$E$10+1,1))-AVERAGE(OFFSET($H$3,0,0,'Données projet'!$E$10+1,1))</f>
        <v>581.88778927327667</v>
      </c>
      <c r="AO108" s="59">
        <f t="shared" si="90"/>
        <v>269.67340993773422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56.531151397462956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56.531151397462956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300.80663531652721</v>
      </c>
      <c r="T109" s="59">
        <f t="shared" si="88"/>
        <v>306.01967513533549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55.613009543393957</v>
      </c>
      <c r="AA109" s="21">
        <f>EXP(-LN(2)/25)*AA108+(1-EXP(-LN(2)/25))/(LN(2)/25)*Calculateur!V109*Calculateur!X109*VLOOKUP('Données projet'!$B$9,Paramètres!$A$1:$I$89,3,0)*0.475*44/12</f>
        <v>23.936575735823418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79.549585279217382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290.52223200000043</v>
      </c>
      <c r="AK109" s="13">
        <f t="shared" si="89"/>
        <v>69.185862279978352</v>
      </c>
      <c r="AL109" s="20">
        <f t="shared" si="58"/>
        <v>626.49159753762979</v>
      </c>
      <c r="AM109" s="59">
        <f t="shared" si="59"/>
        <v>919.82493087096304</v>
      </c>
      <c r="AN109" s="59">
        <f ca="1">AVERAGE(OFFSET($AM$3,0,0,'Données projet'!$E$10+1,1))-AVERAGE(OFFSET($H$3,0,0,'Données projet'!$E$10+1,1))</f>
        <v>581.88778927327667</v>
      </c>
      <c r="AO109" s="59">
        <f t="shared" si="90"/>
        <v>269.67340993773422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55.422609999156386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55.422609999156386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300.80663531652721</v>
      </c>
      <c r="T110" s="59">
        <f t="shared" si="88"/>
        <v>306.01967513533549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54.522472346834441</v>
      </c>
      <c r="AA110" s="21">
        <f>EXP(-LN(2)/25)*AA109+(1-EXP(-LN(2)/25))/(LN(2)/25)*Calculateur!V110*Calculateur!X110*VLOOKUP('Données projet'!$B$9,Paramètres!$A$1:$I$89,3,0)*0.475*44/12</f>
        <v>23.282028813557517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77.804501160391965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297.70182000000045</v>
      </c>
      <c r="AK110" s="13">
        <f t="shared" si="89"/>
        <v>70.69446125561177</v>
      </c>
      <c r="AL110" s="20">
        <f t="shared" si="58"/>
        <v>641.62352318685794</v>
      </c>
      <c r="AM110" s="59">
        <f t="shared" si="59"/>
        <v>934.9568565201912</v>
      </c>
      <c r="AN110" s="59">
        <f ca="1">AVERAGE(OFFSET($AM$3,0,0,'Données projet'!$E$10+1,1))-AVERAGE(OFFSET($H$3,0,0,'Données projet'!$E$10+1,1))</f>
        <v>581.88778927327667</v>
      </c>
      <c r="AO110" s="59">
        <f t="shared" si="90"/>
        <v>269.67340993773422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54.335806421527117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54.335806421527117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300.80663531652721</v>
      </c>
      <c r="T111" s="59">
        <f t="shared" si="88"/>
        <v>306.01967513533549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53.453319919537449</v>
      </c>
      <c r="AA111" s="21">
        <f>EXP(-LN(2)/25)*AA110+(1-EXP(-LN(2)/25))/(LN(2)/25)*Calculateur!V111*Calculateur!X111*VLOOKUP('Données projet'!$B$9,Paramètres!$A$1:$I$89,3,0)*0.475*44/12</f>
        <v>22.645380511302104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76.098700430839557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304.88140800000042</v>
      </c>
      <c r="AK111" s="13">
        <f t="shared" si="89"/>
        <v>72.198830820277394</v>
      </c>
      <c r="AL111" s="20">
        <f t="shared" si="58"/>
        <v>656.74808261198393</v>
      </c>
      <c r="AM111" s="59">
        <f t="shared" si="59"/>
        <v>950.0814159453173</v>
      </c>
      <c r="AN111" s="59">
        <f ca="1">AVERAGE(OFFSET($AM$3,0,0,'Données projet'!$E$10+1,1))-AVERAGE(OFFSET($H$3,0,0,'Données projet'!$E$10+1,1))</f>
        <v>581.88778927327667</v>
      </c>
      <c r="AO111" s="59">
        <f t="shared" si="90"/>
        <v>269.67340993773422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53.270314399170431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53.270314399170431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300.80663531652721</v>
      </c>
      <c r="T112" s="59">
        <f t="shared" si="88"/>
        <v>306.01967513533549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52.40513291922116</v>
      </c>
      <c r="AA112" s="21">
        <f>EXP(-LN(2)/25)*AA111+(1-EXP(-LN(2)/25))/(LN(2)/25)*Calculateur!V112*Calculateur!X112*VLOOKUP('Données projet'!$B$9,Paramètres!$A$1:$I$89,3,0)*0.475*44/12</f>
        <v>22.026141390351743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74.431274309572899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312.06099600000044</v>
      </c>
      <c r="AK112" s="13">
        <f t="shared" si="89"/>
        <v>73.699082033131035</v>
      </c>
      <c r="AL112" s="20">
        <f t="shared" si="58"/>
        <v>671.86546924103743</v>
      </c>
      <c r="AM112" s="59">
        <f t="shared" si="59"/>
        <v>965.1988025743708</v>
      </c>
      <c r="AN112" s="59">
        <f ca="1">AVERAGE(OFFSET($AM$3,0,0,'Données projet'!$E$10+1,1))-AVERAGE(OFFSET($H$3,0,0,'Données projet'!$E$10+1,1))</f>
        <v>581.88778927327667</v>
      </c>
      <c r="AO112" s="59">
        <f t="shared" si="90"/>
        <v>269.67340993773422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52.225716025486193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52.225716025486193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300.80663531652721</v>
      </c>
      <c r="T113" s="59">
        <f t="shared" si="88"/>
        <v>306.01967513533549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51.377500226650135</v>
      </c>
      <c r="AA113" s="21">
        <f>EXP(-LN(2)/25)*AA112+(1-EXP(-LN(2)/25))/(LN(2)/25)*Calculateur!V113*Calculateur!X113*VLOOKUP('Données projet'!$B$9,Paramètres!$A$1:$I$89,3,0)*0.475*44/12</f>
        <v>21.42383539572814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72.801335622378275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319.24058400000041</v>
      </c>
      <c r="AK113" s="13">
        <f t="shared" si="89"/>
        <v>75.195320551435159</v>
      </c>
      <c r="AL113" s="20">
        <f t="shared" si="58"/>
        <v>686.97586709375025</v>
      </c>
      <c r="AM113" s="59">
        <f t="shared" si="59"/>
        <v>980.30920042708362</v>
      </c>
      <c r="AN113" s="59">
        <f ca="1">AVERAGE(OFFSET($AM$3,0,0,'Données projet'!$E$10+1,1))-AVERAGE(OFFSET($H$3,0,0,'Données projet'!$E$10+1,1))</f>
        <v>581.88778927327667</v>
      </c>
      <c r="AO113" s="59">
        <f t="shared" si="90"/>
        <v>269.67340993773422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51.201601588767808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51.201601588767808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300.80663531652721</v>
      </c>
      <c r="T114" s="59">
        <f t="shared" si="88"/>
        <v>306.01967513533549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50.370018784386374</v>
      </c>
      <c r="AA114" s="21">
        <f>EXP(-LN(2)/25)*AA113+(1-EXP(-LN(2)/25))/(LN(2)/25)*Calculateur!V114*Calculateur!X114*VLOOKUP('Données projet'!$B$9,Paramètres!$A$1:$I$89,3,0)*0.475*44/12</f>
        <v>20.837999490201415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71.208018274587786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326.42017200000043</v>
      </c>
      <c r="AK114" s="13">
        <f t="shared" si="89"/>
        <v>76.687647008791089</v>
      </c>
      <c r="AL114" s="20">
        <f t="shared" si="58"/>
        <v>702.07945144031191</v>
      </c>
      <c r="AM114" s="59">
        <f t="shared" si="59"/>
        <v>995.41278477364517</v>
      </c>
      <c r="AN114" s="59">
        <f ca="1">AVERAGE(OFFSET($AM$3,0,0,'Données projet'!$E$10+1,1))-AVERAGE(OFFSET($H$3,0,0,'Données projet'!$E$10+1,1))</f>
        <v>581.88778927327667</v>
      </c>
      <c r="AO114" s="59">
        <f t="shared" si="90"/>
        <v>269.67340993773422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50.197569411505341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50.197569411505341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300.80663531652721</v>
      </c>
      <c r="T115" s="59">
        <f t="shared" si="88"/>
        <v>306.01967513533549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49.382293438702405</v>
      </c>
      <c r="AA115" s="21">
        <f>EXP(-LN(2)/25)*AA114+(1-EXP(-LN(2)/25))/(LN(2)/25)*Calculateur!V115*Calculateur!X115*VLOOKUP('Données projet'!$B$9,Paramètres!$A$1:$I$89,3,0)*0.475*44/12</f>
        <v>20.268183298319091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69.650476737021492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333.59976000000046</v>
      </c>
      <c r="AK115" s="13">
        <f t="shared" si="89"/>
        <v>78.17615735915706</v>
      </c>
      <c r="AL115" s="20">
        <f t="shared" si="58"/>
        <v>717.17638940053257</v>
      </c>
      <c r="AM115" s="59">
        <f t="shared" si="59"/>
        <v>1010.5097227338658</v>
      </c>
      <c r="AN115" s="59">
        <f ca="1">AVERAGE(OFFSET($AM$3,0,0,'Données projet'!$E$10+1,1))-AVERAGE(OFFSET($H$3,0,0,'Données projet'!$E$10+1,1))</f>
        <v>581.88778927327667</v>
      </c>
      <c r="AO115" s="59">
        <f t="shared" si="90"/>
        <v>269.67340993773422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49.213225692839835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49.213225692839835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300.80663531652721</v>
      </c>
      <c r="T116" s="59">
        <f t="shared" si="88"/>
        <v>306.01967513533549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48.41393678459432</v>
      </c>
      <c r="AA116" s="21">
        <f>EXP(-LN(2)/25)*AA115+(1-EXP(-LN(2)/25))/(LN(2)/25)*Calculateur!V116*Calculateur!X116*VLOOKUP('Données projet'!$B$9,Paramètres!$A$1:$I$89,3,0)*0.475*44/12</f>
        <v>19.713948760169121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68.127885544763444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340.77934800000043</v>
      </c>
      <c r="AK116" s="13">
        <f t="shared" si="89"/>
        <v>79.660943190415296</v>
      </c>
      <c r="AL116" s="20">
        <f t="shared" si="58"/>
        <v>732.26684048997402</v>
      </c>
      <c r="AM116" s="59">
        <f t="shared" si="59"/>
        <v>1025.6001738233074</v>
      </c>
      <c r="AN116" s="59">
        <f ca="1">AVERAGE(OFFSET($AM$3,0,0,'Données projet'!$E$10+1,1))-AVERAGE(OFFSET($H$3,0,0,'Données projet'!$E$10+1,1))</f>
        <v>581.88778927327667</v>
      </c>
      <c r="AO116" s="59">
        <f t="shared" si="90"/>
        <v>269.67340993773422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48.248184354106975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48.248184354106975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300.80663531652721</v>
      </c>
      <c r="T117" s="59">
        <f t="shared" si="88"/>
        <v>306.01967513533549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47.464569013834058</v>
      </c>
      <c r="AA117" s="21">
        <f>EXP(-LN(2)/25)*AA116+(1-EXP(-LN(2)/25))/(LN(2)/25)*Calculateur!V117*Calculateur!X117*VLOOKUP('Données projet'!$B$9,Paramètres!$A$1:$I$89,3,0)*0.475*44/12</f>
        <v>19.174869794610789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66.639438808444851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347.95893600000045</v>
      </c>
      <c r="AK117" s="13">
        <f t="shared" si="89"/>
        <v>81.142092010767954</v>
      </c>
      <c r="AL117" s="20">
        <f t="shared" si="58"/>
        <v>747.35095711875499</v>
      </c>
      <c r="AM117" s="59">
        <f t="shared" si="59"/>
        <v>1040.6842904520884</v>
      </c>
      <c r="AN117" s="59">
        <f ca="1">AVERAGE(OFFSET($AM$3,0,0,'Données projet'!$E$10+1,1))-AVERAGE(OFFSET($H$3,0,0,'Données projet'!$E$10+1,1))</f>
        <v>581.88778927327667</v>
      </c>
      <c r="AO117" s="59">
        <f t="shared" si="90"/>
        <v>269.67340993773422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61.771448286126386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61.771448286126386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300.80663531652721</v>
      </c>
      <c r="T118" s="59">
        <f t="shared" si="88"/>
        <v>306.01967513533549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46.533817766001242</v>
      </c>
      <c r="AA118" s="21">
        <f>EXP(-LN(2)/25)*AA117+(1-EXP(-LN(2)/25))/(LN(2)/25)*Calculateur!V118*Calculateur!X118*VLOOKUP('Données projet'!$B$9,Paramètres!$A$1:$I$89,3,0)*0.475*44/12</f>
        <v>18.650531971714578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65.18434973771582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304.45796160000049</v>
      </c>
      <c r="AK118" s="13">
        <f t="shared" si="89"/>
        <v>72.11021964481435</v>
      </c>
      <c r="AL118" s="20">
        <f t="shared" si="58"/>
        <v>655.85624900138566</v>
      </c>
      <c r="AM118" s="59">
        <f t="shared" si="59"/>
        <v>949.18958233471903</v>
      </c>
      <c r="AN118" s="59">
        <f ca="1">AVERAGE(OFFSET($AM$3,0,0,'Données projet'!$E$10+1,1))-AVERAGE(OFFSET($H$3,0,0,'Données projet'!$E$10+1,1))</f>
        <v>581.88778927327667</v>
      </c>
      <c r="AO118" s="59">
        <f t="shared" si="90"/>
        <v>269.67340993773422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60.560147862098624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60.560147862098624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300.80663531652721</v>
      </c>
      <c r="T119" s="59">
        <f t="shared" si="88"/>
        <v>306.01967513533549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45.621317982436224</v>
      </c>
      <c r="AA119" s="21">
        <f>EXP(-LN(2)/25)*AA118+(1-EXP(-LN(2)/25))/(LN(2)/25)*Calculateur!V119*Calculateur!X119*VLOOKUP('Données projet'!$B$9,Paramètres!$A$1:$I$89,3,0)*0.475*44/12</f>
        <v>18.140532194159192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63.761850176595416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311.68912320000049</v>
      </c>
      <c r="AK119" s="13">
        <f t="shared" si="89"/>
        <v>73.621474685301479</v>
      </c>
      <c r="AL119" s="20">
        <f t="shared" si="58"/>
        <v>671.08262465023415</v>
      </c>
      <c r="AM119" s="59">
        <f t="shared" si="59"/>
        <v>964.41595798356752</v>
      </c>
      <c r="AN119" s="59">
        <f ca="1">AVERAGE(OFFSET($AM$3,0,0,'Données projet'!$E$10+1,1))-AVERAGE(OFFSET($H$3,0,0,'Données projet'!$E$10+1,1))</f>
        <v>581.88778927327667</v>
      </c>
      <c r="AO119" s="59">
        <f t="shared" si="90"/>
        <v>269.67340993773422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59.372600300565736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59.372600300565736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300.80663531652721</v>
      </c>
      <c r="T120" s="59">
        <f t="shared" si="88"/>
        <v>306.01967513533549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44.726711763057004</v>
      </c>
      <c r="AA120" s="21">
        <f>EXP(-LN(2)/25)*AA119+(1-EXP(-LN(2)/25))/(LN(2)/25)*Calculateur!V120*Calculateur!X120*VLOOKUP('Données projet'!$B$9,Paramètres!$A$1:$I$89,3,0)*0.475*44/12</f>
        <v>17.644478387340783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62.371190150397787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318.9202848000005</v>
      </c>
      <c r="AK120" s="13">
        <f t="shared" si="89"/>
        <v>75.128653745521831</v>
      </c>
      <c r="AL120" s="20">
        <f t="shared" si="58"/>
        <v>686.30190130011806</v>
      </c>
      <c r="AM120" s="59">
        <f t="shared" si="59"/>
        <v>979.63523463345132</v>
      </c>
      <c r="AN120" s="59">
        <f ca="1">AVERAGE(OFFSET($AM$3,0,0,'Données projet'!$E$10+1,1))-AVERAGE(OFFSET($H$3,0,0,'Données projet'!$E$10+1,1))</f>
        <v>581.88778927327667</v>
      </c>
      <c r="AO120" s="59">
        <f t="shared" si="90"/>
        <v>269.67340993773422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58.208339822382015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58.208339822382015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300.80663531652721</v>
      </c>
      <c r="T121" s="59">
        <f t="shared" si="88"/>
        <v>306.01967513533549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43.849648225983898</v>
      </c>
      <c r="AA121" s="21">
        <f>EXP(-LN(2)/25)*AA120+(1-EXP(-LN(2)/25))/(LN(2)/25)*Calculateur!V121*Calculateur!X121*VLOOKUP('Données projet'!$B$9,Paramètres!$A$1:$I$89,3,0)*0.475*44/12</f>
        <v>17.161989197956157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61.011637423940059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326.15144640000051</v>
      </c>
      <c r="AK121" s="13">
        <f t="shared" si="89"/>
        <v>76.631859883081802</v>
      </c>
      <c r="AL121" s="20">
        <f t="shared" si="58"/>
        <v>701.51425844303503</v>
      </c>
      <c r="AM121" s="59">
        <f t="shared" si="59"/>
        <v>994.84759177636829</v>
      </c>
      <c r="AN121" s="59">
        <f ca="1">AVERAGE(OFFSET($AM$3,0,0,'Données projet'!$E$10+1,1))-AVERAGE(OFFSET($H$3,0,0,'Données projet'!$E$10+1,1))</f>
        <v>581.88778927327667</v>
      </c>
      <c r="AO121" s="59">
        <f t="shared" si="90"/>
        <v>269.67340993773422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57.066909782046707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57.066909782046707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300.80663531652721</v>
      </c>
      <c r="T122" s="59">
        <f t="shared" si="88"/>
        <v>306.01967513533549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42.989783369916857</v>
      </c>
      <c r="AA122" s="21">
        <f>EXP(-LN(2)/25)*AA121+(1-EXP(-LN(2)/25))/(LN(2)/25)*Calculateur!V122*Calculateur!X122*VLOOKUP('Données projet'!$B$9,Paramètres!$A$1:$I$89,3,0)*0.475*44/12</f>
        <v>16.692693700828258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59.682477070745115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333.38260800000052</v>
      </c>
      <c r="AK122" s="13">
        <f t="shared" si="89"/>
        <v>78.13119132485231</v>
      </c>
      <c r="AL122" s="20">
        <f t="shared" si="58"/>
        <v>716.71986715745197</v>
      </c>
      <c r="AM122" s="59">
        <f t="shared" si="59"/>
        <v>1010.0532004907852</v>
      </c>
      <c r="AN122" s="59">
        <f ca="1">AVERAGE(OFFSET($AM$3,0,0,'Données projet'!$E$10+1,1))-AVERAGE(OFFSET($H$3,0,0,'Données projet'!$E$10+1,1))</f>
        <v>581.88778927327667</v>
      </c>
      <c r="AO122" s="59">
        <f t="shared" si="90"/>
        <v>269.67340993773422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55.947862488598794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55.947862488598794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300.80663531652721</v>
      </c>
      <c r="T123" s="59">
        <f t="shared" si="88"/>
        <v>306.01967513533549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42.14677993921152</v>
      </c>
      <c r="AA123" s="21">
        <f>EXP(-LN(2)/25)*AA122+(1-EXP(-LN(2)/25))/(LN(2)/25)*Calculateur!V123*Calculateur!X123*VLOOKUP('Données projet'!$B$9,Paramètres!$A$1:$I$89,3,0)*0.475*44/12</f>
        <v>16.236231113748499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58.383011052960015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340.61376960000058</v>
      </c>
      <c r="AK123" s="13">
        <f t="shared" si="89"/>
        <v>79.626741793195919</v>
      </c>
      <c r="AL123" s="20">
        <f t="shared" si="58"/>
        <v>731.9188906764839</v>
      </c>
      <c r="AM123" s="59">
        <f t="shared" si="59"/>
        <v>1025.2522240098172</v>
      </c>
      <c r="AN123" s="59">
        <f ca="1">AVERAGE(OFFSET($AM$3,0,0,'Données projet'!$E$10+1,1))-AVERAGE(OFFSET($H$3,0,0,'Données projet'!$E$10+1,1))</f>
        <v>581.88778927327667</v>
      </c>
      <c r="AO123" s="59">
        <f t="shared" si="90"/>
        <v>269.67340993773422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54.850759030023944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54.850759030023944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300.80663531652721</v>
      </c>
      <c r="T124" s="59">
        <f t="shared" si="88"/>
        <v>306.01967513533549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41.32030729160099</v>
      </c>
      <c r="AA124" s="21">
        <f>EXP(-LN(2)/25)*AA123+(1-EXP(-LN(2)/25))/(LN(2)/25)*Calculateur!V124*Calculateur!X124*VLOOKUP('Données projet'!$B$9,Paramètres!$A$1:$I$89,3,0)*0.475*44/12</f>
        <v>15.79225052011676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57.11255781171775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347.84493120000059</v>
      </c>
      <c r="AK124" s="13">
        <f t="shared" si="89"/>
        <v>81.11860080370937</v>
      </c>
      <c r="AL124" s="20">
        <f t="shared" si="58"/>
        <v>747.11148490646144</v>
      </c>
      <c r="AM124" s="59">
        <f t="shared" si="59"/>
        <v>1040.4448182397948</v>
      </c>
      <c r="AN124" s="59">
        <f ca="1">AVERAGE(OFFSET($AM$3,0,0,'Données projet'!$E$10+1,1))-AVERAGE(OFFSET($H$3,0,0,'Données projet'!$E$10+1,1))</f>
        <v>581.88778927327667</v>
      </c>
      <c r="AO124" s="59">
        <f t="shared" si="90"/>
        <v>269.67340993773422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53.775169101104709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53.775169101104709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300.80663531652721</v>
      </c>
      <c r="T125" s="59">
        <f t="shared" si="88"/>
        <v>306.01967513533549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40.510041268511564</v>
      </c>
      <c r="AA125" s="21">
        <f>EXP(-LN(2)/25)*AA124+(1-EXP(-LN(2)/25))/(LN(2)/25)*Calculateur!V125*Calculateur!X125*VLOOKUP('Données projet'!$B$9,Paramètres!$A$1:$I$89,3,0)*0.475*44/12</f>
        <v>15.360410599165805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55.870451867677367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355.07609280000059</v>
      </c>
      <c r="AK125" s="13">
        <f t="shared" si="89"/>
        <v>82.606853937508674</v>
      </c>
      <c r="AL125" s="20">
        <f t="shared" si="58"/>
        <v>762.29779890116197</v>
      </c>
      <c r="AM125" s="59">
        <f t="shared" si="59"/>
        <v>1055.6311322344952</v>
      </c>
      <c r="AN125" s="59">
        <f ca="1">AVERAGE(OFFSET($AM$3,0,0,'Données projet'!$E$10+1,1))-AVERAGE(OFFSET($H$3,0,0,'Données projet'!$E$10+1,1))</f>
        <v>581.88778927327667</v>
      </c>
      <c r="AO125" s="59">
        <f t="shared" si="90"/>
        <v>269.67340993773422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52.720670834646505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52.720670834646505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300.80663531652721</v>
      </c>
      <c r="T126" s="59">
        <f t="shared" si="88"/>
        <v>306.01967513533549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39.715664067921445</v>
      </c>
      <c r="AA126" s="21">
        <f>EXP(-LN(2)/25)*AA125+(1-EXP(-LN(2)/25))/(LN(2)/25)*Calculateur!V126*Calculateur!X126*VLOOKUP('Données projet'!$B$9,Paramètres!$A$1:$I$89,3,0)*0.475*44/12</f>
        <v>14.940379363562728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54.656043431484171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362.3072544000006</v>
      </c>
      <c r="AK126" s="13">
        <f t="shared" si="89"/>
        <v>84.09158309070763</v>
      </c>
      <c r="AL126" s="20">
        <f t="shared" si="58"/>
        <v>777.4779752963168</v>
      </c>
      <c r="AM126" s="59">
        <f t="shared" si="59"/>
        <v>1070.8113086296501</v>
      </c>
      <c r="AN126" s="59">
        <f ca="1">AVERAGE(OFFSET($AM$3,0,0,'Données projet'!$E$10+1,1))-AVERAGE(OFFSET($H$3,0,0,'Données projet'!$E$10+1,1))</f>
        <v>581.88778927327667</v>
      </c>
      <c r="AO126" s="59">
        <f t="shared" si="90"/>
        <v>269.67340993773422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51.686850636013112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51.686850636013112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300.80663531652721</v>
      </c>
      <c r="T127" s="59">
        <f t="shared" si="88"/>
        <v>306.01967513533549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38.936864119712652</v>
      </c>
      <c r="AA127" s="21">
        <f>EXP(-LN(2)/25)*AA126+(1-EXP(-LN(2)/25))/(LN(2)/25)*Calculateur!V127*Calculateur!X127*VLOOKUP('Données projet'!$B$9,Paramètres!$A$1:$I$89,3,0)*0.475*44/12</f>
        <v>14.531833904185701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53.468698023898355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369.53841600000061</v>
      </c>
      <c r="AK127" s="13">
        <f t="shared" si="89"/>
        <v>85.572866703416025</v>
      </c>
      <c r="AL127" s="20">
        <f t="shared" si="58"/>
        <v>792.65215070845068</v>
      </c>
      <c r="AM127" s="59">
        <f t="shared" si="59"/>
        <v>1085.985484041784</v>
      </c>
      <c r="AN127" s="59">
        <f ca="1">AVERAGE(OFFSET($AM$3,0,0,'Données projet'!$E$10+1,1))-AVERAGE(OFFSET($H$3,0,0,'Données projet'!$E$10+1,1))</f>
        <v>581.88778927327667</v>
      </c>
      <c r="AO127" s="59">
        <f t="shared" si="90"/>
        <v>269.67340993773422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64.229154721898368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64.229154721898368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300.80663531652721</v>
      </c>
      <c r="T128" s="59">
        <f t="shared" si="88"/>
        <v>306.01967513533549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38.173335963467167</v>
      </c>
      <c r="AA128" s="21">
        <f>EXP(-LN(2)/25)*AA127+(1-EXP(-LN(2)/25))/(LN(2)/25)*Calculateur!V128*Calculateur!X128*VLOOKUP('Données projet'!$B$9,Paramètres!$A$1:$I$89,3,0)*0.475*44/12</f>
        <v>14.134460141879812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52.307796105346981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329.31100800000064</v>
      </c>
      <c r="AK128" s="13">
        <f t="shared" si="89"/>
        <v>77.287444180583748</v>
      </c>
      <c r="AL128" s="20">
        <f t="shared" si="58"/>
        <v>708.15897088118447</v>
      </c>
      <c r="AM128" s="59">
        <f t="shared" si="59"/>
        <v>1001.4923042145178</v>
      </c>
      <c r="AN128" s="59">
        <f ca="1">AVERAGE(OFFSET($AM$3,0,0,'Données projet'!$E$10+1,1))-AVERAGE(OFFSET($H$3,0,0,'Données projet'!$E$10+1,1))</f>
        <v>581.88778927327667</v>
      </c>
      <c r="AO128" s="59">
        <f t="shared" si="90"/>
        <v>269.67340993773422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62.969660173718019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62.969660173718019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300.80663531652721</v>
      </c>
      <c r="T129" s="59">
        <f t="shared" si="88"/>
        <v>306.01967513533549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37.424780128659464</v>
      </c>
      <c r="AA129" s="21">
        <f>EXP(-LN(2)/25)*AA128+(1-EXP(-LN(2)/25))/(LN(2)/25)*Calculateur!V129*Calculateur!X129*VLOOKUP('Données projet'!$B$9,Paramètres!$A$1:$I$89,3,0)*0.475*44/12</f>
        <v>13.747952586001155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51.172732714660619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336.61274400000065</v>
      </c>
      <c r="AK129" s="13">
        <f t="shared" si="89"/>
        <v>78.799710600410648</v>
      </c>
      <c r="AL129" s="20">
        <f t="shared" si="58"/>
        <v>723.51002509571629</v>
      </c>
      <c r="AM129" s="59">
        <f t="shared" si="59"/>
        <v>1016.8433584290497</v>
      </c>
      <c r="AN129" s="59">
        <f ca="1">AVERAGE(OFFSET($AM$3,0,0,'Données projet'!$E$10+1,1))-AVERAGE(OFFSET($H$3,0,0,'Données projet'!$E$10+1,1))</f>
        <v>581.88778927327667</v>
      </c>
      <c r="AO129" s="59">
        <f t="shared" si="90"/>
        <v>269.67340993773422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61.73486354541167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61.73486354541167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300.80663531652721</v>
      </c>
      <c r="T130" s="59">
        <f t="shared" si="88"/>
        <v>306.01967513533549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36.690903017198366</v>
      </c>
      <c r="AA130" s="21">
        <f>EXP(-LN(2)/25)*AA129+(1-EXP(-LN(2)/25))/(LN(2)/25)*Calculateur!V130*Calculateur!X130*VLOOKUP('Données projet'!$B$9,Paramètres!$A$1:$I$89,3,0)*0.475*44/12</f>
        <v>13.372014099563549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50.062917116761916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343.91448000000065</v>
      </c>
      <c r="AK130" s="13">
        <f t="shared" si="89"/>
        <v>80.308163160675235</v>
      </c>
      <c r="AL130" s="20">
        <f t="shared" si="58"/>
        <v>738.85443683817709</v>
      </c>
      <c r="AM130" s="59">
        <f t="shared" si="59"/>
        <v>1032.1877701715105</v>
      </c>
      <c r="AN130" s="59">
        <f ca="1">AVERAGE(OFFSET($AM$3,0,0,'Données projet'!$E$10+1,1))-AVERAGE(OFFSET($H$3,0,0,'Données projet'!$E$10+1,1))</f>
        <v>581.88778927327667</v>
      </c>
      <c r="AO130" s="59">
        <f t="shared" si="90"/>
        <v>269.67340993773422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60.524280525834833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60.524280525834833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300.80663531652721</v>
      </c>
      <c r="T131" s="59">
        <f t="shared" si="88"/>
        <v>306.01967513533549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35.97141678827218</v>
      </c>
      <c r="AA131" s="21">
        <f>EXP(-LN(2)/25)*AA130+(1-EXP(-LN(2)/25))/(LN(2)/25)*Calculateur!V131*Calculateur!X131*VLOOKUP('Données projet'!$B$9,Paramètres!$A$1:$I$89,3,0)*0.475*44/12</f>
        <v>13.006355670807324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48.977772459079503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351.2162160000006</v>
      </c>
      <c r="AK131" s="13">
        <f t="shared" si="89"/>
        <v>81.812892161752615</v>
      </c>
      <c r="AL131" s="20">
        <f t="shared" si="58"/>
        <v>754.19236338172016</v>
      </c>
      <c r="AM131" s="59">
        <f t="shared" si="59"/>
        <v>1047.5256967150535</v>
      </c>
      <c r="AN131" s="59">
        <f ca="1">AVERAGE(OFFSET($AM$3,0,0,'Données projet'!$E$10+1,1))-AVERAGE(OFFSET($H$3,0,0,'Données projet'!$E$10+1,1))</f>
        <v>581.88778927327667</v>
      </c>
      <c r="AO131" s="59">
        <f t="shared" si="90"/>
        <v>269.67340993773422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59.337436300889166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59.337436300889166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300.80663531652721</v>
      </c>
      <c r="T132" s="59">
        <f t="shared" si="88"/>
        <v>306.01967513533549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35.266039245451971</v>
      </c>
      <c r="AA132" s="21">
        <f>EXP(-LN(2)/25)*AA131+(1-EXP(-LN(2)/25))/(LN(2)/25)*Calculateur!V132*Calculateur!X132*VLOOKUP('Données projet'!$B$9,Paramètres!$A$1:$I$89,3,0)*0.475*44/12</f>
        <v>12.650696191014578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47.916735436466553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358.51795200000061</v>
      </c>
      <c r="AK132" s="13">
        <f t="shared" si="89"/>
        <v>83.313983934777241</v>
      </c>
      <c r="AL132" s="20">
        <f t="shared" ref="AL132:AL153" si="112">(AJ132+AK132)*0.475*44/12</f>
        <v>769.52395508640473</v>
      </c>
      <c r="AM132" s="59">
        <f t="shared" ref="AM132:AM195" si="113">AL132+(AD132+AE132)*44/12</f>
        <v>1062.8572884197381</v>
      </c>
      <c r="AN132" s="59">
        <f ca="1">AVERAGE(OFFSET($AM$3,0,0,'Données projet'!$E$10+1,1))-AVERAGE(OFFSET($H$3,0,0,'Données projet'!$E$10+1,1))</f>
        <v>581.88778927327667</v>
      </c>
      <c r="AO132" s="59">
        <f t="shared" si="90"/>
        <v>269.67340993773422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58.173865367291185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58.173865367291185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300.80663531652721</v>
      </c>
      <c r="T133" s="59">
        <f t="shared" ref="T133:T196" si="142">$T$3</f>
        <v>306.01967513533549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34.574493726008647</v>
      </c>
      <c r="AA133" s="21">
        <f>EXP(-LN(2)/25)*AA132+(1-EXP(-LN(2)/25))/(LN(2)/25)*Calculateur!V133*Calculateur!X133*VLOOKUP('Données projet'!$B$9,Paramètres!$A$1:$I$89,3,0)*0.475*44/12</f>
        <v>12.304762238400086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46.879255964408735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365.81968800000061</v>
      </c>
      <c r="AK133" s="13">
        <f t="shared" ref="AK133:AK153" si="143">EXP(-1.0587+0.8836*LN(AJ133)+0.284)</f>
        <v>84.811521093342051</v>
      </c>
      <c r="AL133" s="20">
        <f t="shared" si="112"/>
        <v>784.84935583757169</v>
      </c>
      <c r="AM133" s="59">
        <f t="shared" si="113"/>
        <v>1078.182689170905</v>
      </c>
      <c r="AN133" s="59">
        <f ca="1">AVERAGE(OFFSET($AM$3,0,0,'Données projet'!$E$10+1,1))-AVERAGE(OFFSET($H$3,0,0,'Données projet'!$E$10+1,1))</f>
        <v>581.88778927327667</v>
      </c>
      <c r="AO133" s="59">
        <f t="shared" ref="AO133:AO196" si="144">$AO$3</f>
        <v>269.67340993773422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57.033111349992865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57.033111349992865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300.80663531652721</v>
      </c>
      <c r="T134" s="59">
        <f t="shared" si="142"/>
        <v>306.01967513533549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33.896508992400491</v>
      </c>
      <c r="AA134" s="21">
        <f>EXP(-LN(2)/25)*AA133+(1-EXP(-LN(2)/25))/(LN(2)/25)*Calculateur!V134*Calculateur!X134*VLOOKUP('Données projet'!$B$9,Paramètres!$A$1:$I$89,3,0)*0.475*44/12</f>
        <v>11.968287867911712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45.864796860312204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373.12142400000062</v>
      </c>
      <c r="AK134" s="13">
        <f t="shared" si="143"/>
        <v>86.305582764533938</v>
      </c>
      <c r="AL134" s="20">
        <f t="shared" si="112"/>
        <v>800.16870344823099</v>
      </c>
      <c r="AM134" s="59">
        <f t="shared" si="113"/>
        <v>1093.5020367815644</v>
      </c>
      <c r="AN134" s="59">
        <f ca="1">AVERAGE(OFFSET($AM$3,0,0,'Données projet'!$E$10+1,1))-AVERAGE(OFFSET($H$3,0,0,'Données projet'!$E$10+1,1))</f>
        <v>581.88778927327667</v>
      </c>
      <c r="AO134" s="59">
        <f t="shared" si="144"/>
        <v>269.67340993773422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55.914726823182519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55.914726823182519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300.80663531652721</v>
      </c>
      <c r="T135" s="59">
        <f t="shared" si="142"/>
        <v>306.01967513533549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33.231819125888535</v>
      </c>
      <c r="AA135" s="21">
        <f>EXP(-LN(2)/25)*AA134+(1-EXP(-LN(2)/25))/(LN(2)/25)*Calculateur!V135*Calculateur!X135*VLOOKUP('Données projet'!$B$9,Paramètres!$A$1:$I$89,3,0)*0.475*44/12</f>
        <v>11.641014406778762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44.8728335326673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380.42316000000056</v>
      </c>
      <c r="AK135" s="13">
        <f t="shared" si="143"/>
        <v>87.79624480137376</v>
      </c>
      <c r="AL135" s="20">
        <f t="shared" si="112"/>
        <v>815.48213002906016</v>
      </c>
      <c r="AM135" s="59">
        <f t="shared" si="113"/>
        <v>1108.8154633623935</v>
      </c>
      <c r="AN135" s="59">
        <f ca="1">AVERAGE(OFFSET($AM$3,0,0,'Données projet'!$E$10+1,1))-AVERAGE(OFFSET($H$3,0,0,'Données projet'!$E$10+1,1))</f>
        <v>581.88778927327667</v>
      </c>
      <c r="AO135" s="59">
        <f t="shared" si="144"/>
        <v>269.67340993773422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54.818273134795724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54.818273134795724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300.80663531652721</v>
      </c>
      <c r="T136" s="59">
        <f t="shared" si="142"/>
        <v>306.01967513533549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32.580163422238087</v>
      </c>
      <c r="AA136" s="21">
        <f>EXP(-LN(2)/25)*AA135+(1-EXP(-LN(2)/25))/(LN(2)/25)*Calculateur!V136*Calculateur!X136*VLOOKUP('Données projet'!$B$9,Paramètres!$A$1:$I$89,3,0)*0.475*44/12</f>
        <v>11.322690255651056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43.902853677889141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387.72489600000057</v>
      </c>
      <c r="AK136" s="13">
        <f t="shared" si="143"/>
        <v>89.283579978484866</v>
      </c>
      <c r="AL136" s="20">
        <f t="shared" si="112"/>
        <v>830.78976232919547</v>
      </c>
      <c r="AM136" s="59">
        <f t="shared" si="113"/>
        <v>1124.1230956625288</v>
      </c>
      <c r="AN136" s="59">
        <f ca="1">AVERAGE(OFFSET($AM$3,0,0,'Données projet'!$E$10+1,1))-AVERAGE(OFFSET($H$3,0,0,'Données projet'!$E$10+1,1))</f>
        <v>581.88778927327667</v>
      </c>
      <c r="AO136" s="59">
        <f t="shared" si="144"/>
        <v>269.67340993773422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53.743320234467475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53.743320234467475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300.80663531652721</v>
      </c>
      <c r="T137" s="59">
        <f t="shared" si="142"/>
        <v>306.01967513533549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31.941286289465495</v>
      </c>
      <c r="AA137" s="21">
        <f>EXP(-LN(2)/25)*AA136+(1-EXP(-LN(2)/25))/(LN(2)/25)*Calculateur!V137*Calculateur!X137*VLOOKUP('Données projet'!$B$9,Paramètres!$A$1:$I$89,3,0)*0.475*44/12</f>
        <v>11.013070695175875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42.954356984641372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395.02663200000057</v>
      </c>
      <c r="AK137" s="13">
        <f t="shared" si="143"/>
        <v>90.767658172605465</v>
      </c>
      <c r="AL137" s="20">
        <f t="shared" si="112"/>
        <v>846.09172205062214</v>
      </c>
      <c r="AM137" s="59">
        <f t="shared" si="113"/>
        <v>1139.4250553839554</v>
      </c>
      <c r="AN137" s="59">
        <f ca="1">AVERAGE(OFFSET($AM$3,0,0,'Données projet'!$E$10+1,1))-AVERAGE(OFFSET($H$3,0,0,'Données projet'!$E$10+1,1))</f>
        <v>581.88778927327667</v>
      </c>
      <c r="AO137" s="59">
        <f t="shared" si="144"/>
        <v>269.67340993773422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66.869801558531918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66.869801558531918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300.80663531652721</v>
      </c>
      <c r="T138" s="59">
        <f t="shared" si="142"/>
        <v>306.01967513533549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31.314937147590001</v>
      </c>
      <c r="AA138" s="21">
        <f>EXP(-LN(2)/25)*AA137+(1-EXP(-LN(2)/25))/(LN(2)/25)*Calculateur!V138*Calculateur!X138*VLOOKUP('Données projet'!$B$9,Paramètres!$A$1:$I$89,3,0)*0.475*44/12</f>
        <v>10.711917697864074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42.026854845454075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352.69013520000055</v>
      </c>
      <c r="AK138" s="13">
        <f t="shared" si="143"/>
        <v>82.116190931394016</v>
      </c>
      <c r="AL138" s="20">
        <f t="shared" si="112"/>
        <v>757.28768467884549</v>
      </c>
      <c r="AM138" s="59">
        <f t="shared" si="113"/>
        <v>1050.6210180121789</v>
      </c>
      <c r="AN138" s="59">
        <f ca="1">AVERAGE(OFFSET($AM$3,0,0,'Données projet'!$E$10+1,1))-AVERAGE(OFFSET($H$3,0,0,'Données projet'!$E$10+1,1))</f>
        <v>581.88778927327667</v>
      </c>
      <c r="AO138" s="59">
        <f t="shared" si="144"/>
        <v>269.67340993773422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65.558525536520719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65.558525536520719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300.80663531652721</v>
      </c>
      <c r="T139" s="59">
        <f t="shared" si="142"/>
        <v>306.01967513533549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30.700870330351432</v>
      </c>
      <c r="AA139" s="21">
        <f>EXP(-LN(2)/25)*AA138+(1-EXP(-LN(2)/25))/(LN(2)/25)*Calculateur!V139*Calculateur!X139*VLOOKUP('Données projet'!$B$9,Paramètres!$A$1:$I$89,3,0)*0.475*44/12</f>
        <v>10.418999745100711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41.119870075452141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360.07239840000057</v>
      </c>
      <c r="AK139" s="13">
        <f t="shared" si="143"/>
        <v>83.633085567444908</v>
      </c>
      <c r="AL139" s="20">
        <f t="shared" si="112"/>
        <v>772.78705124330099</v>
      </c>
      <c r="AM139" s="59">
        <f t="shared" si="113"/>
        <v>1066.1203845766343</v>
      </c>
      <c r="AN139" s="59">
        <f ca="1">AVERAGE(OFFSET($AM$3,0,0,'Données projet'!$E$10+1,1))-AVERAGE(OFFSET($H$3,0,0,'Données projet'!$E$10+1,1))</f>
        <v>581.88778927327667</v>
      </c>
      <c r="AO139" s="59">
        <f t="shared" si="144"/>
        <v>269.67340993773422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64.272962837501765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64.272962837501765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300.80663531652721</v>
      </c>
      <c r="T140" s="59">
        <f t="shared" si="142"/>
        <v>306.01967513533549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30.098844988855134</v>
      </c>
      <c r="AA140" s="21">
        <f>EXP(-LN(2)/25)*AA139+(1-EXP(-LN(2)/25))/(LN(2)/25)*Calculateur!V140*Calculateur!X140*VLOOKUP('Données projet'!$B$9,Paramètres!$A$1:$I$89,3,0)*0.475*44/12</f>
        <v>10.134091649159549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40.232936638014685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367.45466160000058</v>
      </c>
      <c r="AK140" s="13">
        <f t="shared" si="143"/>
        <v>85.146364255773364</v>
      </c>
      <c r="AL140" s="20">
        <f t="shared" si="112"/>
        <v>788.28012003213962</v>
      </c>
      <c r="AM140" s="59">
        <f t="shared" si="113"/>
        <v>1081.6134533654729</v>
      </c>
      <c r="AN140" s="59">
        <f ca="1">AVERAGE(OFFSET($AM$3,0,0,'Données projet'!$E$10+1,1))-AVERAGE(OFFSET($H$3,0,0,'Données projet'!$E$10+1,1))</f>
        <v>581.88778927327667</v>
      </c>
      <c r="AO140" s="59">
        <f t="shared" si="144"/>
        <v>269.67340993773422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63.012609238894747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63.012609238894747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300.80663531652721</v>
      </c>
      <c r="T141" s="59">
        <f t="shared" si="142"/>
        <v>306.01967513533549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29.508624997106377</v>
      </c>
      <c r="AA141" s="21">
        <f>EXP(-LN(2)/25)*AA140+(1-EXP(-LN(2)/25))/(LN(2)/25)*Calculateur!V141*Calculateur!X141*VLOOKUP('Données projet'!$B$9,Paramètres!$A$1:$I$89,3,0)*0.475*44/12</f>
        <v>9.8569743800845622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39.365599377190939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374.83692480000053</v>
      </c>
      <c r="AK141" s="13">
        <f t="shared" si="143"/>
        <v>86.656108013910185</v>
      </c>
      <c r="AL141" s="20">
        <f t="shared" si="112"/>
        <v>803.76703215089447</v>
      </c>
      <c r="AM141" s="59">
        <f t="shared" si="113"/>
        <v>1097.1003654842277</v>
      </c>
      <c r="AN141" s="59">
        <f ca="1">AVERAGE(OFFSET($AM$3,0,0,'Données projet'!$E$10+1,1))-AVERAGE(OFFSET($H$3,0,0,'Données projet'!$E$10+1,1))</f>
        <v>581.88778927327667</v>
      </c>
      <c r="AO141" s="59">
        <f t="shared" si="144"/>
        <v>269.67340993773422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61.776970405616623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61.776970405616623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300.80663531652721</v>
      </c>
      <c r="T142" s="59">
        <f t="shared" si="142"/>
        <v>306.01967513533549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28.929978859397167</v>
      </c>
      <c r="AA142" s="21">
        <f>EXP(-LN(2)/25)*AA141+(1-EXP(-LN(2)/25))/(LN(2)/25)*Calculateur!V142*Calculateur!X142*VLOOKUP('Données projet'!$B$9,Paramètres!$A$1:$I$89,3,0)*0.475*44/12</f>
        <v>9.5874348973053962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38.517413756702567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382.21918800000054</v>
      </c>
      <c r="AK142" s="13">
        <f t="shared" si="143"/>
        <v>88.162394485655341</v>
      </c>
      <c r="AL142" s="20">
        <f t="shared" si="112"/>
        <v>819.24792282918395</v>
      </c>
      <c r="AM142" s="59">
        <f t="shared" si="113"/>
        <v>1112.5812561625173</v>
      </c>
      <c r="AN142" s="59">
        <f ca="1">AVERAGE(OFFSET($AM$3,0,0,'Données projet'!$E$10+1,1))-AVERAGE(OFFSET($H$3,0,0,'Données projet'!$E$10+1,1))</f>
        <v>581.88778927327667</v>
      </c>
      <c r="AO142" s="59">
        <f t="shared" si="144"/>
        <v>269.67340993773422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60.565561696193818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60.565561696193818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300.80663531652721</v>
      </c>
      <c r="T143" s="59">
        <f t="shared" si="142"/>
        <v>306.01967513533549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28.362679619509141</v>
      </c>
      <c r="AA143" s="21">
        <f>EXP(-LN(2)/25)*AA142+(1-EXP(-LN(2)/25))/(LN(2)/25)*Calculateur!V143*Calculateur!X143*VLOOKUP('Données projet'!$B$9,Paramètres!$A$1:$I$89,3,0)*0.475*44/12</f>
        <v>9.3252659858572908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37.68794560536643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389.60145120000055</v>
      </c>
      <c r="AK143" s="13">
        <f t="shared" si="143"/>
        <v>89.665298143968485</v>
      </c>
      <c r="AL143" s="20">
        <f t="shared" si="112"/>
        <v>834.72292177407928</v>
      </c>
      <c r="AM143" s="59">
        <f t="shared" si="113"/>
        <v>1128.0562551074127</v>
      </c>
      <c r="AN143" s="59">
        <f ca="1">AVERAGE(OFFSET($AM$3,0,0,'Données projet'!$E$10+1,1))-AVERAGE(OFFSET($H$3,0,0,'Données projet'!$E$10+1,1))</f>
        <v>581.88778927327667</v>
      </c>
      <c r="AO143" s="59">
        <f t="shared" si="144"/>
        <v>269.67340993773422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59.377907972676439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59.377907972676439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300.80663531652721</v>
      </c>
      <c r="T144" s="59">
        <f t="shared" si="142"/>
        <v>306.01967513533549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27.806504771696947</v>
      </c>
      <c r="AA144" s="21">
        <f>EXP(-LN(2)/25)*AA143+(1-EXP(-LN(2)/25))/(LN(2)/25)*Calculateur!V144*Calculateur!X144*VLOOKUP('Données projet'!$B$9,Paramètres!$A$1:$I$89,3,0)*0.475*44/12</f>
        <v>9.0702660970795979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36.876770868776546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396.98371440000057</v>
      </c>
      <c r="AK144" s="13">
        <f t="shared" si="143"/>
        <v>91.164890478045521</v>
      </c>
      <c r="AL144" s="20">
        <f t="shared" si="112"/>
        <v>850.19215349593026</v>
      </c>
      <c r="AM144" s="59">
        <f t="shared" si="113"/>
        <v>1143.5254868292636</v>
      </c>
      <c r="AN144" s="59">
        <f ca="1">AVERAGE(OFFSET($AM$3,0,0,'Données projet'!$E$10+1,1))-AVERAGE(OFFSET($H$3,0,0,'Données projet'!$E$10+1,1))</f>
        <v>581.88778927327667</v>
      </c>
      <c r="AO144" s="59">
        <f t="shared" si="144"/>
        <v>269.67340993773422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58.213543414279989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58.213543414279989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300.80663531652721</v>
      </c>
      <c r="T145" s="59">
        <f t="shared" si="142"/>
        <v>306.01967513533549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27.261236173417192</v>
      </c>
      <c r="AA145" s="21">
        <f>EXP(-LN(2)/25)*AA144+(1-EXP(-LN(2)/25))/(LN(2)/25)*Calculateur!V145*Calculateur!X145*VLOOKUP('Données projet'!$B$9,Paramètres!$A$1:$I$89,3,0)*0.475*44/12</f>
        <v>8.8222391936703932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36.083475367087587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404.36597760000052</v>
      </c>
      <c r="AK145" s="13">
        <f t="shared" si="143"/>
        <v>92.66124016608812</v>
      </c>
      <c r="AL145" s="20">
        <f t="shared" si="112"/>
        <v>865.655737609271</v>
      </c>
      <c r="AM145" s="59">
        <f t="shared" si="113"/>
        <v>1158.9890709426043</v>
      </c>
      <c r="AN145" s="59">
        <f ca="1">AVERAGE(OFFSET($AM$3,0,0,'Données projet'!$E$10+1,1))-AVERAGE(OFFSET($H$3,0,0,'Données projet'!$E$10+1,1))</f>
        <v>581.88778927327667</v>
      </c>
      <c r="AO145" s="59">
        <f t="shared" si="144"/>
        <v>269.67340993773422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57.072011334681441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57.072011334681441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300.80663531652721</v>
      </c>
      <c r="T146" s="59">
        <f t="shared" si="142"/>
        <v>306.01967513533549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26.726659959768696</v>
      </c>
      <c r="AA146" s="21">
        <f>EXP(-LN(2)/25)*AA145+(1-EXP(-LN(2)/25))/(LN(2)/25)*Calculateur!V146*Calculateur!X146*VLOOKUP('Données projet'!$B$9,Paramètres!$A$1:$I$89,3,0)*0.475*44/12</f>
        <v>8.58099459897808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35.307654558746776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411.74824080000053</v>
      </c>
      <c r="AK146" s="13">
        <f t="shared" si="143"/>
        <v>94.15441323509782</v>
      </c>
      <c r="AL146" s="20">
        <f t="shared" si="112"/>
        <v>881.11378911112968</v>
      </c>
      <c r="AM146" s="59">
        <f t="shared" si="113"/>
        <v>1174.447122444463</v>
      </c>
      <c r="AN146" s="59">
        <f ca="1">AVERAGE(OFFSET($AM$3,0,0,'Données projet'!$E$10+1,1))-AVERAGE(OFFSET($H$3,0,0,'Données projet'!$E$10+1,1))</f>
        <v>581.88778927327667</v>
      </c>
      <c r="AO146" s="59">
        <f t="shared" si="144"/>
        <v>269.67340993773422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55.952864002898004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55.952864002898004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300.80663531652721</v>
      </c>
      <c r="T147" s="59">
        <f t="shared" si="142"/>
        <v>306.01967513533549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26.202566459610551</v>
      </c>
      <c r="AA147" s="21">
        <f>EXP(-LN(2)/25)*AA146+(1-EXP(-LN(2)/25))/(LN(2)/25)*Calculateur!V147*Calculateur!X147*VLOOKUP('Données projet'!$B$9,Paramètres!$A$1:$I$89,3,0)*0.475*44/12</f>
        <v>8.3463468504141307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34.54891331002468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419.13050400000049</v>
      </c>
      <c r="AK147" s="13">
        <f t="shared" si="143"/>
        <v>95.644473208887277</v>
      </c>
      <c r="AL147" s="20">
        <f t="shared" si="112"/>
        <v>896.56641863881293</v>
      </c>
      <c r="AM147" s="59">
        <f t="shared" si="113"/>
        <v>1189.8997519721463</v>
      </c>
      <c r="AN147" s="59">
        <f ca="1">AVERAGE(OFFSET($AM$3,0,0,'Données projet'!$E$10+1,1))-AVERAGE(OFFSET($H$3,0,0,'Données projet'!$E$10+1,1))</f>
        <v>581.88778927327667</v>
      </c>
      <c r="AO147" s="59">
        <f t="shared" si="144"/>
        <v>269.67340993773422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69.309560312196439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69.309560312196439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300.80663531652721</v>
      </c>
      <c r="T148" s="59">
        <f t="shared" si="142"/>
        <v>306.01967513533549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25.688750113325039</v>
      </c>
      <c r="AA148" s="21">
        <f>EXP(-LN(2)/25)*AA147+(1-EXP(-LN(2)/25))/(LN(2)/25)*Calculateur!V148*Calculateur!X148*VLOOKUP('Données projet'!$B$9,Paramètres!$A$1:$I$89,3,0)*0.475*44/12</f>
        <v>8.1181155568742511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33.806865670199286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375.98511600000052</v>
      </c>
      <c r="AK148" s="13">
        <f t="shared" si="143"/>
        <v>86.890611547517153</v>
      </c>
      <c r="AL148" s="20">
        <f t="shared" si="112"/>
        <v>806.17522547859323</v>
      </c>
      <c r="AM148" s="59">
        <f t="shared" si="113"/>
        <v>1099.5085588119266</v>
      </c>
      <c r="AN148" s="59">
        <f ca="1">AVERAGE(OFFSET($AM$3,0,0,'Données projet'!$E$10+1,1))-AVERAGE(OFFSET($H$3,0,0,'Données projet'!$E$10+1,1))</f>
        <v>581.88778927327667</v>
      </c>
      <c r="AO148" s="59">
        <f t="shared" si="144"/>
        <v>269.67340993773422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67.950442109131785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67.950442109131785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300.80663531652721</v>
      </c>
      <c r="T149" s="59">
        <f t="shared" si="142"/>
        <v>306.01967513533549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25.185009392193159</v>
      </c>
      <c r="AA149" s="21">
        <f>EXP(-LN(2)/25)*AA148+(1-EXP(-LN(2)/25))/(LN(2)/25)*Calculateur!V149*Calculateur!X149*VLOOKUP('Données projet'!$B$9,Paramètres!$A$1:$I$89,3,0)*0.475*44/12</f>
        <v>7.8961252600583816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33.081134652251542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383.51757600000053</v>
      </c>
      <c r="AK149" s="13">
        <f t="shared" si="143"/>
        <v>88.426967368766455</v>
      </c>
      <c r="AL149" s="20">
        <f t="shared" si="112"/>
        <v>821.97007970060247</v>
      </c>
      <c r="AM149" s="59">
        <f t="shared" si="113"/>
        <v>1115.3034130339358</v>
      </c>
      <c r="AN149" s="59">
        <f ca="1">AVERAGE(OFFSET($AM$3,0,0,'Données projet'!$E$10+1,1))-AVERAGE(OFFSET($H$3,0,0,'Données projet'!$E$10+1,1))</f>
        <v>581.88778927327667</v>
      </c>
      <c r="AO149" s="59">
        <f t="shared" si="144"/>
        <v>269.67340993773422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66.617975385048979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66.617975385048979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300.80663531652721</v>
      </c>
      <c r="T150" s="59">
        <f t="shared" si="142"/>
        <v>306.01967513533549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24.691146719351174</v>
      </c>
      <c r="AA150" s="21">
        <f>EXP(-LN(2)/25)*AA149+(1-EXP(-LN(2)/25))/(LN(2)/25)*Calculateur!V150*Calculateur!X150*VLOOKUP('Données projet'!$B$9,Paramètres!$A$1:$I$89,3,0)*0.475*44/12</f>
        <v>7.6802052995829042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32.371352018934076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391.05003600000049</v>
      </c>
      <c r="AK150" s="13">
        <f t="shared" si="143"/>
        <v>89.959814624965674</v>
      </c>
      <c r="AL150" s="20">
        <f t="shared" si="112"/>
        <v>837.75882317181595</v>
      </c>
      <c r="AM150" s="59">
        <f t="shared" si="113"/>
        <v>1131.0921565051492</v>
      </c>
      <c r="AN150" s="59">
        <f ca="1">AVERAGE(OFFSET($AM$3,0,0,'Données projet'!$E$10+1,1))-AVERAGE(OFFSET($H$3,0,0,'Données projet'!$E$10+1,1))</f>
        <v>581.88778927327667</v>
      </c>
      <c r="AO150" s="59">
        <f t="shared" si="144"/>
        <v>269.67340993773422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65.311637520700984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65.311637520700984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300.80663531652721</v>
      </c>
      <c r="T151" s="59">
        <f t="shared" si="142"/>
        <v>306.01967513533549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24.206968392297135</v>
      </c>
      <c r="AA151" s="21">
        <f>EXP(-LN(2)/25)*AA150+(1-EXP(-LN(2)/25))/(LN(2)/25)*Calculateur!V151*Calculateur!X151*VLOOKUP('Données projet'!$B$9,Paramètres!$A$1:$I$89,3,0)*0.475*44/12</f>
        <v>7.470189681781366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31.677158074078502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398.5824960000005</v>
      </c>
      <c r="AK151" s="13">
        <f t="shared" si="143"/>
        <v>91.489228690064536</v>
      </c>
      <c r="AL151" s="20">
        <f t="shared" si="112"/>
        <v>853.54158716852999</v>
      </c>
      <c r="AM151" s="59">
        <f t="shared" si="113"/>
        <v>1146.8749205018632</v>
      </c>
      <c r="AN151" s="59">
        <f ca="1">AVERAGE(OFFSET($AM$3,0,0,'Données projet'!$E$10+1,1))-AVERAGE(OFFSET($H$3,0,0,'Données projet'!$E$10+1,1))</f>
        <v>581.88778927327667</v>
      </c>
      <c r="AO151" s="59">
        <f t="shared" si="144"/>
        <v>269.67340993773422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64.030916145085428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64.030916145085428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300.80663531652721</v>
      </c>
      <c r="T152" s="59">
        <f t="shared" si="142"/>
        <v>306.01967513533549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23.732284506917004</v>
      </c>
      <c r="AA152" s="21">
        <f>EXP(-LN(2)/25)*AA151+(1-EXP(-LN(2)/25))/(LN(2)/25)*Calculateur!V152*Calculateur!X152*VLOOKUP('Données projet'!$B$9,Paramètres!$A$1:$I$89,3,0)*0.475*44/12</f>
        <v>7.2659169520928524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30.998201459009856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406.11495600000046</v>
      </c>
      <c r="AK152" s="13">
        <f t="shared" si="143"/>
        <v>93.015281926133852</v>
      </c>
      <c r="AL152" s="20">
        <f t="shared" si="112"/>
        <v>869.31849772135058</v>
      </c>
      <c r="AM152" s="59">
        <f t="shared" si="113"/>
        <v>1162.651831054684</v>
      </c>
      <c r="AN152" s="59">
        <f ca="1">AVERAGE(OFFSET($AM$3,0,0,'Données projet'!$E$10+1,1))-AVERAGE(OFFSET($H$3,0,0,'Données projet'!$E$10+1,1))</f>
        <v>581.88778927327667</v>
      </c>
      <c r="AO152" s="59">
        <f t="shared" si="144"/>
        <v>269.67340993773422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62.775308934482787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62.775308934482787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300.80663531652721</v>
      </c>
      <c r="T153" s="59">
        <f t="shared" si="142"/>
        <v>306.01967513533549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23.266908883000596</v>
      </c>
      <c r="AA153" s="21">
        <f>EXP(-LN(2)/25)*AA152+(1-EXP(-LN(2)/25))/(LN(2)/25)*Calculateur!V153*Calculateur!X153*VLOOKUP('Données projet'!$B$9,Paramètres!$A$1:$I$89,3,0)*0.475*44/12</f>
        <v>7.0672300709399076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30.334138953940503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413.64741600000042</v>
      </c>
      <c r="AK153" s="13">
        <f t="shared" si="143"/>
        <v>94.538043857309361</v>
      </c>
      <c r="AL153" s="20">
        <f t="shared" si="112"/>
        <v>885.0896759181478</v>
      </c>
      <c r="AM153" s="59">
        <f t="shared" si="113"/>
        <v>1178.4230092514811</v>
      </c>
      <c r="AN153" s="59">
        <f ca="1">AVERAGE(OFFSET($AM$3,0,0,'Données projet'!$E$10+1,1))-AVERAGE(OFFSET($H$3,0,0,'Données projet'!$E$10+1,1))</f>
        <v>581.88778927327667</v>
      </c>
      <c r="AO153" s="59">
        <f t="shared" si="144"/>
        <v>269.67340993773422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61.544323415435287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61.544323415435287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300.80663531652721</v>
      </c>
      <c r="T154" s="59">
        <f t="shared" si="142"/>
        <v>306.01967513533549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22.810658991218087</v>
      </c>
      <c r="AA154" s="21">
        <f>EXP(-LN(2)/25)*AA153+(1-EXP(-LN(2)/25))/(LN(2)/25)*Calculateur!V154*Calculateur!X154*VLOOKUP('Données projet'!$B$9,Paramètres!$A$1:$I$89,3,0)*0.475*44/12</f>
        <v>6.8739762930005792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29.684635284218665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421.17987600000043</v>
      </c>
      <c r="AK154" s="13">
        <f t="shared" ref="AK154:AK203" si="164">EXP(-1.0587+0.8836*LN(AJ154)+0.284)</f>
        <v>96.057581330707137</v>
      </c>
      <c r="AL154" s="20">
        <f t="shared" ref="AL154:AL203" si="165">(AJ154+AK154)*0.475*44/12</f>
        <v>900.85523818431557</v>
      </c>
      <c r="AM154" s="59">
        <f t="shared" si="113"/>
        <v>1194.1885715176488</v>
      </c>
      <c r="AN154" s="59">
        <f ca="1">AVERAGE(OFFSET($AM$3,0,0,'Données projet'!$E$10+1,1))-AVERAGE(OFFSET($H$3,0,0,'Données projet'!$E$10+1,1))</f>
        <v>581.88778927327667</v>
      </c>
      <c r="AO154" s="59">
        <f t="shared" si="144"/>
        <v>269.67340993773422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60.33747677158928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60.33747677158928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300.80663531652721</v>
      </c>
      <c r="T155" s="59">
        <f t="shared" si="142"/>
        <v>306.01967513533549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22.363355881528477</v>
      </c>
      <c r="AA155" s="21">
        <f>EXP(-LN(2)/25)*AA154+(1-EXP(-LN(2)/25))/(LN(2)/25)*Calculateur!V155*Calculateur!X155*VLOOKUP('Données projet'!$B$9,Paramètres!$A$1:$I$89,3,0)*0.475*44/12</f>
        <v>6.6860070497817761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29.049362931310252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428.71233600000051</v>
      </c>
      <c r="AK155" s="13">
        <f t="shared" si="164"/>
        <v>97.57395866550209</v>
      </c>
      <c r="AL155" s="20">
        <f t="shared" si="165"/>
        <v>916.61529654241701</v>
      </c>
      <c r="AM155" s="59">
        <f t="shared" si="113"/>
        <v>1209.9486298757504</v>
      </c>
      <c r="AN155" s="59">
        <f ca="1">AVERAGE(OFFSET($AM$3,0,0,'Données projet'!$E$10+1,1))-AVERAGE(OFFSET($H$3,0,0,'Données projet'!$E$10+1,1))</f>
        <v>581.88778927327667</v>
      </c>
      <c r="AO155" s="59">
        <f t="shared" si="144"/>
        <v>269.67340993773422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59.154295654325324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59.154295654325324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300.80663531652721</v>
      </c>
      <c r="T156" s="59">
        <f t="shared" si="142"/>
        <v>306.01967513533549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21.924824112991924</v>
      </c>
      <c r="AA156" s="21">
        <f>EXP(-LN(2)/25)*AA155+(1-EXP(-LN(2)/25))/(LN(2)/25)*Calculateur!V156*Calculateur!X156*VLOOKUP('Données projet'!$B$9,Paramètres!$A$1:$I$89,3,0)*0.475*44/12</f>
        <v>6.5031778354036636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28.42800194839559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436.24479600000041</v>
      </c>
      <c r="AK156" s="13">
        <f t="shared" si="164"/>
        <v>99.087237791231857</v>
      </c>
      <c r="AL156" s="20">
        <f t="shared" si="165"/>
        <v>932.36995885306271</v>
      </c>
      <c r="AM156" s="59">
        <f t="shared" si="113"/>
        <v>1225.7032921863961</v>
      </c>
      <c r="AN156" s="59">
        <f ca="1">AVERAGE(OFFSET($AM$3,0,0,'Données projet'!$E$10+1,1))-AVERAGE(OFFSET($H$3,0,0,'Données projet'!$E$10+1,1))</f>
        <v>581.88778927327667</v>
      </c>
      <c r="AO156" s="59">
        <f t="shared" si="144"/>
        <v>269.67340993773422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57.994315997101694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57.994315997101694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300.80663531652721</v>
      </c>
      <c r="T157" s="59">
        <f t="shared" si="142"/>
        <v>306.01967513533549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21.494891684958404</v>
      </c>
      <c r="AA157" s="21">
        <f>EXP(-LN(2)/25)*AA156+(1-EXP(-LN(2)/25))/(LN(2)/25)*Calculateur!V157*Calculateur!X157*VLOOKUP('Données projet'!$B$9,Paramètres!$A$1:$I$89,3,0)*0.475*44/12</f>
        <v>6.3253480955072909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27.820239780465695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443.77725600000048</v>
      </c>
      <c r="AK157" s="13">
        <f t="shared" si="164"/>
        <v>100.59747837627934</v>
      </c>
      <c r="AL157" s="20">
        <f t="shared" si="165"/>
        <v>948.11932903868717</v>
      </c>
      <c r="AM157" s="59">
        <f t="shared" si="113"/>
        <v>1241.4526623720205</v>
      </c>
      <c r="AN157" s="59">
        <f ca="1">AVERAGE(OFFSET($AM$3,0,0,'Données projet'!$E$10+1,1))-AVERAGE(OFFSET($H$3,0,0,'Données projet'!$E$10+1,1))</f>
        <v>581.88778927327667</v>
      </c>
      <c r="AO157" s="59">
        <f t="shared" si="144"/>
        <v>269.67340993773422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71.083888549708462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71.083888549708462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300.80663531652721</v>
      </c>
      <c r="T158" s="59">
        <f t="shared" si="142"/>
        <v>306.01967513533549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21.073389969605735</v>
      </c>
      <c r="AA158" s="21">
        <f>EXP(-LN(2)/25)*AA157+(1-EXP(-LN(2)/25))/(LN(2)/25)*Calculateur!V158*Calculateur!X158*VLOOKUP('Données projet'!$B$9,Paramètres!$A$1:$I$89,3,0)*0.475*44/12</f>
        <v>6.1523811192000446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27.225771088805779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401.53485840000047</v>
      </c>
      <c r="AK158" s="13">
        <f t="shared" si="164"/>
        <v>92.087764815279797</v>
      </c>
      <c r="AL158" s="20">
        <f t="shared" si="165"/>
        <v>859.72606876661303</v>
      </c>
      <c r="AM158" s="59">
        <f t="shared" si="113"/>
        <v>1153.0594020999463</v>
      </c>
      <c r="AN158" s="59">
        <f ca="1">AVERAGE(OFFSET($AM$3,0,0,'Données projet'!$E$10+1,1))-AVERAGE(OFFSET($H$3,0,0,'Données projet'!$E$10+1,1))</f>
        <v>581.88778927327667</v>
      </c>
      <c r="AO158" s="59">
        <f t="shared" si="144"/>
        <v>269.67340993773422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69.689976852139552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69.689976852139552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300.80663531652721</v>
      </c>
      <c r="T159" s="59">
        <f t="shared" si="142"/>
        <v>306.01967513533549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20.66015364580047</v>
      </c>
      <c r="AA159" s="21">
        <f>EXP(-LN(2)/25)*AA158+(1-EXP(-LN(2)/25))/(LN(2)/25)*Calculateur!V159*Calculateur!X159*VLOOKUP('Données projet'!$B$9,Paramètres!$A$1:$I$89,3,0)*0.475*44/12</f>
        <v>5.984143933955858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26.644297579756326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409.1740848000004</v>
      </c>
      <c r="AK159" s="13">
        <f t="shared" si="164"/>
        <v>93.634108404325715</v>
      </c>
      <c r="AL159" s="20">
        <f t="shared" si="165"/>
        <v>875.72426983086791</v>
      </c>
      <c r="AM159" s="59">
        <f t="shared" si="113"/>
        <v>1169.0576031642013</v>
      </c>
      <c r="AN159" s="59">
        <f ca="1">AVERAGE(OFFSET($AM$3,0,0,'Données projet'!$E$10+1,1))-AVERAGE(OFFSET($H$3,0,0,'Données projet'!$E$10+1,1))</f>
        <v>581.88778927327667</v>
      </c>
      <c r="AO159" s="59">
        <f t="shared" si="144"/>
        <v>269.67340993773422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68.323398912757781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68.323398912757781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300.80663531652721</v>
      </c>
      <c r="T160" s="59">
        <f t="shared" si="142"/>
        <v>306.01967513533549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20.255020634255757</v>
      </c>
      <c r="AA160" s="21">
        <f>EXP(-LN(2)/25)*AA159+(1-EXP(-LN(2)/25))/(LN(2)/25)*Calculateur!V160*Calculateur!X160*VLOOKUP('Données projet'!$B$9,Paramètres!$A$1:$I$89,3,0)*0.475*44/12</f>
        <v>5.8205072033893828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26.07552783764514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416.81331120000038</v>
      </c>
      <c r="AK160" s="13">
        <f t="shared" si="164"/>
        <v>95.177094964322421</v>
      </c>
      <c r="AL160" s="20">
        <f t="shared" si="165"/>
        <v>891.71662406952885</v>
      </c>
      <c r="AM160" s="59">
        <f t="shared" si="113"/>
        <v>1185.0499574028622</v>
      </c>
      <c r="AN160" s="59">
        <f ca="1">AVERAGE(OFFSET($AM$3,0,0,'Données projet'!$E$10+1,1))-AVERAGE(OFFSET($H$3,0,0,'Données projet'!$E$10+1,1))</f>
        <v>581.88778927327667</v>
      </c>
      <c r="AO160" s="59">
        <f t="shared" si="144"/>
        <v>269.67340993773422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66.983618733237051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66.983618733237051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300.80663531652721</v>
      </c>
      <c r="T161" s="59">
        <f t="shared" si="142"/>
        <v>306.01967513533549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19.857832033960698</v>
      </c>
      <c r="AA161" s="21">
        <f>EXP(-LN(2)/25)*AA160+(1-EXP(-LN(2)/25))/(LN(2)/25)*Calculateur!V161*Calculateur!X161*VLOOKUP('Données projet'!$B$9,Paramètres!$A$1:$I$89,3,0)*0.475*44/12</f>
        <v>5.6613451278255296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25.519177161786228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424.45253760000043</v>
      </c>
      <c r="AK161" s="13">
        <f t="shared" si="164"/>
        <v>96.716793118095666</v>
      </c>
      <c r="AL161" s="20">
        <f t="shared" si="165"/>
        <v>907.70325100068385</v>
      </c>
      <c r="AM161" s="59">
        <f t="shared" si="113"/>
        <v>1201.0365843340171</v>
      </c>
      <c r="AN161" s="59">
        <f ca="1">AVERAGE(OFFSET($AM$3,0,0,'Données projet'!$E$10+1,1))-AVERAGE(OFFSET($H$3,0,0,'Données projet'!$E$10+1,1))</f>
        <v>581.88778927327667</v>
      </c>
      <c r="AO161" s="59">
        <f t="shared" si="144"/>
        <v>269.67340993773422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65.670110825851509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65.670110825851509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300.80663531652721</v>
      </c>
      <c r="T162" s="59">
        <f t="shared" si="142"/>
        <v>306.01967513533549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19.468432059856301</v>
      </c>
      <c r="AA162" s="21">
        <f>EXP(-LN(2)/25)*AA161+(1-EXP(-LN(2)/25))/(LN(2)/25)*Calculateur!V162*Calculateur!X162*VLOOKUP('Données projet'!$B$9,Paramètres!$A$1:$I$89,3,0)*0.475*44/12</f>
        <v>5.5065353475879393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24.97496740744424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432.09176400000035</v>
      </c>
      <c r="AK162" s="13">
        <f t="shared" si="164"/>
        <v>98.253268876899142</v>
      </c>
      <c r="AL162" s="20">
        <f t="shared" si="165"/>
        <v>923.68426559393322</v>
      </c>
      <c r="AM162" s="59">
        <f t="shared" si="113"/>
        <v>1217.0175989272666</v>
      </c>
      <c r="AN162" s="59">
        <f ca="1">AVERAGE(OFFSET($AM$3,0,0,'Données projet'!$E$10+1,1))-AVERAGE(OFFSET($H$3,0,0,'Données projet'!$E$10+1,1))</f>
        <v>581.88778927327667</v>
      </c>
      <c r="AO162" s="59">
        <f t="shared" si="144"/>
        <v>269.67340993773422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64.382360007369087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64.382360007369087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300.80663531652721</v>
      </c>
      <c r="T163" s="59">
        <f t="shared" si="142"/>
        <v>306.01967513533549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19.086667981733559</v>
      </c>
      <c r="AA163" s="21">
        <f>EXP(-LN(2)/25)*AA162+(1-EXP(-LN(2)/25))/(LN(2)/25)*Calculateur!V163*Calculateur!X163*VLOOKUP('Données projet'!$B$9,Paramètres!$A$1:$I$89,3,0)*0.475*44/12</f>
        <v>5.3559588489320387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24.442626830665596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439.73099040000034</v>
      </c>
      <c r="AK163" s="13">
        <f t="shared" si="164"/>
        <v>99.786585784186272</v>
      </c>
      <c r="AL163" s="20">
        <f t="shared" si="165"/>
        <v>939.65977852079175</v>
      </c>
      <c r="AM163" s="59">
        <f t="shared" si="113"/>
        <v>1232.9931118541251</v>
      </c>
      <c r="AN163" s="59">
        <f ca="1">AVERAGE(OFFSET($AM$3,0,0,'Données projet'!$E$10+1,1))-AVERAGE(OFFSET($H$3,0,0,'Données projet'!$E$10+1,1))</f>
        <v>581.88778927327667</v>
      </c>
      <c r="AO163" s="59">
        <f t="shared" si="144"/>
        <v>269.67340993773422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63.119861196986655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63.119861196986655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300.80663531652721</v>
      </c>
      <c r="T164" s="59">
        <f t="shared" si="142"/>
        <v>306.01967513533549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18.712390064329707</v>
      </c>
      <c r="AA164" s="21">
        <f>EXP(-LN(2)/25)*AA163+(1-EXP(-LN(2)/25))/(LN(2)/25)*Calculateur!V164*Calculateur!X164*VLOOKUP('Données projet'!$B$9,Paramètres!$A$1:$I$89,3,0)*0.475*44/12</f>
        <v>5.2094998725503574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23.921889936880063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447.37021680000026</v>
      </c>
      <c r="AK164" s="13">
        <f t="shared" si="164"/>
        <v>101.3168050491076</v>
      </c>
      <c r="AL164" s="20">
        <f t="shared" si="165"/>
        <v>955.62989638719603</v>
      </c>
      <c r="AM164" s="59">
        <f t="shared" si="113"/>
        <v>1248.9632297205294</v>
      </c>
      <c r="AN164" s="59">
        <f ca="1">AVERAGE(OFFSET($AM$3,0,0,'Données projet'!$E$10+1,1))-AVERAGE(OFFSET($H$3,0,0,'Données projet'!$E$10+1,1))</f>
        <v>581.88778927327667</v>
      </c>
      <c r="AO164" s="59">
        <f t="shared" si="144"/>
        <v>269.67340993773422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61.882119218227587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61.882119218227587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300.80663531652721</v>
      </c>
      <c r="T165" s="59">
        <f t="shared" si="142"/>
        <v>306.01967513533549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18.345451508599158</v>
      </c>
      <c r="AA165" s="21">
        <f>EXP(-LN(2)/25)*AA164+(1-EXP(-LN(2)/25))/(LN(2)/25)*Calculateur!V165*Calculateur!X165*VLOOKUP('Données projet'!$B$9,Paramètres!$A$1:$I$89,3,0)*0.475*44/12</f>
        <v>5.0670458245797763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23.412497333178933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455.00944320000031</v>
      </c>
      <c r="AK165" s="13">
        <f t="shared" si="164"/>
        <v>102.84398567063174</v>
      </c>
      <c r="AL165" s="20">
        <f t="shared" si="165"/>
        <v>971.59472194968396</v>
      </c>
      <c r="AM165" s="59">
        <f t="shared" si="113"/>
        <v>1264.9280552830173</v>
      </c>
      <c r="AN165" s="59">
        <f ca="1">AVERAGE(OFFSET($AM$3,0,0,'Données projet'!$E$10+1,1))-AVERAGE(OFFSET($H$3,0,0,'Données projet'!$E$10+1,1))</f>
        <v>581.88778927327667</v>
      </c>
      <c r="AO165" s="59">
        <f t="shared" si="144"/>
        <v>269.67340993773422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60.66864860472392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60.66864860472392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300.80663531652721</v>
      </c>
      <c r="T166" s="59">
        <f t="shared" si="142"/>
        <v>306.01967513533549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17.985708394136065</v>
      </c>
      <c r="AA166" s="21">
        <f>EXP(-LN(2)/25)*AA165+(1-EXP(-LN(2)/25))/(LN(2)/25)*Calculateur!V166*Calculateur!X166*VLOOKUP('Données projet'!$B$9,Paramètres!$A$1:$I$89,3,0)*0.475*44/12</f>
        <v>4.9284871900422829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22.914195584178348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462.64866960000029</v>
      </c>
      <c r="AK166" s="13">
        <f t="shared" si="164"/>
        <v>104.36818455309495</v>
      </c>
      <c r="AL166" s="20">
        <f t="shared" si="165"/>
        <v>987.5543543166408</v>
      </c>
      <c r="AM166" s="59">
        <f t="shared" si="113"/>
        <v>1280.8876876499742</v>
      </c>
      <c r="AN166" s="59">
        <f ca="1">AVERAGE(OFFSET($AM$3,0,0,'Données projet'!$E$10+1,1))-AVERAGE(OFFSET($H$3,0,0,'Données projet'!$E$10+1,1))</f>
        <v>581.88778927327667</v>
      </c>
      <c r="AO166" s="59">
        <f t="shared" si="144"/>
        <v>269.67340993773422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59.478973409807068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59.478973409807068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300.80663531652721</v>
      </c>
      <c r="T167" s="59">
        <f t="shared" si="142"/>
        <v>306.01967513533549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17.633019622725961</v>
      </c>
      <c r="AA167" s="21">
        <f>EXP(-LN(2)/25)*AA166+(1-EXP(-LN(2)/25))/(LN(2)/25)*Calculateur!V167*Calculateur!X167*VLOOKUP('Données projet'!$B$9,Paramètres!$A$1:$I$89,3,0)*0.475*44/12</f>
        <v>4.7937174486526999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22.42673707137866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470.28789600000022</v>
      </c>
      <c r="AK167" s="13">
        <f t="shared" si="164"/>
        <v>105.88945661390174</v>
      </c>
      <c r="AL167" s="20">
        <f t="shared" si="165"/>
        <v>1003.5088891358791</v>
      </c>
      <c r="AM167" s="59">
        <f t="shared" si="113"/>
        <v>1296.8422224692124</v>
      </c>
      <c r="AN167" s="59">
        <f ca="1">AVERAGE(OFFSET($AM$3,0,0,'Données projet'!$E$10+1,1))-AVERAGE(OFFSET($H$3,0,0,'Données projet'!$E$10+1,1))</f>
        <v>581.88778927327667</v>
      </c>
      <c r="AO167" s="59">
        <f t="shared" si="144"/>
        <v>269.67340993773422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73.687796339175065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73.687796339175065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300.80663531652721</v>
      </c>
      <c r="T168" s="59">
        <f t="shared" si="142"/>
        <v>306.01967513533549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17.287246863004299</v>
      </c>
      <c r="AA168" s="21">
        <f>EXP(-LN(2)/25)*AA167+(1-EXP(-LN(2)/25))/(LN(2)/25)*Calculateur!V168*Calculateur!X168*VLOOKUP('Données projet'!$B$9,Paramètres!$A$1:$I$89,3,0)*0.475*44/12</f>
        <v>4.6626329929286472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21.949879855932945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424.11233280000033</v>
      </c>
      <c r="AK168" s="13">
        <f t="shared" si="164"/>
        <v>96.648293340367189</v>
      </c>
      <c r="AL168" s="20">
        <f t="shared" si="165"/>
        <v>906.99142386114011</v>
      </c>
      <c r="AM168" s="59">
        <f t="shared" si="113"/>
        <v>1200.3247571944735</v>
      </c>
      <c r="AN168" s="59">
        <f ca="1">AVERAGE(OFFSET($AM$3,0,0,'Données projet'!$E$10+1,1))-AVERAGE(OFFSET($H$3,0,0,'Données projet'!$E$10+1,1))</f>
        <v>581.88778927327667</v>
      </c>
      <c r="AO168" s="59">
        <f t="shared" si="144"/>
        <v>269.67340993773422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72.242823598081642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72.242823598081642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300.80663531652721</v>
      </c>
      <c r="T169" s="59">
        <f t="shared" si="142"/>
        <v>306.01967513533549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16.948254496200221</v>
      </c>
      <c r="AA169" s="21">
        <f>EXP(-LN(2)/25)*AA168+(1-EXP(-LN(2)/25))/(LN(2)/25)*Calculateur!V169*Calculateur!X169*VLOOKUP('Données projet'!$B$9,Paramètres!$A$1:$I$89,3,0)*0.475*44/12</f>
        <v>4.5351330485398007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21.483387544740022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431.84475360000033</v>
      </c>
      <c r="AK169" s="13">
        <f t="shared" si="164"/>
        <v>98.203637489221336</v>
      </c>
      <c r="AL169" s="20">
        <f t="shared" si="165"/>
        <v>923.16761448039449</v>
      </c>
      <c r="AM169" s="59">
        <f t="shared" si="113"/>
        <v>1216.5009478137279</v>
      </c>
      <c r="AN169" s="59">
        <f ca="1">AVERAGE(OFFSET($AM$3,0,0,'Données projet'!$E$10+1,1))-AVERAGE(OFFSET($H$3,0,0,'Données projet'!$E$10+1,1))</f>
        <v>581.88778927327667</v>
      </c>
      <c r="AO169" s="59">
        <f t="shared" si="144"/>
        <v>269.67340993773422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70.826185891094724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70.826185891094724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300.80663531652721</v>
      </c>
      <c r="T170" s="59">
        <f t="shared" si="142"/>
        <v>306.01967513533549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16.615909562944243</v>
      </c>
      <c r="AA170" s="21">
        <f>EXP(-LN(2)/25)*AA169+(1-EXP(-LN(2)/25))/(LN(2)/25)*Calculateur!V170*Calculateur!X170*VLOOKUP('Données projet'!$B$9,Paramètres!$A$1:$I$89,3,0)*0.475*44/12</f>
        <v>4.4111195968351984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21.027029159779442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439.57717440000033</v>
      </c>
      <c r="AK170" s="13">
        <f t="shared" si="164"/>
        <v>99.755743172047673</v>
      </c>
      <c r="AL170" s="20">
        <f t="shared" si="165"/>
        <v>939.33816477131688</v>
      </c>
      <c r="AM170" s="59">
        <f t="shared" si="113"/>
        <v>1232.6714981046503</v>
      </c>
      <c r="AN170" s="59">
        <f ca="1">AVERAGE(OFFSET($AM$3,0,0,'Données projet'!$E$10+1,1))-AVERAGE(OFFSET($H$3,0,0,'Données projet'!$E$10+1,1))</f>
        <v>581.88778927327667</v>
      </c>
      <c r="AO170" s="59">
        <f t="shared" si="144"/>
        <v>269.67340993773422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69.43732758547813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69.43732758547813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300.80663531652721</v>
      </c>
      <c r="T171" s="59">
        <f t="shared" si="142"/>
        <v>306.01967513533549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16.290081711119022</v>
      </c>
      <c r="AA171" s="21">
        <f>EXP(-LN(2)/25)*AA170+(1-EXP(-LN(2)/25))/(LN(2)/25)*Calculateur!V171*Calculateur!X171*VLOOKUP('Données projet'!$B$9,Paramètres!$A$1:$I$89,3,0)*0.475*44/12</f>
        <v>4.2904972994890418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20.580579010608062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447.30959520000027</v>
      </c>
      <c r="AK171" s="13">
        <f t="shared" si="164"/>
        <v>101.30467392781068</v>
      </c>
      <c r="AL171" s="20">
        <f t="shared" si="165"/>
        <v>955.50318539760417</v>
      </c>
      <c r="AM171" s="59">
        <f t="shared" si="113"/>
        <v>1248.8365187309375</v>
      </c>
      <c r="AN171" s="59">
        <f ca="1">AVERAGE(OFFSET($AM$3,0,0,'Données projet'!$E$10+1,1))-AVERAGE(OFFSET($H$3,0,0,'Données projet'!$E$10+1,1))</f>
        <v>581.88778927327667</v>
      </c>
      <c r="AO171" s="59">
        <f t="shared" si="144"/>
        <v>269.67340993773422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68.075703944114764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68.075703944114764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300.80663531652721</v>
      </c>
      <c r="T172" s="59">
        <f t="shared" si="142"/>
        <v>306.01967513533549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15.970643144732726</v>
      </c>
      <c r="AA172" s="21">
        <f>EXP(-LN(2)/25)*AA171+(1-EXP(-LN(2)/25))/(LN(2)/25)*Calculateur!V172*Calculateur!X172*VLOOKUP('Données projet'!$B$9,Paramètres!$A$1:$I$89,3,0)*0.475*44/12</f>
        <v>4.1731734252070671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20.143816569939794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455.04201600000027</v>
      </c>
      <c r="AK172" s="13">
        <f t="shared" si="164"/>
        <v>102.85049097288233</v>
      </c>
      <c r="AL172" s="20">
        <f t="shared" si="165"/>
        <v>971.66278297777069</v>
      </c>
      <c r="AM172" s="59">
        <f t="shared" si="113"/>
        <v>1264.9961163111041</v>
      </c>
      <c r="AN172" s="59">
        <f ca="1">AVERAGE(OFFSET($AM$3,0,0,'Données projet'!$E$10+1,1))-AVERAGE(OFFSET($H$3,0,0,'Données projet'!$E$10+1,1))</f>
        <v>581.88778927327667</v>
      </c>
      <c r="AO172" s="59">
        <f t="shared" si="144"/>
        <v>269.67340993773422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66.740780911850109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66.740780911850109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300.80663531652721</v>
      </c>
      <c r="T173" s="59">
        <f t="shared" si="142"/>
        <v>306.01967513533549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15.657468573794979</v>
      </c>
      <c r="AA173" s="21">
        <f>EXP(-LN(2)/25)*AA172+(1-EXP(-LN(2)/25))/(LN(2)/25)*Calculateur!V173*Calculateur!X173*VLOOKUP('Données projet'!$B$9,Paramètres!$A$1:$I$89,3,0)*0.475*44/12</f>
        <v>4.0590577784371273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19.716526352232108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462.77443680000027</v>
      </c>
      <c r="AK173" s="13">
        <f t="shared" si="164"/>
        <v>104.39325332394039</v>
      </c>
      <c r="AL173" s="20">
        <f t="shared" si="165"/>
        <v>987.81706029919678</v>
      </c>
      <c r="AM173" s="59">
        <f t="shared" si="113"/>
        <v>1281.15039363253</v>
      </c>
      <c r="AN173" s="59">
        <f ca="1">AVERAGE(OFFSET($AM$3,0,0,'Données projet'!$E$10+1,1))-AVERAGE(OFFSET($H$3,0,0,'Données projet'!$E$10+1,1))</f>
        <v>581.88778927327667</v>
      </c>
      <c r="AO173" s="59">
        <f t="shared" si="144"/>
        <v>269.67340993773422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65.432034906025521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65.432034906025521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300.80663531652721</v>
      </c>
      <c r="T174" s="59">
        <f t="shared" si="142"/>
        <v>306.01967513533549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15.350435165175695</v>
      </c>
      <c r="AA174" s="21">
        <f>EXP(-LN(2)/25)*AA173+(1-EXP(-LN(2)/25))/(LN(2)/25)*Calculateur!V174*Calculateur!X174*VLOOKUP('Données projet'!$B$9,Paramètres!$A$1:$I$89,3,0)*0.475*44/12</f>
        <v>3.9480626300291926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19.298497795204888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470.50685760000033</v>
      </c>
      <c r="AK174" s="13">
        <f t="shared" si="164"/>
        <v>105.93301791241842</v>
      </c>
      <c r="AL174" s="20">
        <f t="shared" si="165"/>
        <v>1003.9661165174626</v>
      </c>
      <c r="AM174" s="59">
        <f t="shared" si="113"/>
        <v>1297.299449850796</v>
      </c>
      <c r="AN174" s="59">
        <f ca="1">AVERAGE(OFFSET($AM$3,0,0,'Données projet'!$E$10+1,1))-AVERAGE(OFFSET($H$3,0,0,'Données projet'!$E$10+1,1))</f>
        <v>581.88778927327667</v>
      </c>
      <c r="AO174" s="59">
        <f t="shared" si="144"/>
        <v>269.67340993773422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64.148952611118901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64.148952611118901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300.80663531652721</v>
      </c>
      <c r="T175" s="59">
        <f t="shared" si="142"/>
        <v>306.01967513533549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15.049422494427546</v>
      </c>
      <c r="AA175" s="21">
        <f>EXP(-LN(2)/25)*AA174+(1-EXP(-LN(2)/25))/(LN(2)/25)*Calculateur!V175*Calculateur!X175*VLOOKUP('Données projet'!$B$9,Paramètres!$A$1:$I$89,3,0)*0.475*44/12</f>
        <v>3.8401026497914539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18.889525144219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478.23927840000039</v>
      </c>
      <c r="AK175" s="13">
        <f t="shared" si="164"/>
        <v>107.46983969122122</v>
      </c>
      <c r="AL175" s="20">
        <f t="shared" si="165"/>
        <v>1020.110047342211</v>
      </c>
      <c r="AM175" s="59">
        <f t="shared" si="113"/>
        <v>1313.4433806755444</v>
      </c>
      <c r="AN175" s="59">
        <f ca="1">AVERAGE(OFFSET($AM$3,0,0,'Données projet'!$E$10+1,1))-AVERAGE(OFFSET($H$3,0,0,'Données projet'!$E$10+1,1))</f>
        <v>581.88778927327667</v>
      </c>
      <c r="AO175" s="59">
        <f t="shared" si="144"/>
        <v>269.67340993773422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62.891030777412482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62.891030777412482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300.80663531652721</v>
      </c>
      <c r="T176" s="59">
        <f t="shared" si="142"/>
        <v>306.01967513533549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14.754312498553169</v>
      </c>
      <c r="AA176" s="21">
        <f>EXP(-LN(2)/25)*AA175+(1-EXP(-LN(2)/25))/(LN(2)/25)*Calculateur!V176*Calculateur!X176*VLOOKUP('Données projet'!$B$9,Paramètres!$A$1:$I$89,3,0)*0.475*44/12</f>
        <v>3.7350948408906848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18.489407339443854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485.97169920000039</v>
      </c>
      <c r="AK176" s="13">
        <f t="shared" si="164"/>
        <v>109.00377173434057</v>
      </c>
      <c r="AL176" s="20">
        <f t="shared" si="165"/>
        <v>1036.2489452106438</v>
      </c>
      <c r="AM176" s="59">
        <f t="shared" si="113"/>
        <v>1329.5822785439771</v>
      </c>
      <c r="AN176" s="59">
        <f ca="1">AVERAGE(OFFSET($AM$3,0,0,'Données projet'!$E$10+1,1))-AVERAGE(OFFSET($H$3,0,0,'Données projet'!$E$10+1,1))</f>
        <v>581.88778927327667</v>
      </c>
      <c r="AO176" s="59">
        <f t="shared" si="144"/>
        <v>269.67340993773422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61.657776023608484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61.657776023608484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300.80663531652721</v>
      </c>
      <c r="T177" s="59">
        <f t="shared" si="142"/>
        <v>306.01967513533549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14.464989429698564</v>
      </c>
      <c r="AA177" s="21">
        <f>EXP(-LN(2)/25)*AA176+(1-EXP(-LN(2)/25))/(LN(2)/25)*Calculateur!V177*Calculateur!X177*VLOOKUP('Données projet'!$B$9,Paramètres!$A$1:$I$89,3,0)*0.475*44/12</f>
        <v>3.632958476046428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18.097947905744991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493.7041200000005</v>
      </c>
      <c r="AK177" s="13">
        <f t="shared" si="164"/>
        <v>110.53486532995269</v>
      </c>
      <c r="AL177" s="20">
        <f t="shared" si="165"/>
        <v>1052.3828994496685</v>
      </c>
      <c r="AM177" s="59">
        <f t="shared" si="113"/>
        <v>1345.7162327830017</v>
      </c>
      <c r="AN177" s="59">
        <f ca="1">AVERAGE(OFFSET($AM$3,0,0,'Données projet'!$E$10+1,1))-AVERAGE(OFFSET($H$3,0,0,'Données projet'!$E$10+1,1))</f>
        <v>581.88778927327667</v>
      </c>
      <c r="AO177" s="59">
        <f t="shared" si="144"/>
        <v>269.67340993773422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115.87208689768337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115.87208689768337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300.80663531652721</v>
      </c>
      <c r="T178" s="59">
        <f t="shared" si="142"/>
        <v>306.01967513533549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14.181339809754551</v>
      </c>
      <c r="AA178" s="21">
        <f>EXP(-LN(2)/25)*AA177+(1-EXP(-LN(2)/25))/(LN(2)/25)*Calculateur!V178*Calculateur!X178*VLOOKUP('Données projet'!$B$9,Paramètres!$A$1:$I$89,3,0)*0.475*44/12</f>
        <v>3.5336150354699556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17.714954845224508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304.2540800000005</v>
      </c>
      <c r="AK178" s="13">
        <f t="shared" si="164"/>
        <v>72.067549889405967</v>
      </c>
      <c r="AL178" s="20">
        <f t="shared" si="165"/>
        <v>655.42683872404962</v>
      </c>
      <c r="AM178" s="59">
        <f t="shared" si="113"/>
        <v>948.76017205738299</v>
      </c>
      <c r="AN178" s="59">
        <f ca="1">AVERAGE(OFFSET($AM$3,0,0,'Données projet'!$E$10+1,1))-AVERAGE(OFFSET($H$3,0,0,'Données projet'!$E$10+1,1))</f>
        <v>581.88778927327667</v>
      </c>
      <c r="AO178" s="59">
        <f t="shared" si="144"/>
        <v>269.67340993773422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113.59990594861424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113.59990594861424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300.80663531652721</v>
      </c>
      <c r="T179" s="59">
        <f t="shared" si="142"/>
        <v>306.01967513533549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13.903252385848456</v>
      </c>
      <c r="AA179" s="21">
        <f>EXP(-LN(2)/25)*AA178+(1-EXP(-LN(2)/25))/(LN(2)/25)*Calculateur!V179*Calculateur!X179*VLOOKUP('Données projet'!$B$9,Paramètres!$A$1:$I$89,3,0)*0.475*44/12</f>
        <v>3.4369881465002909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17.340240532348748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309.12793600000049</v>
      </c>
      <c r="AK179" s="13">
        <f t="shared" si="164"/>
        <v>73.086678650713282</v>
      </c>
      <c r="AL179" s="20">
        <f t="shared" si="165"/>
        <v>665.6904538499931</v>
      </c>
      <c r="AM179" s="59">
        <f t="shared" si="113"/>
        <v>959.02378718332648</v>
      </c>
      <c r="AN179" s="59">
        <f ca="1">AVERAGE(OFFSET($AM$3,0,0,'Données projet'!$E$10+1,1))-AVERAGE(OFFSET($H$3,0,0,'Données projet'!$E$10+1,1))</f>
        <v>581.88778927327667</v>
      </c>
      <c r="AO179" s="59">
        <f t="shared" si="144"/>
        <v>269.67340993773422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111.37228108206281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111.37228108206281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300.80663531652721</v>
      </c>
      <c r="T180" s="59">
        <f t="shared" si="142"/>
        <v>306.01967513533549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13.630618086708578</v>
      </c>
      <c r="AA180" s="21">
        <f>EXP(-LN(2)/25)*AA179+(1-EXP(-LN(2)/25))/(LN(2)/25)*Calculateur!V180*Calculateur!X180*VLOOKUP('Données projet'!$B$9,Paramètres!$A$1:$I$89,3,0)*0.475*44/12</f>
        <v>3.3430035248908894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16.973621611599469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314.00179200000048</v>
      </c>
      <c r="AK180" s="13">
        <f t="shared" si="164"/>
        <v>74.103938722927282</v>
      </c>
      <c r="AL180" s="20">
        <f t="shared" si="165"/>
        <v>675.95081434243241</v>
      </c>
      <c r="AM180" s="59">
        <f t="shared" si="113"/>
        <v>969.28414767576578</v>
      </c>
      <c r="AN180" s="59">
        <f ca="1">AVERAGE(OFFSET($AM$3,0,0,'Données projet'!$E$10+1,1))-AVERAGE(OFFSET($H$3,0,0,'Données projet'!$E$10+1,1))</f>
        <v>581.88778927327667</v>
      </c>
      <c r="AO180" s="59">
        <f t="shared" si="144"/>
        <v>269.67340993773422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138.91418204963006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138.91418204963006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300.80663531652721</v>
      </c>
      <c r="T181" s="59">
        <f t="shared" si="142"/>
        <v>306.01967513533549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13.36332997988433</v>
      </c>
      <c r="AA181" s="21">
        <f>EXP(-LN(2)/25)*AA180+(1-EXP(-LN(2)/25))/(LN(2)/25)*Calculateur!V181*Calculateur!X181*VLOOKUP('Données projet'!$B$9,Paramètres!$A$1:$I$89,3,0)*0.475*44/12</f>
        <v>3.2515889177018331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16.614918897586165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212.72451200000049</v>
      </c>
      <c r="AK181" s="13">
        <f t="shared" si="164"/>
        <v>52.530512718953382</v>
      </c>
      <c r="AL181" s="20">
        <f t="shared" si="165"/>
        <v>461.98583471884461</v>
      </c>
      <c r="AM181" s="59">
        <f t="shared" si="113"/>
        <v>755.31916805217793</v>
      </c>
      <c r="AN181" s="59">
        <f ca="1">AVERAGE(OFFSET($AM$3,0,0,'Données projet'!$E$10+1,1))-AVERAGE(OFFSET($H$3,0,0,'Données projet'!$E$10+1,1))</f>
        <v>581.88778927327667</v>
      </c>
      <c r="AO181" s="59">
        <f t="shared" si="144"/>
        <v>269.67340993773422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136.19015966892155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136.19015966892155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300.80663531652721</v>
      </c>
      <c r="T182" s="59">
        <f t="shared" si="142"/>
        <v>306.01967513533549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13.10128322980526</v>
      </c>
      <c r="AA182" s="21">
        <f>EXP(-LN(2)/25)*AA181+(1-EXP(-LN(2)/25))/(LN(2)/25)*Calculateur!V182*Calculateur!X182*VLOOKUP('Données projet'!$B$9,Paramètres!$A$1:$I$89,3,0)*0.475*44/12</f>
        <v>3.1626740477536468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16.263957277558905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215.67114400000045</v>
      </c>
      <c r="AK182" s="13">
        <f t="shared" si="164"/>
        <v>53.172944836363733</v>
      </c>
      <c r="AL182" s="20">
        <f t="shared" si="165"/>
        <v>468.23678805666754</v>
      </c>
      <c r="AM182" s="59">
        <f t="shared" si="113"/>
        <v>761.57012139000085</v>
      </c>
      <c r="AN182" s="59">
        <f ca="1">AVERAGE(OFFSET($AM$3,0,0,'Données projet'!$E$10+1,1))-AVERAGE(OFFSET($H$3,0,0,'Données projet'!$E$10+1,1))</f>
        <v>581.88778927327667</v>
      </c>
      <c r="AO182" s="59">
        <f t="shared" si="144"/>
        <v>269.67340993773422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133.51955370560913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133.51955370560913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300.80663531652721</v>
      </c>
      <c r="T183" s="59">
        <f t="shared" si="142"/>
        <v>306.01967513533549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12.844375056662503</v>
      </c>
      <c r="AA183" s="21">
        <f>EXP(-LN(2)/25)*AA182+(1-EXP(-LN(2)/25))/(LN(2)/25)*Calculateur!V183*Calculateur!X183*VLOOKUP('Données projet'!$B$9,Paramètres!$A$1:$I$89,3,0)*0.475*44/12</f>
        <v>3.0761905596000236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15.920565616262527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218.61777600000045</v>
      </c>
      <c r="AK183" s="13">
        <f t="shared" si="164"/>
        <v>53.814356054061541</v>
      </c>
      <c r="AL183" s="20">
        <f t="shared" si="165"/>
        <v>474.48596332749122</v>
      </c>
      <c r="AM183" s="59">
        <f t="shared" si="113"/>
        <v>767.81929666082453</v>
      </c>
      <c r="AN183" s="59">
        <f ca="1">AVERAGE(OFFSET($AM$3,0,0,'Données projet'!$E$10+1,1))-AVERAGE(OFFSET($H$3,0,0,'Données projet'!$E$10+1,1))</f>
        <v>581.88778927327667</v>
      </c>
      <c r="AO183" s="59">
        <f t="shared" si="144"/>
        <v>269.67340993773422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150.95768056842175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150.95768056842175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300.80663531652721</v>
      </c>
      <c r="T184" s="59">
        <f t="shared" si="142"/>
        <v>306.01967513533549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12.592504696096563</v>
      </c>
      <c r="AA184" s="21">
        <f>EXP(-LN(2)/25)*AA183+(1-EXP(-LN(2)/25))/(LN(2)/25)*Calculateur!V184*Calculateur!X184*VLOOKUP('Données projet'!$B$9,Paramètres!$A$1:$I$89,3,0)*0.475*44/12</f>
        <v>2.9920719669779303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15.584576663074493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150.06409600000046</v>
      </c>
      <c r="AK184" s="13">
        <f t="shared" si="164"/>
        <v>38.593151304664545</v>
      </c>
      <c r="AL184" s="20">
        <f t="shared" si="165"/>
        <v>328.57803905562486</v>
      </c>
      <c r="AM184" s="59">
        <f t="shared" si="113"/>
        <v>621.91137238895817</v>
      </c>
      <c r="AN184" s="59">
        <f ca="1">AVERAGE(OFFSET($AM$3,0,0,'Données projet'!$E$10+1,1))-AVERAGE(OFFSET($H$3,0,0,'Données projet'!$E$10+1,1))</f>
        <v>581.88778927327667</v>
      </c>
      <c r="AO184" s="59">
        <f t="shared" si="144"/>
        <v>269.67340993773422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147.99749252756848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147.99749252756848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300.80663531652721</v>
      </c>
      <c r="T185" s="59">
        <f t="shared" si="142"/>
        <v>306.01967513533549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12.345573359675571</v>
      </c>
      <c r="AA185" s="21">
        <f>EXP(-LN(2)/25)*AA184+(1-EXP(-LN(2)/25))/(LN(2)/25)*Calculateur!V185*Calculateur!X185*VLOOKUP('Données projet'!$B$9,Paramètres!$A$1:$I$89,3,0)*0.475*44/12</f>
        <v>2.9102536016946927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15.255826961370264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151.83147200000045</v>
      </c>
      <c r="AK185" s="13">
        <f t="shared" si="164"/>
        <v>38.994499777620597</v>
      </c>
      <c r="AL185" s="20">
        <f t="shared" si="165"/>
        <v>332.35523417935661</v>
      </c>
      <c r="AM185" s="59">
        <f t="shared" si="113"/>
        <v>625.68856751268993</v>
      </c>
      <c r="AN185" s="59">
        <f ca="1">AVERAGE(OFFSET($AM$3,0,0,'Données projet'!$E$10+1,1))-AVERAGE(OFFSET($H$3,0,0,'Données projet'!$E$10+1,1))</f>
        <v>581.88778927327667</v>
      </c>
      <c r="AO185" s="59">
        <f t="shared" si="144"/>
        <v>269.67340993773422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145.09535196865994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145.09535196865994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300.80663531652721</v>
      </c>
      <c r="T186" s="59">
        <f t="shared" si="142"/>
        <v>306.01967513533549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12.103484196148552</v>
      </c>
      <c r="AA186" s="21">
        <f>EXP(-LN(2)/25)*AA185+(1-EXP(-LN(2)/25))/(LN(2)/25)*Calculateur!V186*Calculateur!X186*VLOOKUP('Données projet'!$B$9,Paramètres!$A$1:$I$89,3,0)*0.475*44/12</f>
        <v>2.8306725639127661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14.934156760061317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153.5988480000004</v>
      </c>
      <c r="AK186" s="13">
        <f t="shared" si="164"/>
        <v>39.395304802658316</v>
      </c>
      <c r="AL186" s="20">
        <f t="shared" si="165"/>
        <v>336.13148279796388</v>
      </c>
      <c r="AM186" s="59">
        <f t="shared" si="113"/>
        <v>629.4648161312972</v>
      </c>
      <c r="AN186" s="59">
        <f ca="1">AVERAGE(OFFSET($AM$3,0,0,'Données projet'!$E$10+1,1))-AVERAGE(OFFSET($H$3,0,0,'Données projet'!$E$10+1,1))</f>
        <v>581.88778927327667</v>
      </c>
      <c r="AO186" s="59">
        <f t="shared" si="144"/>
        <v>269.67340993773422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186.05825662893167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186.05825662893167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300.80663531652721</v>
      </c>
      <c r="T187" s="59">
        <f t="shared" si="142"/>
        <v>306.01967513533549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11.866142253458486</v>
      </c>
      <c r="AA187" s="21">
        <f>EXP(-LN(2)/25)*AA186+(1-EXP(-LN(2)/25))/(LN(2)/25)*Calculateur!V187*Calculateur!X187*VLOOKUP('Données projet'!$B$9,Paramètres!$A$1:$I$89,3,0)*0.475*44/12</f>
        <v>2.753267673793971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14.619409927252457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4.3717136577470225E-13</v>
      </c>
      <c r="AK187" s="13">
        <f t="shared" si="164"/>
        <v>5.5313598682231701E-12</v>
      </c>
      <c r="AL187" s="20">
        <f t="shared" si="165"/>
        <v>1.039519189921296E-11</v>
      </c>
      <c r="AM187" s="59">
        <f t="shared" si="113"/>
        <v>293.33333333334372</v>
      </c>
      <c r="AN187" s="59">
        <f ca="1">AVERAGE(OFFSET($AM$3,0,0,'Données projet'!$E$10+1,1))-AVERAGE(OFFSET($H$3,0,0,'Données projet'!$E$10+1,1))</f>
        <v>581.88778927327667</v>
      </c>
      <c r="AO187" s="59">
        <f t="shared" si="144"/>
        <v>269.67340993773422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182.40976770076921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182.40976770076921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300.80663531652721</v>
      </c>
      <c r="T188" s="59">
        <f t="shared" si="142"/>
        <v>306.01967513533549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11.633454441500284</v>
      </c>
      <c r="AA188" s="21">
        <f>EXP(-LN(2)/25)*AA187+(1-EXP(-LN(2)/25))/(LN(2)/25)*Calculateur!V188*Calculateur!X188*VLOOKUP('Données projet'!$B$9,Paramètres!$A$1:$I$89,3,0)*0.475*44/12</f>
        <v>2.6779794244660207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14.311433865966304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4.3717136577470225E-13</v>
      </c>
      <c r="AK188" s="13">
        <f t="shared" si="164"/>
        <v>5.5313598682231701E-12</v>
      </c>
      <c r="AL188" s="20">
        <f t="shared" si="165"/>
        <v>1.039519189921296E-11</v>
      </c>
      <c r="AM188" s="59">
        <f t="shared" si="113"/>
        <v>293.33333333334372</v>
      </c>
      <c r="AN188" s="59">
        <f ca="1">AVERAGE(OFFSET($AM$3,0,0,'Données projet'!$E$10+1,1))-AVERAGE(OFFSET($H$3,0,0,'Données projet'!$E$10+1,1))</f>
        <v>581.88778927327667</v>
      </c>
      <c r="AO188" s="59">
        <f t="shared" si="144"/>
        <v>269.67340993773422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178.83282341512952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178.83282341512952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300.80663531652721</v>
      </c>
      <c r="T189" s="59">
        <f t="shared" si="142"/>
        <v>306.01967513533549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11.405329495609029</v>
      </c>
      <c r="AA189" s="21">
        <f>EXP(-LN(2)/25)*AA188+(1-EXP(-LN(2)/25))/(LN(2)/25)*Calculateur!V189*Calculateur!X189*VLOOKUP('Données projet'!$B$9,Paramètres!$A$1:$I$89,3,0)*0.475*44/12</f>
        <v>2.60474993627518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14.010079431884209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4.3717136577470225E-13</v>
      </c>
      <c r="AK189" s="13">
        <f t="shared" si="164"/>
        <v>5.5313598682231701E-12</v>
      </c>
      <c r="AL189" s="20">
        <f t="shared" si="165"/>
        <v>1.039519189921296E-11</v>
      </c>
      <c r="AM189" s="59">
        <f t="shared" si="113"/>
        <v>293.33333333334372</v>
      </c>
      <c r="AN189" s="59">
        <f ca="1">AVERAGE(OFFSET($AM$3,0,0,'Données projet'!$E$10+1,1))-AVERAGE(OFFSET($H$3,0,0,'Données projet'!$E$10+1,1))</f>
        <v>581.88778927327667</v>
      </c>
      <c r="AO189" s="59">
        <f t="shared" si="144"/>
        <v>269.67340993773422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175.32602082521063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175.32602082521063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300.80663531652721</v>
      </c>
      <c r="T190" s="59">
        <f t="shared" si="142"/>
        <v>306.01967513533549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11.181677940764224</v>
      </c>
      <c r="AA190" s="21">
        <f>EXP(-LN(2)/25)*AA189+(1-EXP(-LN(2)/25))/(LN(2)/25)*Calculateur!V190*Calculateur!X190*VLOOKUP('Données projet'!$B$9,Paramètres!$A$1:$I$89,3,0)*0.475*44/12</f>
        <v>2.5335229122898895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13.715200853054114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4.3717136577470225E-13</v>
      </c>
      <c r="AK190" s="13">
        <f t="shared" si="164"/>
        <v>5.5313598682231701E-12</v>
      </c>
      <c r="AL190" s="20">
        <f t="shared" si="165"/>
        <v>1.039519189921296E-11</v>
      </c>
      <c r="AM190" s="59">
        <f t="shared" si="113"/>
        <v>293.33333333334372</v>
      </c>
      <c r="AN190" s="59">
        <f ca="1">AVERAGE(OFFSET($AM$3,0,0,'Données projet'!$E$10+1,1))-AVERAGE(OFFSET($H$3,0,0,'Données projet'!$E$10+1,1))</f>
        <v>581.88778927327667</v>
      </c>
      <c r="AO190" s="59">
        <f t="shared" si="144"/>
        <v>269.67340993773422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171.88798449514167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171.88798449514167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300.80663531652721</v>
      </c>
      <c r="T191" s="59">
        <f t="shared" si="142"/>
        <v>306.01967513533549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10.962412056495948</v>
      </c>
      <c r="AA191" s="21">
        <f>EXP(-LN(2)/25)*AA190+(1-EXP(-LN(2)/25))/(LN(2)/25)*Calculateur!V191*Calculateur!X191*VLOOKUP('Données projet'!$B$9,Paramètres!$A$1:$I$89,3,0)*0.475*44/12</f>
        <v>2.4642435950211428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13.426655651517091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4.3717136577470225E-13</v>
      </c>
      <c r="AK191" s="13">
        <f t="shared" si="164"/>
        <v>5.5313598682231701E-12</v>
      </c>
      <c r="AL191" s="20">
        <f t="shared" si="165"/>
        <v>1.039519189921296E-11</v>
      </c>
      <c r="AM191" s="59">
        <f t="shared" si="113"/>
        <v>293.33333333334372</v>
      </c>
      <c r="AN191" s="59">
        <f ca="1">AVERAGE(OFFSET($AM$3,0,0,'Données projet'!$E$10+1,1))-AVERAGE(OFFSET($H$3,0,0,'Données projet'!$E$10+1,1))</f>
        <v>581.88778927327667</v>
      </c>
      <c r="AO191" s="59">
        <f t="shared" si="144"/>
        <v>269.67340993773422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168.51736596051026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168.51736596051026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300.80663531652721</v>
      </c>
      <c r="T192" s="59">
        <f t="shared" si="142"/>
        <v>306.01967513533549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10.747445842479189</v>
      </c>
      <c r="AA192" s="21">
        <f>EXP(-LN(2)/25)*AA191+(1-EXP(-LN(2)/25))/(LN(2)/25)*Calculateur!V192*Calculateur!X192*VLOOKUP('Données projet'!$B$9,Paramètres!$A$1:$I$89,3,0)*0.475*44/12</f>
        <v>2.3968587243263513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13.144304566805541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4.3717136577470225E-13</v>
      </c>
      <c r="AK192" s="13">
        <f t="shared" si="164"/>
        <v>5.5313598682231701E-12</v>
      </c>
      <c r="AL192" s="20">
        <f t="shared" si="165"/>
        <v>1.039519189921296E-11</v>
      </c>
      <c r="AM192" s="59">
        <f t="shared" si="113"/>
        <v>293.33333333334372</v>
      </c>
      <c r="AN192" s="59">
        <f ca="1">AVERAGE(OFFSET($AM$3,0,0,'Données projet'!$E$10+1,1))-AVERAGE(OFFSET($H$3,0,0,'Données projet'!$E$10+1,1))</f>
        <v>581.88778927327667</v>
      </c>
      <c r="AO192" s="59">
        <f t="shared" si="144"/>
        <v>269.67340993773422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165.21284319946867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165.21284319946867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300.80663531652721</v>
      </c>
      <c r="T193" s="59">
        <f t="shared" si="142"/>
        <v>306.01967513533549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10.536694984802855</v>
      </c>
      <c r="AA193" s="21">
        <f>EXP(-LN(2)/25)*AA192+(1-EXP(-LN(2)/25))/(LN(2)/25)*Calculateur!V193*Calculateur!X193*VLOOKUP('Données projet'!$B$9,Paramètres!$A$1:$I$89,3,0)*0.475*44/12</f>
        <v>2.3313164964643249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12.86801148126718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4.3717136577470225E-13</v>
      </c>
      <c r="AK193" s="13">
        <f t="shared" si="164"/>
        <v>5.5313598682231701E-12</v>
      </c>
      <c r="AL193" s="20">
        <f t="shared" si="165"/>
        <v>1.039519189921296E-11</v>
      </c>
      <c r="AM193" s="59">
        <f t="shared" si="113"/>
        <v>293.33333333334372</v>
      </c>
      <c r="AN193" s="59">
        <f ca="1">AVERAGE(OFFSET($AM$3,0,0,'Données projet'!$E$10+1,1))-AVERAGE(OFFSET($H$3,0,0,'Données projet'!$E$10+1,1))</f>
        <v>581.88778927327667</v>
      </c>
      <c r="AO193" s="59">
        <f t="shared" si="144"/>
        <v>269.67340993773422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161.97312011421124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161.97312011421124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300.80663531652721</v>
      </c>
      <c r="T194" s="59">
        <f t="shared" si="142"/>
        <v>306.01967513533549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10.330076822900223</v>
      </c>
      <c r="AA194" s="21">
        <f>EXP(-LN(2)/25)*AA193+(1-EXP(-LN(2)/25))/(LN(2)/25)*Calculateur!V194*Calculateur!X194*VLOOKUP('Données projet'!$B$9,Paramètres!$A$1:$I$89,3,0)*0.475*44/12</f>
        <v>2.2675665242699017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12.597643347170123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4.3717136577470225E-13</v>
      </c>
      <c r="AK194" s="13">
        <f t="shared" si="164"/>
        <v>5.5313598682231701E-12</v>
      </c>
      <c r="AL194" s="20">
        <f t="shared" si="165"/>
        <v>1.039519189921296E-11</v>
      </c>
      <c r="AM194" s="59">
        <f t="shared" si="113"/>
        <v>293.33333333334372</v>
      </c>
      <c r="AN194" s="59">
        <f ca="1">AVERAGE(OFFSET($AM$3,0,0,'Données projet'!$E$10+1,1))-AVERAGE(OFFSET($H$3,0,0,'Données projet'!$E$10+1,1))</f>
        <v>581.88778927327667</v>
      </c>
      <c r="AO194" s="59">
        <f t="shared" si="144"/>
        <v>269.67340993773422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158.79692602261974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158.79692602261974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300.80663531652721</v>
      </c>
      <c r="T195" s="59">
        <f t="shared" si="142"/>
        <v>306.01967513533549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10.127510317127866</v>
      </c>
      <c r="AA195" s="21">
        <f>EXP(-LN(2)/25)*AA194+(1-EXP(-LN(2)/25))/(LN(2)/25)*Calculateur!V195*Calculateur!X195*VLOOKUP('Données projet'!$B$9,Paramètres!$A$1:$I$89,3,0)*0.475*44/12</f>
        <v>2.2055597984176005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12.333070115545468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4.3717136577470225E-13</v>
      </c>
      <c r="AK195" s="13">
        <f t="shared" si="164"/>
        <v>5.5313598682231701E-12</v>
      </c>
      <c r="AL195" s="20">
        <f t="shared" si="165"/>
        <v>1.039519189921296E-11</v>
      </c>
      <c r="AM195" s="59">
        <f t="shared" si="113"/>
        <v>293.33333333334372</v>
      </c>
      <c r="AN195" s="59">
        <f ca="1">AVERAGE(OFFSET($AM$3,0,0,'Données projet'!$E$10+1,1))-AVERAGE(OFFSET($H$3,0,0,'Données projet'!$E$10+1,1))</f>
        <v>581.88778927327667</v>
      </c>
      <c r="AO195" s="59">
        <f t="shared" si="144"/>
        <v>269.67340993773422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155.68301515987724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155.68301515987724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300.80663531652721</v>
      </c>
      <c r="T196" s="59">
        <f t="shared" si="142"/>
        <v>306.01967513533549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9.9289160169803363</v>
      </c>
      <c r="AA196" s="21">
        <f>EXP(-LN(2)/25)*AA195+(1-EXP(-LN(2)/25))/(LN(2)/25)*Calculateur!V196*Calculateur!X196*VLOOKUP('Données projet'!$B$9,Paramètres!$A$1:$I$89,3,0)*0.475*44/12</f>
        <v>2.1452486497445222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12.074164666724858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4.3717136577470225E-13</v>
      </c>
      <c r="AK196" s="13">
        <f t="shared" si="164"/>
        <v>5.5313598682231701E-12</v>
      </c>
      <c r="AL196" s="20">
        <f t="shared" si="165"/>
        <v>1.039519189921296E-11</v>
      </c>
      <c r="AM196" s="59">
        <f t="shared" ref="AM196:AM203" si="193">AL196+(AD196+AE196)*44/12</f>
        <v>293.33333333334372</v>
      </c>
      <c r="AN196" s="59">
        <f ca="1">AVERAGE(OFFSET($AM$3,0,0,'Données projet'!$E$10+1,1))-AVERAGE(OFFSET($H$3,0,0,'Données projet'!$E$10+1,1))</f>
        <v>581.88778927327667</v>
      </c>
      <c r="AO196" s="59">
        <f t="shared" si="144"/>
        <v>269.67340993773422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152.63016618985506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152.63016618985506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300.80663531652721</v>
      </c>
      <c r="T197" s="59">
        <f t="shared" ref="T197:T203" si="204">$T$3</f>
        <v>306.01967513533549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9.7342160299281382</v>
      </c>
      <c r="AA197" s="21">
        <f>EXP(-LN(2)/25)*AA196+(1-EXP(-LN(2)/25))/(LN(2)/25)*Calculateur!V197*Calculateur!X197*VLOOKUP('Données projet'!$B$9,Paramètres!$A$1:$I$89,3,0)*0.475*44/12</f>
        <v>2.0865867126035349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11.820802742531672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4.3717136577470225E-13</v>
      </c>
      <c r="AK197" s="13">
        <f t="shared" si="164"/>
        <v>5.5313598682231701E-12</v>
      </c>
      <c r="AL197" s="20">
        <f t="shared" si="165"/>
        <v>1.039519189921296E-11</v>
      </c>
      <c r="AM197" s="59">
        <f t="shared" si="193"/>
        <v>293.33333333334372</v>
      </c>
      <c r="AN197" s="59">
        <f ca="1">AVERAGE(OFFSET($AM$3,0,0,'Données projet'!$E$10+1,1))-AVERAGE(OFFSET($H$3,0,0,'Données projet'!$E$10+1,1))</f>
        <v>581.88778927327667</v>
      </c>
      <c r="AO197" s="59">
        <f t="shared" ref="AO197:AO203" si="205">$AO$3</f>
        <v>269.67340993773422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149.637181726081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149.637181726081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300.80663531652721</v>
      </c>
      <c r="T198" s="59">
        <f t="shared" si="204"/>
        <v>306.01967513533549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9.5433339908667669</v>
      </c>
      <c r="AA198" s="21">
        <f>EXP(-LN(2)/25)*AA197+(1-EXP(-LN(2)/25))/(LN(2)/25)*Calculateur!V198*Calculateur!X198*VLOOKUP('Données projet'!$B$9,Paramètres!$A$1:$I$89,3,0)*0.475*44/12</f>
        <v>2.029528889218565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11.572862880085331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4.3717136577470225E-13</v>
      </c>
      <c r="AK198" s="13">
        <f t="shared" si="164"/>
        <v>5.5313598682231701E-12</v>
      </c>
      <c r="AL198" s="20">
        <f t="shared" si="165"/>
        <v>1.039519189921296E-11</v>
      </c>
      <c r="AM198" s="59">
        <f t="shared" si="193"/>
        <v>293.33333333334372</v>
      </c>
      <c r="AN198" s="59">
        <f ca="1">AVERAGE(OFFSET($AM$3,0,0,'Données projet'!$E$10+1,1))-AVERAGE(OFFSET($H$3,0,0,'Données projet'!$E$10+1,1))</f>
        <v>581.88778927327667</v>
      </c>
      <c r="AO198" s="59">
        <f t="shared" si="205"/>
        <v>269.67340993773422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146.70288786210128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146.70288786210128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300.80663531652721</v>
      </c>
      <c r="T199" s="59">
        <f t="shared" si="204"/>
        <v>306.01967513533549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9.3561950321648428</v>
      </c>
      <c r="AA199" s="21">
        <f>EXP(-LN(2)/25)*AA198+(1-EXP(-LN(2)/25))/(LN(2)/25)*Calculateur!V199*Calculateur!X199*VLOOKUP('Données projet'!$B$9,Paramètres!$A$1:$I$89,3,0)*0.475*44/12</f>
        <v>1.9740313150145976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11.33022634717944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4.3717136577470225E-13</v>
      </c>
      <c r="AK199" s="13">
        <f t="shared" si="164"/>
        <v>5.5313598682231701E-12</v>
      </c>
      <c r="AL199" s="20">
        <f t="shared" si="165"/>
        <v>1.039519189921296E-11</v>
      </c>
      <c r="AM199" s="59">
        <f t="shared" si="193"/>
        <v>293.33333333334372</v>
      </c>
      <c r="AN199" s="59">
        <f ca="1">AVERAGE(OFFSET($AM$3,0,0,'Données projet'!$E$10+1,1))-AVERAGE(OFFSET($H$3,0,0,'Données projet'!$E$10+1,1))</f>
        <v>581.88778927327667</v>
      </c>
      <c r="AO199" s="59">
        <f t="shared" si="205"/>
        <v>269.67340993773422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143.82613371105165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143.82613371105165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300.80663531652721</v>
      </c>
      <c r="T200" s="59">
        <f t="shared" si="204"/>
        <v>306.01967513533549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9.1727257542995684</v>
      </c>
      <c r="AA200" s="21">
        <f>EXP(-LN(2)/25)*AA199+(1-EXP(-LN(2)/25))/(LN(2)/25)*Calculateur!V200*Calculateur!X200*VLOOKUP('Données projet'!$B$9,Paramètres!$A$1:$I$89,3,0)*0.475*44/12</f>
        <v>1.9200513248957283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11.092777079195297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4.3717136577470225E-13</v>
      </c>
      <c r="AK200" s="13">
        <f t="shared" si="164"/>
        <v>5.5313598682231701E-12</v>
      </c>
      <c r="AL200" s="20">
        <f t="shared" si="165"/>
        <v>1.039519189921296E-11</v>
      </c>
      <c r="AM200" s="59">
        <f t="shared" si="193"/>
        <v>293.33333333334372</v>
      </c>
      <c r="AN200" s="59">
        <f ca="1">AVERAGE(OFFSET($AM$3,0,0,'Données projet'!$E$10+1,1))-AVERAGE(OFFSET($H$3,0,0,'Données projet'!$E$10+1,1))</f>
        <v>581.88778927327667</v>
      </c>
      <c r="AO200" s="59">
        <f t="shared" si="205"/>
        <v>269.67340993773422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141.00579095425735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141.00579095425735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300.80663531652721</v>
      </c>
      <c r="T201" s="59">
        <f t="shared" si="204"/>
        <v>306.01967513533549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8.9928541970680218</v>
      </c>
      <c r="AA201" s="21">
        <f>EXP(-LN(2)/25)*AA200+(1-EXP(-LN(2)/25))/(LN(2)/25)*Calculateur!V201*Calculateur!X201*VLOOKUP('Données projet'!$B$9,Paramètres!$A$1:$I$89,3,0)*0.475*44/12</f>
        <v>1.8675474204453437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10.860401617513366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4.3717136577470225E-13</v>
      </c>
      <c r="AK201" s="13">
        <f t="shared" si="164"/>
        <v>5.5313598682231701E-12</v>
      </c>
      <c r="AL201" s="20">
        <f t="shared" si="165"/>
        <v>1.039519189921296E-11</v>
      </c>
      <c r="AM201" s="59">
        <f t="shared" si="193"/>
        <v>293.33333333334372</v>
      </c>
      <c r="AN201" s="59">
        <f ca="1">AVERAGE(OFFSET($AM$3,0,0,'Données projet'!$E$10+1,1))-AVERAGE(OFFSET($H$3,0,0,'Données projet'!$E$10+1,1))</f>
        <v>581.88778927327667</v>
      </c>
      <c r="AO201" s="59">
        <f t="shared" si="205"/>
        <v>269.67340993773422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138.24075339868455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138.24075339868455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300.80663531652721</v>
      </c>
      <c r="T202" s="59">
        <f t="shared" si="204"/>
        <v>306.01967513533549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8.8165098113629696</v>
      </c>
      <c r="AA202" s="21">
        <f>EXP(-LN(2)/25)*AA201+(1-EXP(-LN(2)/25))/(LN(2)/25)*Calculateur!V202*Calculateur!X202*VLOOKUP('Données projet'!$B$9,Paramètres!$A$1:$I$89,3,0)*0.475*44/12</f>
        <v>1.8164792380232153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10.632989049386184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4.3717136577470225E-13</v>
      </c>
      <c r="AK202" s="13">
        <f t="shared" si="164"/>
        <v>5.5313598682231701E-12</v>
      </c>
      <c r="AL202" s="20">
        <f t="shared" si="165"/>
        <v>1.039519189921296E-11</v>
      </c>
      <c r="AM202" s="59">
        <f t="shared" si="193"/>
        <v>293.33333333334372</v>
      </c>
      <c r="AN202" s="59">
        <f ca="1">AVERAGE(OFFSET($AM$3,0,0,'Données projet'!$E$10+1,1))-AVERAGE(OFFSET($H$3,0,0,'Données projet'!$E$10+1,1))</f>
        <v>581.88778927327667</v>
      </c>
      <c r="AO202" s="59">
        <f t="shared" si="205"/>
        <v>269.67340993773422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135.52993654307016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135.52993654307016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300.80663531652721</v>
      </c>
      <c r="T203" s="59">
        <f t="shared" si="204"/>
        <v>306.01967513533549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8.6436234315021387</v>
      </c>
      <c r="AA203" s="21">
        <f>EXP(-LN(2)/25)*AA202+(1-EXP(-LN(2)/25))/(LN(2)/25)*Calculateur!V203*Calculateur!X203*VLOOKUP('Données projet'!$B$9,Paramètres!$A$1:$I$89,3,0)*0.475*44/12</f>
        <v>1.7668075177349789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10.410430949237117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4.3717136577470225E-13</v>
      </c>
      <c r="AK203" s="13">
        <f t="shared" si="164"/>
        <v>5.5313598682231701E-12</v>
      </c>
      <c r="AL203" s="20">
        <f t="shared" si="165"/>
        <v>1.039519189921296E-11</v>
      </c>
      <c r="AM203" s="59">
        <f t="shared" si="193"/>
        <v>293.33333333334372</v>
      </c>
      <c r="AN203" s="59">
        <f ca="1">AVERAGE(OFFSET($AM$3,0,0,'Données projet'!$E$10+1,1))-AVERAGE(OFFSET($H$3,0,0,'Données projet'!$E$10+1,1))</f>
        <v>581.88778927327667</v>
      </c>
      <c r="AO203" s="59">
        <f t="shared" si="205"/>
        <v>269.67340993773422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132.87227715255935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132.87227715255935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1.3267648858502221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6" sqref="J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7.8000000000000007</v>
      </c>
      <c r="C6" s="147">
        <f ca="1">IF(OR('Données projet'!B9="",'Données projet'!C9="",'Données projet'!C9=0%),0,Calculateur!S3)</f>
        <v>300.80663531652721</v>
      </c>
      <c r="D6" s="147">
        <f>IF(OR('Données projet'!B9="",'Données projet'!C9="",'Données projet'!C9=0%),0,Calculateur!T3)</f>
        <v>306.01967513533549</v>
      </c>
      <c r="E6" s="147">
        <f ca="1">MIN(C6,D6)</f>
        <v>300.80663531652721</v>
      </c>
      <c r="F6" s="147">
        <f ca="1">E6*B6</f>
        <v>2346.2917554689125</v>
      </c>
      <c r="G6" s="147">
        <f ca="1">F6*(100%-'Données projet'!$C$24)*(100%-'Données projet'!$C$25)*(100%-'Données projet'!$C$26)*(100%-'Données projet'!$C$27)</f>
        <v>1794.9131929337182</v>
      </c>
      <c r="H6" s="148">
        <f>IF(OR('Données projet'!B9="",'Données projet'!C9="",'Données projet'!C9=0%),0,AVERAGE(Calculateur!$AC$3:$AC$33)*B6)</f>
        <v>85.532548672497015</v>
      </c>
      <c r="I6" s="149">
        <f>H6*(100%-'Données projet'!$C$24)*(100%-'Données projet'!$C$25)*(100%-'Données projet'!$C$26)*(100%-'Données projet'!$C$27)</f>
        <v>65.432399734460205</v>
      </c>
      <c r="J6" s="150">
        <f>IF(OR('Données projet'!B9="",'Données projet'!C9="",'Données projet'!C9=0%),0,SUM(Calculateur!$V$3:$V$33)*VLOOKUP('Données projet'!$B$9,Paramètres!$A$1:$I$89,9,0)*B6)</f>
        <v>704.79629999999986</v>
      </c>
      <c r="K6" s="151">
        <f>J6*(100%-'Données projet'!$C$24)*(100%-'Données projet'!$C$25)*(100%-'Données projet'!$C$26)*(100%-'Données projet'!$C$27)</f>
        <v>539.16916949999995</v>
      </c>
      <c r="L6" s="152">
        <f ca="1">G6+I6+K6</f>
        <v>2399.5147621681781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0.2</v>
      </c>
      <c r="C7" s="147">
        <f ca="1">IF(OR('Données projet'!B10="",'Données projet'!C10="",'Données projet'!C10=0%),0,Calculateur!AN3)</f>
        <v>581.88778927327667</v>
      </c>
      <c r="D7" s="147">
        <f>IF(OR('Données projet'!B10="",'Données projet'!C10="",'Données projet'!C10=0%),0,Calculateur!AO3)</f>
        <v>269.67340993773422</v>
      </c>
      <c r="E7" s="147">
        <f t="shared" ref="E7:E15" ca="1" si="0">MIN(C7,D7)</f>
        <v>269.67340993773422</v>
      </c>
      <c r="F7" s="147">
        <f t="shared" ref="F7:F15" ca="1" si="1">E7*B7</f>
        <v>53.934681987546846</v>
      </c>
      <c r="G7" s="147">
        <f ca="1">F7*(100%-'Données projet'!$C$24)*(100%-'Données projet'!$C$25)*(100%-'Données projet'!$C$26)*(100%-'Données projet'!$C$27)</f>
        <v>41.260031720473336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41.260031720473336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2400.2264374564593</v>
      </c>
      <c r="G16" s="166">
        <f t="shared" ca="1" si="3"/>
        <v>1836.1732246541915</v>
      </c>
      <c r="H16" s="167">
        <f t="shared" si="3"/>
        <v>85.532548672497015</v>
      </c>
      <c r="I16" s="167">
        <f t="shared" si="3"/>
        <v>65.432399734460205</v>
      </c>
      <c r="J16" s="168">
        <f t="shared" si="3"/>
        <v>704.79629999999986</v>
      </c>
      <c r="K16" s="168">
        <f t="shared" si="3"/>
        <v>539.16916949999995</v>
      </c>
      <c r="L16" s="169">
        <f t="shared" ca="1" si="3"/>
        <v>2440.7747938886514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1" zoomScale="80" zoomScaleNormal="80" workbookViewId="0">
      <selection activeCell="N18" sqref="N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-1351.6949101584667</v>
      </c>
      <c r="U10" s="178">
        <f>'Données projet'!D9</f>
        <v>7.8000000000000007</v>
      </c>
      <c r="V10" s="177">
        <f>U10*T10</f>
        <v>-10543.220299236042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-11777.466777630034</v>
      </c>
      <c r="U11" s="178">
        <f>'Données projet'!D10</f>
        <v>0.2</v>
      </c>
      <c r="V11" s="177">
        <f t="shared" ref="V11" si="0">U11*T11</f>
        <v>-2355.4933555260068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2285</v>
      </c>
      <c r="F17" s="230"/>
      <c r="G17" s="289"/>
      <c r="I17" s="1" t="s">
        <v>326</v>
      </c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v>550</v>
      </c>
      <c r="F18" s="230"/>
      <c r="G18" s="289"/>
      <c r="I18" s="1" t="s">
        <v>325</v>
      </c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v>550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650/'Données projet'!C5+20</f>
        <v>85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20+700/'Données projet'!C5+20*'Données projet'!C5</f>
        <v>290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40.76</v>
      </c>
      <c r="C23" s="193">
        <v>5</v>
      </c>
      <c r="D23" s="182">
        <f>B23*C23</f>
        <v>203.79999999999998</v>
      </c>
      <c r="E23" s="193"/>
      <c r="F23" s="230"/>
      <c r="H23" s="190">
        <v>4</v>
      </c>
      <c r="I23" s="191">
        <v>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-19698.259324923936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23</v>
      </c>
      <c r="B24" s="181">
        <f>'Données projet'!D37</f>
        <v>57.75</v>
      </c>
      <c r="C24" s="193">
        <v>8.5</v>
      </c>
      <c r="D24" s="182">
        <f t="shared" ref="D24:D42" si="2">B24*C24</f>
        <v>490.875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21638.022038205832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29</v>
      </c>
      <c r="B25" s="181">
        <f>'Données projet'!D38</f>
        <v>54.64</v>
      </c>
      <c r="C25" s="193">
        <v>8.5</v>
      </c>
      <c r="D25" s="182">
        <f t="shared" si="2"/>
        <v>464.44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100</v>
      </c>
      <c r="Q25" s="234"/>
      <c r="R25" s="23"/>
      <c r="S25" s="186" t="s">
        <v>266</v>
      </c>
      <c r="T25" s="303">
        <f ca="1">T23-T24</f>
        <v>-41336.281363129769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36</v>
      </c>
      <c r="B26" s="181">
        <f>'Données projet'!D39</f>
        <v>76.069999999999993</v>
      </c>
      <c r="C26" s="193">
        <v>15.5</v>
      </c>
      <c r="D26" s="182">
        <f t="shared" si="2"/>
        <v>1179.0849999999998</v>
      </c>
      <c r="E26" s="193"/>
      <c r="F26" s="233"/>
      <c r="G26" s="229"/>
      <c r="H26" s="190">
        <v>7</v>
      </c>
      <c r="I26" s="191">
        <v>20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44</v>
      </c>
      <c r="B27" s="181">
        <f>'Données projet'!D40</f>
        <v>77.91</v>
      </c>
      <c r="C27" s="193">
        <v>15.5</v>
      </c>
      <c r="D27" s="182">
        <f t="shared" si="2"/>
        <v>1207.605</v>
      </c>
      <c r="E27" s="193"/>
      <c r="F27" s="233"/>
      <c r="G27" s="229"/>
      <c r="H27" s="190">
        <v>8</v>
      </c>
      <c r="I27" s="191">
        <v>20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52</v>
      </c>
      <c r="B28" s="181">
        <f>'Données projet'!D41</f>
        <v>75.37</v>
      </c>
      <c r="C28" s="193">
        <v>29.5</v>
      </c>
      <c r="D28" s="182">
        <f t="shared" si="2"/>
        <v>2223.415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60</v>
      </c>
      <c r="B29" s="181">
        <f>'Données projet'!D42</f>
        <v>436.34</v>
      </c>
      <c r="C29" s="193">
        <v>29.5</v>
      </c>
      <c r="D29" s="182">
        <f t="shared" si="2"/>
        <v>12872.029999999999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2163.8022038205831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100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95.693779904306226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91.572995123738025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87.629660405490938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83.856134359321487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80.245104650068413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76.789573827816682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73.482845768245625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70.31851269688579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67.290442772139514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64.392768203004323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61.619873878473044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58.966386486577086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56.427164101987636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53.997286221997754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12285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51.672044231576791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v>550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49.446932279020878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v>550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47.317638544517585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45.280036884705829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43.330178837039071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41.464285968458455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58</v>
      </c>
      <c r="D54" s="179">
        <f>B54*C54</f>
        <v>2506.1799999999998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39.678742553548759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58</v>
      </c>
      <c r="D55" s="179">
        <f t="shared" ref="D55:D73" si="4">B55*C55</f>
        <v>2063.64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37.970088567989251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58</v>
      </c>
      <c r="D56" s="179">
        <f t="shared" si="4"/>
        <v>2605.94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36.335012983721775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106</v>
      </c>
      <c r="D57" s="179">
        <f t="shared" si="4"/>
        <v>5290.46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34.770347352843807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106</v>
      </c>
      <c r="D58" s="179">
        <f t="shared" si="4"/>
        <v>5024.3999999999996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33.27305966779312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106</v>
      </c>
      <c r="D59" s="179">
        <f t="shared" si="4"/>
        <v>6515.82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31.840248485926438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106</v>
      </c>
      <c r="D60" s="179">
        <f t="shared" si="4"/>
        <v>6556.1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30.469137307106639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106</v>
      </c>
      <c r="D61" s="179">
        <f t="shared" si="4"/>
        <v>6380.1399999999994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29.15706919340349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106</v>
      </c>
      <c r="D62" s="179">
        <f t="shared" si="4"/>
        <v>5943.42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27.901501620481802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106</v>
      </c>
      <c r="D63" s="179">
        <f t="shared" si="4"/>
        <v>5568.18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26.7000015507003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106</v>
      </c>
      <c r="D64" s="179">
        <f t="shared" si="4"/>
        <v>5824.7000000000007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25.550240718373487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106</v>
      </c>
      <c r="D65" s="179">
        <f t="shared" si="4"/>
        <v>5937.0599999999995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24.449991118060769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106</v>
      </c>
      <c r="D66" s="179">
        <f t="shared" si="4"/>
        <v>5843.7800000000007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23.397120687139495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106</v>
      </c>
      <c r="D67" s="179">
        <f t="shared" si="4"/>
        <v>6315.48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22.389589174296169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106</v>
      </c>
      <c r="D68" s="179">
        <f t="shared" si="4"/>
        <v>22765.620000000003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21.425444185929347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106</v>
      </c>
      <c r="D69" s="179">
        <f t="shared" si="4"/>
        <v>12210.14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20.50281740280321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106</v>
      </c>
      <c r="D70" s="179">
        <f t="shared" si="4"/>
        <v>8238.32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19.619920959620295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106</v>
      </c>
      <c r="D71" s="179">
        <f t="shared" si="4"/>
        <v>17994.559999999998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18.775043980497895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17.966549263634349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17.192870108741008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16.452507281091876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15.744026106308016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15.066053690246907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14.417276258609482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13.79643661110955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/>
      <c r="D79" s="197" t="s">
        <v>132</v>
      </c>
      <c r="E79" s="193">
        <v>12434.999999999998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13.2023316852723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/>
      <c r="D80" s="197" t="s">
        <v>132</v>
      </c>
      <c r="E80" s="193">
        <v>150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12.633810225140957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/>
      <c r="D81" s="197" t="s">
        <v>132</v>
      </c>
      <c r="E81" s="193">
        <v>150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12.089770550374126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/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11.569158421410647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/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11.070964996565214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/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10.5942248770959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10.138014236455408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9.7014490301008696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9.283683282393179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8.8839074472661999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8.5013468394891873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8.1352601334824772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7.7849379267774923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7.4497013653373134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7.1289008280739852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2.xml><?xml version="1.0" encoding="utf-8"?>
<ds:datastoreItem xmlns:ds="http://schemas.openxmlformats.org/officeDocument/2006/customXml" ds:itemID="{3BA2363C-464C-4693-8D96-90536056D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2024-04-09T12:19:32Z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