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Q:\GCF\ENVIRONNEMENT\7_CARBONE\Coopératives\AFB\Projets_LBC\Projets_Tests\Agence Poitou-ValdeLoire-Bretagne\Projet Oyré_112021\"/>
    </mc:Choice>
  </mc:AlternateContent>
  <bookViews>
    <workbookView xWindow="0" yWindow="0" windowWidth="28800" windowHeight="12708" tabRatio="866" activeTab="5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EA4" i="2" s="1"/>
  <c r="GI4" i="2"/>
  <c r="GL4" i="2" s="1"/>
  <c r="CI4" i="2"/>
  <c r="ET4" i="2"/>
  <c r="DC4" i="2"/>
  <c r="BM4" i="2"/>
  <c r="DD4" i="2"/>
  <c r="CH4" i="2"/>
  <c r="BN4" i="2"/>
  <c r="BQ4" i="2" s="1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HI4" i="2" l="1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EA5" i="2" s="1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HI5" i="2" l="1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R6" i="2" s="1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EA6" i="2" s="1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V6" i="2" l="1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V7" i="2" s="1"/>
  <c r="ET7" i="2"/>
  <c r="EW7" i="2" s="1"/>
  <c r="FO7" i="2"/>
  <c r="FN7" i="2"/>
  <c r="DY7" i="2"/>
  <c r="EB7" i="2" s="1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I7" i="2" s="1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FS7" i="2" l="1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HG9" i="2" s="1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I9" i="2" l="1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HH10" i="2" s="1"/>
  <c r="GI10" i="2"/>
  <c r="GJ10" i="2"/>
  <c r="ET10" i="2"/>
  <c r="FN10" i="2"/>
  <c r="FO10" i="2"/>
  <c r="BN10" i="2"/>
  <c r="ES10" i="2"/>
  <c r="DX10" i="2"/>
  <c r="EA10" i="2" s="1"/>
  <c r="CH10" i="2"/>
  <c r="AS10" i="2"/>
  <c r="DC10" i="2"/>
  <c r="BM10" i="2"/>
  <c r="W10" i="2"/>
  <c r="X10" i="2"/>
  <c r="DY10" i="2"/>
  <c r="EB10" i="2" s="1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I10" i="2" l="1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HH12" i="2" s="1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I12" i="2" l="1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EC13" i="2" s="1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I13" i="2" l="1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G14" i="2" s="1"/>
  <c r="HE14" i="2"/>
  <c r="HH14" i="2" s="1"/>
  <c r="GI14" i="2"/>
  <c r="ET14" i="2"/>
  <c r="FO14" i="2"/>
  <c r="FN14" i="2"/>
  <c r="GJ14" i="2"/>
  <c r="DY14" i="2"/>
  <c r="EB14" i="2" s="1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I14" i="2" l="1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V15" i="2" s="1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FS15" i="2" s="1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HI15" i="2" l="1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EA16" i="2" s="1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C16" i="2" l="1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G18" i="2" s="1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HI18" i="2" l="1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HG20" i="2" s="1"/>
  <c r="GJ20" i="2"/>
  <c r="FO20" i="2"/>
  <c r="DY20" i="2"/>
  <c r="ES20" i="2"/>
  <c r="EV20" i="2" s="1"/>
  <c r="DX20" i="2"/>
  <c r="CI20" i="2"/>
  <c r="BM20" i="2"/>
  <c r="GI20" i="2"/>
  <c r="ET20" i="2"/>
  <c r="EW20" i="2" s="1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HI20" i="2" l="1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HH21" i="2" s="1"/>
  <c r="GJ21" i="2"/>
  <c r="HD21" i="2"/>
  <c r="GI21" i="2"/>
  <c r="FO21" i="2"/>
  <c r="FN21" i="2"/>
  <c r="DY21" i="2"/>
  <c r="EB21" i="2" s="1"/>
  <c r="ET21" i="2"/>
  <c r="EW21" i="2" s="1"/>
  <c r="ES21" i="2"/>
  <c r="EV21" i="2" s="1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X21" i="2" l="1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G22" i="2" s="1"/>
  <c r="HE22" i="2"/>
  <c r="HH22" i="2" s="1"/>
  <c r="GI22" i="2"/>
  <c r="GJ22" i="2"/>
  <c r="ET22" i="2"/>
  <c r="EW22" i="2" s="1"/>
  <c r="FO22" i="2"/>
  <c r="FN22" i="2"/>
  <c r="DY22" i="2"/>
  <c r="EB22" i="2" s="1"/>
  <c r="ES22" i="2"/>
  <c r="BN22" i="2"/>
  <c r="CH22" i="2"/>
  <c r="AS22" i="2"/>
  <c r="W22" i="2"/>
  <c r="DX22" i="2"/>
  <c r="EA22" i="2" s="1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I22" i="2" l="1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HG24" i="2" s="1"/>
  <c r="GJ24" i="2"/>
  <c r="FO24" i="2"/>
  <c r="FR24" i="2" s="1"/>
  <c r="GI24" i="2"/>
  <c r="DY24" i="2"/>
  <c r="ES24" i="2"/>
  <c r="DX24" i="2"/>
  <c r="FN24" i="2"/>
  <c r="ET24" i="2"/>
  <c r="EW24" i="2" s="1"/>
  <c r="CI24" i="2"/>
  <c r="BM24" i="2"/>
  <c r="DD24" i="2"/>
  <c r="DC24" i="2"/>
  <c r="AR24" i="2"/>
  <c r="AS24" i="2"/>
  <c r="CH24" i="2"/>
  <c r="BN24" i="2"/>
  <c r="X24" i="2"/>
  <c r="W24" i="2"/>
  <c r="HE24" i="2"/>
  <c r="HH24" i="2" s="1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EC24" i="2" l="1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FS26" i="2" l="1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C27" i="2" l="1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B28" i="2" s="1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FS28" i="2" s="1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X28" i="2" l="1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C29" i="2" l="1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EV30" i="2" s="1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HI30" i="2" l="1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DG31" i="2" s="1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EC31" i="2" l="1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HH33" i="2" s="1"/>
  <c r="GJ33" i="2"/>
  <c r="HD33" i="2"/>
  <c r="HG33" i="2" s="1"/>
  <c r="FO33" i="2"/>
  <c r="FN33" i="2"/>
  <c r="GI33" i="2"/>
  <c r="DY33" i="2"/>
  <c r="EB33" i="2" s="1"/>
  <c r="DD33" i="2"/>
  <c r="ET33" i="2"/>
  <c r="EW33" i="2" s="1"/>
  <c r="CH33" i="2"/>
  <c r="AS33" i="2"/>
  <c r="CI33" i="2"/>
  <c r="BM33" i="2"/>
  <c r="X33" i="2"/>
  <c r="ES33" i="2"/>
  <c r="EV33" i="2" s="1"/>
  <c r="DX33" i="2"/>
  <c r="EA33" i="2" s="1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GM33" i="2" l="1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EW34" i="2" s="1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CM34" i="2" l="1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HH35" i="2" s="1"/>
  <c r="GI35" i="2"/>
  <c r="FO35" i="2"/>
  <c r="ES35" i="2"/>
  <c r="ET35" i="2"/>
  <c r="DX35" i="2"/>
  <c r="EA35" i="2" s="1"/>
  <c r="DC35" i="2"/>
  <c r="DD35" i="2"/>
  <c r="BN35" i="2"/>
  <c r="CI35" i="2"/>
  <c r="BM35" i="2"/>
  <c r="W35" i="2"/>
  <c r="FN35" i="2"/>
  <c r="FQ35" i="2" s="1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S35" i="2" l="1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B37" i="2" s="1"/>
  <c r="ET37" i="2"/>
  <c r="ES37" i="2"/>
  <c r="DD37" i="2"/>
  <c r="CH37" i="2"/>
  <c r="AS37" i="2"/>
  <c r="DX37" i="2"/>
  <c r="EA37" i="2" s="1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I37" i="2" l="1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HH38" i="2" s="1"/>
  <c r="GI38" i="2"/>
  <c r="GJ38" i="2"/>
  <c r="ET38" i="2"/>
  <c r="EW38" i="2" s="1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I38" i="2" s="1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V38" i="2" l="1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HG40" i="2" s="1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EX40" i="2" l="1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G42" i="2" s="1"/>
  <c r="HE42" i="2"/>
  <c r="GI42" i="2"/>
  <c r="GJ42" i="2"/>
  <c r="ET42" i="2"/>
  <c r="FN42" i="2"/>
  <c r="FO42" i="2"/>
  <c r="DY42" i="2"/>
  <c r="BN42" i="2"/>
  <c r="ES42" i="2"/>
  <c r="EV42" i="2" s="1"/>
  <c r="DX42" i="2"/>
  <c r="EA42" i="2" s="1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C42" i="2" l="1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EA43" i="2" s="1"/>
  <c r="W43" i="2"/>
  <c r="DD43" i="2"/>
  <c r="DG43" i="2" s="1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FS43" i="2" l="1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EW44" i="2" s="1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I44" i="2" l="1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B45" i="2" s="1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C45" i="2" l="1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EW46" i="2" s="1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FS46" i="2" l="1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G47" i="2" s="1"/>
  <c r="HE47" i="2"/>
  <c r="GI47" i="2"/>
  <c r="GJ47" i="2"/>
  <c r="ES47" i="2"/>
  <c r="ET47" i="2"/>
  <c r="FN47" i="2"/>
  <c r="FO47" i="2"/>
  <c r="DC47" i="2"/>
  <c r="DX47" i="2"/>
  <c r="EA47" i="2" s="1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FS47" i="2" l="1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G48" i="2" s="1"/>
  <c r="HE48" i="2"/>
  <c r="HH48" i="2" s="1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EC48" i="2" s="1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FS48" i="2" l="1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G50" i="2" s="1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I50" i="2" s="1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EW50" i="2" l="1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EB51" i="2" s="1"/>
  <c r="DX51" i="2"/>
  <c r="EA51" i="2" s="1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HI51" i="2" l="1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EV52" i="2" s="1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HI52" i="2" l="1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EA53" i="2" s="1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C53" i="2" l="1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HG56" i="2" s="1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HG57" i="2" s="1"/>
  <c r="FN57" i="2"/>
  <c r="DY57" i="2"/>
  <c r="EB57" i="2" s="1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C57" i="2" l="1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EA58" i="2" s="1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X58" i="2" l="1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FS59" i="2" l="1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G60" i="2" s="1"/>
  <c r="HE60" i="2"/>
  <c r="HH60" i="2" s="1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EW60" i="2" s="1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FS60" i="2" l="1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EV61" i="2" s="1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HI61" i="2" l="1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B62" i="2" s="1"/>
  <c r="ES62" i="2"/>
  <c r="DX62" i="2"/>
  <c r="EA62" i="2" s="1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C62" i="2" l="1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I63" i="2" l="1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EV64" i="2" s="1"/>
  <c r="DX64" i="2"/>
  <c r="EA64" i="2" s="1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I64" i="2" l="1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HH66" i="2" s="1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W66" i="2" l="1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HH67" i="2" s="1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FS67" i="2" l="1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HI69" i="2" l="1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G70" i="2" s="1"/>
  <c r="HE70" i="2"/>
  <c r="GI70" i="2"/>
  <c r="GJ70" i="2"/>
  <c r="ET70" i="2"/>
  <c r="EW70" i="2" s="1"/>
  <c r="FO70" i="2"/>
  <c r="FN70" i="2"/>
  <c r="ES70" i="2"/>
  <c r="BN70" i="2"/>
  <c r="DY70" i="2"/>
  <c r="EB70" i="2" s="1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C70" i="2" l="1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EW71" i="2" s="1"/>
  <c r="FO71" i="2"/>
  <c r="FN71" i="2"/>
  <c r="DY71" i="2"/>
  <c r="DD71" i="2"/>
  <c r="DC71" i="2"/>
  <c r="BN71" i="2"/>
  <c r="DX71" i="2"/>
  <c r="EA71" i="2" s="1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I71" i="2" l="1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EW73" i="2" s="1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X73" i="2" l="1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G74" i="2" s="1"/>
  <c r="HE74" i="2"/>
  <c r="GI74" i="2"/>
  <c r="GJ74" i="2"/>
  <c r="ET74" i="2"/>
  <c r="EW74" i="2" s="1"/>
  <c r="FN74" i="2"/>
  <c r="FO74" i="2"/>
  <c r="FR74" i="2" s="1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S74" i="2" s="1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C74" i="2" l="1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EB75" i="2" s="1"/>
  <c r="FN75" i="2"/>
  <c r="DC75" i="2"/>
  <c r="BN75" i="2"/>
  <c r="CI75" i="2"/>
  <c r="BM75" i="2"/>
  <c r="DX75" i="2"/>
  <c r="EA75" i="2" s="1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X75" i="2" l="1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W77" i="2" s="1"/>
  <c r="ES77" i="2"/>
  <c r="DD77" i="2"/>
  <c r="CH77" i="2"/>
  <c r="AS77" i="2"/>
  <c r="CI77" i="2"/>
  <c r="BM77" i="2"/>
  <c r="DY77" i="2"/>
  <c r="EB77" i="2" s="1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FS77" i="2" l="1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EW78" i="2" s="1"/>
  <c r="FO78" i="2"/>
  <c r="FN78" i="2"/>
  <c r="ES78" i="2"/>
  <c r="EV78" i="2" s="1"/>
  <c r="DX78" i="2"/>
  <c r="BN78" i="2"/>
  <c r="DD78" i="2"/>
  <c r="CH78" i="2"/>
  <c r="AS78" i="2"/>
  <c r="W78" i="2"/>
  <c r="DY78" i="2"/>
  <c r="EB78" i="2" s="1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AU78" i="2" l="1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G80" i="2" s="1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EC80" i="2" l="1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G82" i="2" s="1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X82" i="2" l="1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HG84" i="2" s="1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EC84" i="2" l="1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HG85" i="2" s="1"/>
  <c r="GI85" i="2"/>
  <c r="FO85" i="2"/>
  <c r="FN85" i="2"/>
  <c r="ET85" i="2"/>
  <c r="EW85" i="2" s="1"/>
  <c r="ES85" i="2"/>
  <c r="EV85" i="2" s="1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FS85" i="2" l="1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EB86" i="2" s="1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FS86" i="2" l="1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G87" i="2" s="1"/>
  <c r="HE87" i="2"/>
  <c r="GI87" i="2"/>
  <c r="GJ87" i="2"/>
  <c r="ES87" i="2"/>
  <c r="ET87" i="2"/>
  <c r="FO87" i="2"/>
  <c r="FN87" i="2"/>
  <c r="DY87" i="2"/>
  <c r="EB87" i="2" s="1"/>
  <c r="DD87" i="2"/>
  <c r="DC87" i="2"/>
  <c r="BN87" i="2"/>
  <c r="CI87" i="2"/>
  <c r="CH87" i="2"/>
  <c r="AS87" i="2"/>
  <c r="W87" i="2"/>
  <c r="DX87" i="2"/>
  <c r="EA87" i="2" s="1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HI87" i="2" l="1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HG89" i="2" s="1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FS89" i="2" l="1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EC90" i="2" l="1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EA91" i="2" s="1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X91" i="2" l="1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EW92" i="2" s="1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EX92" i="2" s="1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HI92" i="2" l="1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EC93" i="2" s="1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FS93" i="2" l="1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G94" i="2" s="1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EX94" i="2" l="1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FQ95" i="2" s="1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S95" i="2" l="1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C98" i="2" l="1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HH99" i="2" s="1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X99" i="2" l="1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EV100" i="2" s="1"/>
  <c r="DX100" i="2"/>
  <c r="GI100" i="2"/>
  <c r="CI100" i="2"/>
  <c r="BM100" i="2"/>
  <c r="ET100" i="2"/>
  <c r="EW100" i="2" s="1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EX100" i="2" s="1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AU100" i="2" l="1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EX104" i="2" s="1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HI104" i="2" l="1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HH105" i="2" s="1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X105" i="2" l="1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I106" i="2" l="1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EB107" i="2" s="1"/>
  <c r="FN107" i="2"/>
  <c r="DC107" i="2"/>
  <c r="DD107" i="2"/>
  <c r="BN107" i="2"/>
  <c r="CI107" i="2"/>
  <c r="BM107" i="2"/>
  <c r="DX107" i="2"/>
  <c r="EA107" i="2" s="1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EC107" i="2" s="1"/>
  <c r="DB107" i="2"/>
  <c r="DZ107" i="2"/>
  <c r="DL107" i="2"/>
  <c r="DE107" i="2"/>
  <c r="EQ107" i="2"/>
  <c r="EH107" i="2"/>
  <c r="CJ107" i="2"/>
  <c r="CR107" i="2"/>
  <c r="FP107" i="2"/>
  <c r="FB107" i="2"/>
  <c r="ER107" i="2"/>
  <c r="EX107" i="2" s="1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HI107" i="2" l="1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EA108" i="2" s="1"/>
  <c r="CI108" i="2"/>
  <c r="BM108" i="2"/>
  <c r="FN108" i="2"/>
  <c r="DY108" i="2"/>
  <c r="EB108" i="2" s="1"/>
  <c r="DC108" i="2"/>
  <c r="ET108" i="2"/>
  <c r="EW108" i="2" s="1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X108" i="2" l="1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EB109" i="2" s="1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EX109" i="2" s="1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HI109" i="2" l="1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G110" i="2" s="1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EB110" i="2" s="1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I110" i="2" l="1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EB112" i="2" s="1"/>
  <c r="CI112" i="2"/>
  <c r="BM112" i="2"/>
  <c r="DC112" i="2"/>
  <c r="AR112" i="2"/>
  <c r="CH112" i="2"/>
  <c r="DD112" i="2"/>
  <c r="BN112" i="2"/>
  <c r="AS112" i="2"/>
  <c r="X112" i="2"/>
  <c r="W112" i="2"/>
  <c r="HC112" i="2"/>
  <c r="HI112" i="2" s="1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FS112" i="2" l="1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HG113" i="2" s="1"/>
  <c r="GJ113" i="2"/>
  <c r="FO113" i="2"/>
  <c r="FN113" i="2"/>
  <c r="GI113" i="2"/>
  <c r="ET113" i="2"/>
  <c r="EW113" i="2" s="1"/>
  <c r="CH113" i="2"/>
  <c r="AS113" i="2"/>
  <c r="DY113" i="2"/>
  <c r="EB113" i="2" s="1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AW113" i="2" l="1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EW114" i="2" s="1"/>
  <c r="FN114" i="2"/>
  <c r="DD114" i="2"/>
  <c r="BN114" i="2"/>
  <c r="FO114" i="2"/>
  <c r="CH114" i="2"/>
  <c r="AS114" i="2"/>
  <c r="ES114" i="2"/>
  <c r="EV114" i="2" s="1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C114" i="2" l="1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HI115" i="2" l="1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HG116" i="2" s="1"/>
  <c r="FO116" i="2"/>
  <c r="HE116" i="2"/>
  <c r="GJ116" i="2"/>
  <c r="ES116" i="2"/>
  <c r="EV116" i="2" s="1"/>
  <c r="DX116" i="2"/>
  <c r="EA116" i="2" s="1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I116" i="2" l="1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X117" i="2" l="1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FQ118" i="2" s="1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S118" i="2" s="1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I118" i="2" l="1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G119" i="2" s="1"/>
  <c r="HE119" i="2"/>
  <c r="GI119" i="2"/>
  <c r="GJ119" i="2"/>
  <c r="ES119" i="2"/>
  <c r="ET119" i="2"/>
  <c r="FO119" i="2"/>
  <c r="FR119" i="2" s="1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HI119" i="2" l="1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HH120" i="2" s="1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C120" i="2" l="1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EA121" i="2" s="1"/>
  <c r="CH121" i="2"/>
  <c r="AS121" i="2"/>
  <c r="CI121" i="2"/>
  <c r="BM121" i="2"/>
  <c r="X121" i="2"/>
  <c r="ET121" i="2"/>
  <c r="DY121" i="2"/>
  <c r="EB121" i="2" s="1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AW121" i="2" l="1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HH122" i="2" s="1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AU122" i="2" l="1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HH123" i="2" s="1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FS123" i="2" l="1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EX124" i="2" s="1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C124" i="2" l="1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EC125" i="2" s="1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FS125" i="2" l="1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G126" i="2" s="1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I126" i="2" l="1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V127" i="2" s="1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C127" i="2" l="1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EB128" i="2" s="1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EX128" i="2" s="1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I128" i="2" l="1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G130" i="2" s="1"/>
  <c r="HE130" i="2"/>
  <c r="HH130" i="2" s="1"/>
  <c r="GI130" i="2"/>
  <c r="GJ130" i="2"/>
  <c r="ET130" i="2"/>
  <c r="EW130" i="2" s="1"/>
  <c r="FN130" i="2"/>
  <c r="DD130" i="2"/>
  <c r="BN130" i="2"/>
  <c r="CH130" i="2"/>
  <c r="AS130" i="2"/>
  <c r="DY130" i="2"/>
  <c r="EB130" i="2" s="1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A130" i="2" l="1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G132" i="2" s="1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EC132" i="2" s="1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I132" i="2" l="1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W133" i="2" s="1"/>
  <c r="ES133" i="2"/>
  <c r="EV133" i="2" s="1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I133" i="2" l="1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EW134" i="2" s="1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C134" i="2" l="1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EW135" i="2" s="1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HI135" i="2" l="1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H137" i="2" s="1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EX137" i="2" s="1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FS137" i="2" l="1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EB138" i="2" s="1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HI138" i="2" l="1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EB139" i="2" s="1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X139" i="2" l="1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G140" i="2" s="1"/>
  <c r="HE140" i="2"/>
  <c r="HH140" i="2" s="1"/>
  <c r="FO140" i="2"/>
  <c r="FR140" i="2" s="1"/>
  <c r="GI140" i="2"/>
  <c r="ES140" i="2"/>
  <c r="DX140" i="2"/>
  <c r="CI140" i="2"/>
  <c r="BM140" i="2"/>
  <c r="GJ140" i="2"/>
  <c r="FN140" i="2"/>
  <c r="DY140" i="2"/>
  <c r="EB140" i="2" s="1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EX140" i="2" s="1"/>
  <c r="DV140" i="2"/>
  <c r="DM140" i="2"/>
  <c r="DA140" i="2"/>
  <c r="EU140" i="2"/>
  <c r="EG140" i="2"/>
  <c r="DW140" i="2"/>
  <c r="EC140" i="2" s="1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HI140" i="2" l="1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EB141" i="2" s="1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X141" i="2" l="1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FS142" i="2" l="1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FS143" i="2" s="1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C143" i="2" l="1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G144" i="2" s="1"/>
  <c r="HE144" i="2"/>
  <c r="HH144" i="2" s="1"/>
  <c r="FO144" i="2"/>
  <c r="FR144" i="2" s="1"/>
  <c r="GJ144" i="2"/>
  <c r="GI144" i="2"/>
  <c r="ES144" i="2"/>
  <c r="DX144" i="2"/>
  <c r="EA144" i="2" s="1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HI144" i="2" l="1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EX145" i="2" s="1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HI145" i="2" l="1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G146" i="2" s="1"/>
  <c r="HE146" i="2"/>
  <c r="HH146" i="2" s="1"/>
  <c r="GJ146" i="2"/>
  <c r="GI146" i="2"/>
  <c r="ET146" i="2"/>
  <c r="FN146" i="2"/>
  <c r="DD146" i="2"/>
  <c r="BN146" i="2"/>
  <c r="FO146" i="2"/>
  <c r="FR146" i="2" s="1"/>
  <c r="CH146" i="2"/>
  <c r="ES146" i="2"/>
  <c r="DX146" i="2"/>
  <c r="EA146" i="2" s="1"/>
  <c r="DC146" i="2"/>
  <c r="W146" i="2"/>
  <c r="X146" i="2"/>
  <c r="DY146" i="2"/>
  <c r="BM146" i="2"/>
  <c r="AR146" i="2"/>
  <c r="CI146" i="2"/>
  <c r="AS146" i="2"/>
  <c r="HC146" i="2"/>
  <c r="HI146" i="2" s="1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X146" i="2" l="1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EW147" i="2" s="1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HI147" i="2" l="1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HH149" i="2" s="1"/>
  <c r="GJ149" i="2"/>
  <c r="HD149" i="2"/>
  <c r="HG149" i="2" s="1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EX149" i="2" s="1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FS149" i="2" l="1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EV150" i="2" s="1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I150" i="2" s="1"/>
  <c r="HF150" i="2"/>
  <c r="HB150" i="2"/>
  <c r="GS150" i="2"/>
  <c r="GR150" i="2"/>
  <c r="GK150" i="2"/>
  <c r="GH150" i="2"/>
  <c r="FL150" i="2"/>
  <c r="FC150" i="2"/>
  <c r="FW150" i="2"/>
  <c r="FM150" i="2"/>
  <c r="FS150" i="2" s="1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X150" i="2" l="1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V151" i="2" s="1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EC151" i="2" s="1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HI151" i="2" l="1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EB152" i="2" s="1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C152" i="2" l="1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EA153" i="2" s="1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HI153" i="2" l="1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EV156" i="2" l="1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B157" i="2" s="1"/>
  <c r="EG157" i="2"/>
  <c r="EH157" i="2"/>
  <c r="GK157" i="2"/>
  <c r="ER157" i="2"/>
  <c r="EX157" i="2" s="1"/>
  <c r="DM157" i="2"/>
  <c r="ES157" i="2"/>
  <c r="ET157" i="2"/>
  <c r="DW157" i="2"/>
  <c r="EC157" i="2" s="1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FS157" i="2" l="1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AU158" i="2" l="1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HH159" i="2" s="1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HI159" i="2" s="1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FS159" i="2" l="1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X160" i="2" l="1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AB161" i="2" s="1"/>
  <c r="H199" i="2"/>
  <c r="AX158" i="2"/>
  <c r="D200" i="2"/>
  <c r="G200" i="2" s="1"/>
  <c r="AW161" i="2" l="1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B162" i="2" s="1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FS162" i="2" l="1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I163" i="2" s="1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V163" i="2" s="1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FS163" i="2" l="1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EV164" i="2" s="1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C164" i="2" l="1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EB167" i="2" s="1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FS167" i="2" l="1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EV168" i="2" s="1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FS168" i="2" l="1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I169" i="2" l="1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C172" i="2" l="1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C173" i="2" l="1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A174" i="2" l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FS175" i="2" s="1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EW175" i="2" s="1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EA175" i="2" s="1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X175" i="2" l="1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X176" i="2" l="1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I177" i="2" l="1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B178" i="2" s="1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I178" i="2" l="1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V179" i="2" s="1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FS179" i="2" l="1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C180" i="2" l="1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EB183" i="2" s="1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X183" i="2" l="1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HG185" i="2" s="1"/>
  <c r="GJ185" i="2"/>
  <c r="HE185" i="2"/>
  <c r="HH185" i="2" s="1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AU185" i="2" l="1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X186" i="2" l="1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I187" i="2" l="1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FS188" i="2" l="1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C189" i="2" l="1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EW190" i="2" s="1"/>
  <c r="FC190" i="2"/>
  <c r="EH190" i="2"/>
  <c r="FN190" i="2"/>
  <c r="FP190" i="2"/>
  <c r="ER190" i="2"/>
  <c r="DX190" i="2"/>
  <c r="CR190" i="2"/>
  <c r="ES190" i="2"/>
  <c r="EV190" i="2" s="1"/>
  <c r="DY190" i="2"/>
  <c r="EB190" i="2" s="1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HI190" i="2" l="1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EC191" i="2" l="1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EA192" i="2" s="1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AW192" i="2" l="1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EX193" i="2" s="1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A193" i="2" s="1"/>
  <c r="EU193" i="2"/>
  <c r="DY193" i="2"/>
  <c r="EB193" i="2" s="1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FS193" i="2" l="1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AW194" i="2" l="1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A195" i="2" s="1"/>
  <c r="AX192" i="2"/>
  <c r="AU195" i="2" l="1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FS196" i="2" l="1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EC197" i="2" s="1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EV198" i="2" s="1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FS198" i="2" l="1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I199" i="2" l="1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HI200" i="2" l="1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HI201" i="2" l="1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EV202" i="2" l="1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BP203" i="2" s="1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EC203" i="2" l="1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<sst xmlns="http://schemas.openxmlformats.org/spreadsheetml/2006/main" count="1170" uniqueCount="324">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</sst>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2.1640152723910675</c:v>
                </c:pt>
                <c:pt idx="2">
                  <c:v>3.0202001643161789</c:v>
                </c:pt>
                <c:pt idx="3">
                  <c:v>4.2165973075165377</c:v>
                </c:pt>
                <c:pt idx="4">
                  <c:v>5.8889408145100033</c:v>
                </c:pt>
                <c:pt idx="5">
                  <c:v>8.2273224254568689</c:v>
                </c:pt>
                <c:pt idx="6">
                  <c:v>11.498035781218887</c:v>
                </c:pt>
                <c:pt idx="7">
                  <c:v>16.074227002137672</c:v>
                </c:pt>
                <c:pt idx="8">
                  <c:v>22.478912023918756</c:v>
                </c:pt>
                <c:pt idx="9">
                  <c:v>31.445364427110473</c:v>
                </c:pt>
                <c:pt idx="10">
                  <c:v>44.001907219056356</c:v>
                </c:pt>
                <c:pt idx="11">
                  <c:v>61.590996971852803</c:v>
                </c:pt>
                <c:pt idx="12">
                  <c:v>81.474868458628507</c:v>
                </c:pt>
                <c:pt idx="13">
                  <c:v>101.2351647140362</c:v>
                </c:pt>
                <c:pt idx="14">
                  <c:v>101.89207087914353</c:v>
                </c:pt>
                <c:pt idx="15">
                  <c:v>122.20760219903367</c:v>
                </c:pt>
                <c:pt idx="16">
                  <c:v>145.04629063911355</c:v>
                </c:pt>
                <c:pt idx="17">
                  <c:v>167.79880331835713</c:v>
                </c:pt>
                <c:pt idx="18">
                  <c:v>191.77248746980149</c:v>
                </c:pt>
                <c:pt idx="19">
                  <c:v>215.67636522938469</c:v>
                </c:pt>
                <c:pt idx="20">
                  <c:v>184.65292865116098</c:v>
                </c:pt>
                <c:pt idx="21">
                  <c:v>205.34750212087684</c:v>
                </c:pt>
                <c:pt idx="22">
                  <c:v>226.63832771007063</c:v>
                </c:pt>
                <c:pt idx="23">
                  <c:v>247.88335510881771</c:v>
                </c:pt>
                <c:pt idx="24">
                  <c:v>269.72899324208106</c:v>
                </c:pt>
                <c:pt idx="25">
                  <c:v>291.53481477536712</c:v>
                </c:pt>
                <c:pt idx="26">
                  <c:v>239.51926369573494</c:v>
                </c:pt>
                <c:pt idx="27">
                  <c:v>256.88368281077413</c:v>
                </c:pt>
                <c:pt idx="28">
                  <c:v>274.86322161173604</c:v>
                </c:pt>
                <c:pt idx="29">
                  <c:v>292.81634557312492</c:v>
                </c:pt>
                <c:pt idx="30">
                  <c:v>310.74490180919639</c:v>
                </c:pt>
                <c:pt idx="31">
                  <c:v>328.01139961554662</c:v>
                </c:pt>
                <c:pt idx="32">
                  <c:v>345.25783856692902</c:v>
                </c:pt>
                <c:pt idx="33">
                  <c:v>362.48536141537079</c:v>
                </c:pt>
                <c:pt idx="34">
                  <c:v>379.69499344441141</c:v>
                </c:pt>
                <c:pt idx="35">
                  <c:v>394.97817429257526</c:v>
                </c:pt>
                <c:pt idx="36">
                  <c:v>410.24854266397239</c:v>
                </c:pt>
                <c:pt idx="37">
                  <c:v>425.50664252865295</c:v>
                </c:pt>
                <c:pt idx="38">
                  <c:v>439.48288577116256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0251216"/>
        <c:axId val="-2030250672"/>
      </c:scatterChart>
      <c:valAx>
        <c:axId val="-203025121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30250672"/>
        <c:crosses val="autoZero"/>
        <c:crossBetween val="midCat"/>
      </c:valAx>
      <c:valAx>
        <c:axId val="-203025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30251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13410928"/>
        <c:axId val="-1213414192"/>
      </c:scatterChart>
      <c:valAx>
        <c:axId val="-121341092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3414192"/>
        <c:crosses val="autoZero"/>
        <c:crossBetween val="midCat"/>
      </c:valAx>
      <c:valAx>
        <c:axId val="-121341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3410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0235984"/>
        <c:axId val="-2030268080"/>
      </c:scatterChart>
      <c:valAx>
        <c:axId val="-203023598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30268080"/>
        <c:crosses val="autoZero"/>
        <c:crossBetween val="midCat"/>
      </c:valAx>
      <c:valAx>
        <c:axId val="-203026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302359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0250128"/>
        <c:axId val="-2030247408"/>
      </c:scatterChart>
      <c:valAx>
        <c:axId val="-203025012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30247408"/>
        <c:crosses val="autoZero"/>
        <c:crossBetween val="midCat"/>
      </c:valAx>
      <c:valAx>
        <c:axId val="-2030247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302501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0267536"/>
        <c:axId val="-2030266448"/>
      </c:scatterChart>
      <c:valAx>
        <c:axId val="-203026753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30266448"/>
        <c:crosses val="autoZero"/>
        <c:crossBetween val="midCat"/>
      </c:valAx>
      <c:valAx>
        <c:axId val="-2030266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30267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0265904"/>
        <c:axId val="-2030246320"/>
      </c:scatterChart>
      <c:valAx>
        <c:axId val="-2030265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30246320"/>
        <c:crosses val="autoZero"/>
        <c:crossBetween val="midCat"/>
      </c:valAx>
      <c:valAx>
        <c:axId val="-203024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30265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0245776"/>
        <c:axId val="-1213397872"/>
      </c:scatterChart>
      <c:valAx>
        <c:axId val="-203024577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3397872"/>
        <c:crosses val="autoZero"/>
        <c:crossBetween val="midCat"/>
      </c:valAx>
      <c:valAx>
        <c:axId val="-121339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302457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13395152"/>
        <c:axId val="-1213390256"/>
      </c:scatterChart>
      <c:valAx>
        <c:axId val="-121339515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3390256"/>
        <c:crosses val="autoZero"/>
        <c:crossBetween val="midCat"/>
      </c:valAx>
      <c:valAx>
        <c:axId val="-121339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33951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13402224"/>
        <c:axId val="-1213386992"/>
      </c:scatterChart>
      <c:valAx>
        <c:axId val="-12134022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3386992"/>
        <c:crosses val="autoZero"/>
        <c:crossBetween val="midCat"/>
      </c:valAx>
      <c:valAx>
        <c:axId val="-121338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3402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13415280"/>
        <c:axId val="-1213386448"/>
      </c:scatterChart>
      <c:valAx>
        <c:axId val="-121341528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3386448"/>
        <c:crosses val="autoZero"/>
        <c:crossBetween val="midCat"/>
      </c:valAx>
      <c:valAx>
        <c:axId val="-121338644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34152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77734375" customWidth="1"/>
    <col min="2" max="13" width="15.77734375" customWidth="1"/>
  </cols>
  <sheetData>
    <row r="12" spans="2:13" ht="15" customHeight="1" x14ac:dyDescent="0.3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3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3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3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3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3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3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3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3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3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3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3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3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3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3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3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3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3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3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S427"/>
  <sheetViews>
    <sheetView zoomScale="90" zoomScaleNormal="90" workbookViewId="0">
      <selection activeCell="H51" sqref="H51"/>
    </sheetView>
  </sheetViews>
  <sheetFormatPr baseColWidth="10" defaultColWidth="11.44140625" defaultRowHeight="14.4" x14ac:dyDescent="0.3"/>
  <cols>
    <col min="1" max="1" width="13.77734375" style="25" customWidth="1"/>
    <col min="2" max="2" width="36.21875" style="25" customWidth="1"/>
    <col min="3" max="3" width="14.77734375" style="25" bestFit="1" customWidth="1"/>
    <col min="4" max="4" width="16.44140625" style="25" customWidth="1"/>
    <col min="5" max="5" width="23.21875" style="25" customWidth="1"/>
    <col min="6" max="6" width="28.77734375" style="25" bestFit="1" customWidth="1"/>
    <col min="7" max="8" width="14.77734375" style="25" customWidth="1"/>
    <col min="9" max="9" width="17" style="25" customWidth="1"/>
    <col min="10" max="10" width="13.77734375" style="25" customWidth="1"/>
    <col min="11" max="16384" width="11.44140625" style="25"/>
  </cols>
  <sheetData>
    <row r="1" spans="1:38" x14ac:dyDescent="0.3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" thickBot="1" x14ac:dyDescent="0.35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6.4" thickBot="1" x14ac:dyDescent="0.35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5.8" x14ac:dyDescent="0.3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5.8" x14ac:dyDescent="0.3">
      <c r="A5" s="304" t="s">
        <v>231</v>
      </c>
      <c r="B5" s="304"/>
      <c r="C5" s="26">
        <v>15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3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5.8" x14ac:dyDescent="0.3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3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3">
      <c r="A9" s="33" t="s">
        <v>165</v>
      </c>
      <c r="B9" s="34" t="s">
        <v>36</v>
      </c>
      <c r="C9" s="35">
        <v>1</v>
      </c>
      <c r="D9" s="36">
        <f t="shared" ref="D9:D18" si="0">C9*$C$5</f>
        <v>15</v>
      </c>
      <c r="E9" s="37">
        <v>38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3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3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3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3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3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3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3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3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3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3">
      <c r="A19" s="100"/>
      <c r="B19" s="39" t="s">
        <v>175</v>
      </c>
      <c r="C19" s="40">
        <f>SUM(C9:C18)</f>
        <v>1</v>
      </c>
      <c r="D19" s="41">
        <f>SUM(D9:D18)</f>
        <v>15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3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3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4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3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3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3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3">
      <c r="A26" s="44" t="s">
        <v>222</v>
      </c>
      <c r="B26" s="45" t="s">
        <v>221</v>
      </c>
      <c r="C26" s="46">
        <v>0.1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3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3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3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3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3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3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3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3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3.2" x14ac:dyDescent="0.3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3">
      <c r="A36" s="53">
        <v>11</v>
      </c>
      <c r="B36" s="63">
        <v>45</v>
      </c>
      <c r="C36" s="63"/>
      <c r="D36" s="63"/>
      <c r="E36" s="54"/>
      <c r="F36" s="54"/>
      <c r="G36" s="54"/>
      <c r="H36" s="54"/>
      <c r="I36" s="52">
        <f>IFERROR(B36/A36,"")</f>
        <v>4.0909090909090908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3">
      <c r="A37" s="53">
        <v>13</v>
      </c>
      <c r="B37" s="63">
        <v>75</v>
      </c>
      <c r="C37" s="63">
        <v>1</v>
      </c>
      <c r="D37" s="63">
        <v>15</v>
      </c>
      <c r="E37" s="54"/>
      <c r="F37" s="54"/>
      <c r="G37" s="54">
        <v>1</v>
      </c>
      <c r="H37" s="54"/>
      <c r="I37" s="56">
        <f t="shared" ref="I37:I55" si="1">IF(A37&lt;&gt;0,(B37-(B36-D36))/(A37-A36),"")</f>
        <v>15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3">
      <c r="A38" s="53">
        <v>15</v>
      </c>
      <c r="B38" s="63">
        <v>91</v>
      </c>
      <c r="C38" s="63"/>
      <c r="D38" s="63"/>
      <c r="E38" s="54"/>
      <c r="F38" s="54"/>
      <c r="G38" s="54"/>
      <c r="H38" s="54"/>
      <c r="I38" s="56">
        <f t="shared" si="1"/>
        <v>15.5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3">
      <c r="A39" s="53">
        <v>17</v>
      </c>
      <c r="B39" s="63">
        <v>126</v>
      </c>
      <c r="C39" s="63"/>
      <c r="D39" s="63"/>
      <c r="E39" s="54"/>
      <c r="F39" s="54"/>
      <c r="G39" s="54"/>
      <c r="H39" s="54"/>
      <c r="I39" s="52">
        <f t="shared" si="1"/>
        <v>17.5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3">
      <c r="A40" s="53">
        <v>19</v>
      </c>
      <c r="B40" s="63">
        <v>163</v>
      </c>
      <c r="C40" s="63">
        <v>2</v>
      </c>
      <c r="D40" s="63">
        <v>40</v>
      </c>
      <c r="E40" s="54">
        <v>0.3</v>
      </c>
      <c r="F40" s="54"/>
      <c r="G40" s="54">
        <v>0.7</v>
      </c>
      <c r="H40" s="54"/>
      <c r="I40" s="52">
        <f t="shared" si="1"/>
        <v>18.5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3">
      <c r="A41" s="53">
        <v>21</v>
      </c>
      <c r="B41" s="63">
        <v>155</v>
      </c>
      <c r="C41" s="63"/>
      <c r="D41" s="63"/>
      <c r="E41" s="54"/>
      <c r="F41" s="54"/>
      <c r="G41" s="54"/>
      <c r="H41" s="54"/>
      <c r="I41" s="56">
        <f t="shared" si="1"/>
        <v>16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3">
      <c r="A42" s="53">
        <v>23</v>
      </c>
      <c r="B42" s="63">
        <v>188</v>
      </c>
      <c r="C42" s="63"/>
      <c r="D42" s="63"/>
      <c r="E42" s="54"/>
      <c r="F42" s="54"/>
      <c r="G42" s="54"/>
      <c r="H42" s="54"/>
      <c r="I42" s="56">
        <f t="shared" si="1"/>
        <v>16.5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3">
      <c r="A43" s="283">
        <v>25</v>
      </c>
      <c r="B43" s="63">
        <v>222</v>
      </c>
      <c r="C43" s="63">
        <v>3</v>
      </c>
      <c r="D43" s="63">
        <v>54</v>
      </c>
      <c r="E43" s="54">
        <v>0.4</v>
      </c>
      <c r="F43" s="54">
        <v>0.2</v>
      </c>
      <c r="G43" s="54">
        <v>0.4</v>
      </c>
      <c r="H43" s="54"/>
      <c r="I43" s="52">
        <f t="shared" si="1"/>
        <v>17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3">
      <c r="A44" s="283">
        <v>27</v>
      </c>
      <c r="B44" s="63">
        <v>195</v>
      </c>
      <c r="C44" s="63"/>
      <c r="D44" s="63"/>
      <c r="E44" s="54"/>
      <c r="F44" s="54"/>
      <c r="G44" s="54"/>
      <c r="H44" s="54"/>
      <c r="I44" s="52">
        <f t="shared" si="1"/>
        <v>13.5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3">
      <c r="A45" s="283">
        <v>29</v>
      </c>
      <c r="B45" s="63">
        <v>223</v>
      </c>
      <c r="C45" s="63"/>
      <c r="D45" s="63"/>
      <c r="E45" s="54"/>
      <c r="F45" s="54"/>
      <c r="G45" s="54"/>
      <c r="H45" s="54"/>
      <c r="I45" s="52">
        <f t="shared" si="1"/>
        <v>14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3">
      <c r="A46" s="283">
        <v>30</v>
      </c>
      <c r="B46" s="63">
        <v>237</v>
      </c>
      <c r="C46" s="63"/>
      <c r="D46" s="63"/>
      <c r="E46" s="54"/>
      <c r="F46" s="54"/>
      <c r="G46" s="54"/>
      <c r="H46" s="54"/>
      <c r="I46" s="52">
        <f t="shared" si="1"/>
        <v>14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3">
      <c r="A47" s="283">
        <v>32</v>
      </c>
      <c r="B47" s="63">
        <v>264</v>
      </c>
      <c r="C47" s="63"/>
      <c r="D47" s="63"/>
      <c r="E47" s="54"/>
      <c r="F47" s="54"/>
      <c r="G47" s="54"/>
      <c r="H47" s="54"/>
      <c r="I47" s="52">
        <f t="shared" si="1"/>
        <v>13.5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3">
      <c r="A48" s="283">
        <v>34</v>
      </c>
      <c r="B48" s="63">
        <v>291</v>
      </c>
      <c r="C48" s="63"/>
      <c r="D48" s="63"/>
      <c r="E48" s="54"/>
      <c r="F48" s="54"/>
      <c r="G48" s="54"/>
      <c r="H48" s="54"/>
      <c r="I48" s="52">
        <f t="shared" si="1"/>
        <v>13.5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3">
      <c r="A49" s="283">
        <v>35</v>
      </c>
      <c r="B49" s="63">
        <v>303</v>
      </c>
      <c r="C49" s="63"/>
      <c r="D49" s="63"/>
      <c r="E49" s="54"/>
      <c r="F49" s="54"/>
      <c r="G49" s="54"/>
      <c r="H49" s="54"/>
      <c r="I49" s="52">
        <f t="shared" si="1"/>
        <v>12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3">
      <c r="A50" s="283">
        <v>37</v>
      </c>
      <c r="B50" s="53">
        <v>327</v>
      </c>
      <c r="C50" s="53"/>
      <c r="D50" s="53"/>
      <c r="E50" s="54"/>
      <c r="F50" s="54"/>
      <c r="G50" s="54"/>
      <c r="H50" s="54"/>
      <c r="I50" s="52">
        <f t="shared" si="1"/>
        <v>12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3">
      <c r="A51" s="283">
        <v>38</v>
      </c>
      <c r="B51" s="53">
        <v>338</v>
      </c>
      <c r="C51" s="53"/>
      <c r="D51" s="53">
        <v>338</v>
      </c>
      <c r="E51" s="54">
        <v>0.7</v>
      </c>
      <c r="F51" s="54"/>
      <c r="G51" s="54">
        <v>0.3</v>
      </c>
      <c r="H51" s="54"/>
      <c r="I51" s="52">
        <f t="shared" si="1"/>
        <v>11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3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3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3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3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3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3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3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3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3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3.2" x14ac:dyDescent="0.3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3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3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3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3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3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3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3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3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3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3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3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3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3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3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3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3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3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3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3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3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3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3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3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3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3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3.2" x14ac:dyDescent="0.3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3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3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3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3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3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3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3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3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3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3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3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3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3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3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3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3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3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3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3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3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3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3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3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3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3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3.2" x14ac:dyDescent="0.3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3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3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3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3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3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3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3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3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3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3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3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3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3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3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3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3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3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3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3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3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3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3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3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3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3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3.2" x14ac:dyDescent="0.3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3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3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3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3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3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3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3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3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3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3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3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3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3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3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3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3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3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3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3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3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3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3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3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3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3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3.2" x14ac:dyDescent="0.3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3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3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3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3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3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3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3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3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3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3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3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3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3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3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3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3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3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3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3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3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3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3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3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3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3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3.2" x14ac:dyDescent="0.3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3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3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3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3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3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3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3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3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3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3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3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3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3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3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3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3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3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3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3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3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3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3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3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3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3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3.2" x14ac:dyDescent="0.3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3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3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3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3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3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3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3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3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3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3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3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3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3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3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3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3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3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3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3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3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3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3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3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3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3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3.2" x14ac:dyDescent="0.3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3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3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3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3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3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3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3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3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3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3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3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3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3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3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3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3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3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3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3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3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3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3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3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3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3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3.2" x14ac:dyDescent="0.3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3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3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3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3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3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3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3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3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3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3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3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3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3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3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3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3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3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3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3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3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3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3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3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3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3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3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3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3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3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3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3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3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3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3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3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3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3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3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3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3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3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3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3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3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3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3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3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3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3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3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3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3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3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3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3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3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3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3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3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3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3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3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3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3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3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3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3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3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3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3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3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3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3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3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3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3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3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3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3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3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3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3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3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3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3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3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3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3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3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3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3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3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3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3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3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3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3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3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3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3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3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3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3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3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3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3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3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3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3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3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3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3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3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3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3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3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3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3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3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3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3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3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3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3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3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3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3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3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3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3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3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3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3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3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3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3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3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3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3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3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3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3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3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3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3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3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3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3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3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3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3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3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3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3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3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3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3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3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>
      <formula1>VAN</formula1>
    </dataValidation>
    <dataValidation type="list" allowBlank="1" showInputMessage="1" showErrorMessage="1" sqref="C26">
      <formula1>Incendie</formula1>
    </dataValidation>
    <dataValidation type="list" allowBlank="1" showInputMessage="1" showErrorMessage="1" sqref="C27">
      <formula1>Fertilité</formula1>
    </dataValidation>
  </dataValidations>
  <hyperlinks>
    <hyperlink ref="A9" location="'Données projet'!A44" tooltip="Table de production à compléter ci-dessous" display="Essence 1"/>
    <hyperlink ref="A10" location="'Données projet'!A70" tooltip="Table de production à compléter ci-dessous" display="Essence 2"/>
    <hyperlink ref="A11" location="'Données projet'!A96" tooltip="Table de production à compléter ci-dessous" display="Essence 3"/>
    <hyperlink ref="A12" location="'Données projet'!A122" tooltip="Table de production à compléter ci-dessous" display="Essence 4"/>
    <hyperlink ref="A13" location="'Données projet'!A148" tooltip="Table de production à compléter ci-dessous" display="Essence 5"/>
    <hyperlink ref="A14" location="'Données projet'!A174" tooltip="Table de production à compléter ci-dessous" display="Essence 6"/>
    <hyperlink ref="A15" location="'Données projet'!A202" tooltip="Table de production à compléter ci-dessous" display="Essence 7"/>
    <hyperlink ref="A16" location="'Données projet'!A228" tooltip="Table de production à compléter ci-dessous" display="Essence 8"/>
    <hyperlink ref="A17" location="'Données projet'!A254" tooltip="Table de production à compléter ci-dessous" display="Essence 9"/>
    <hyperlink ref="A18" location="'Données projet'!A280" tooltip="Table de production à compléter ci-dessous" display="Essence 10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Paramètres!$A$2:$A$87</xm:f>
          </x14:formula1>
          <xm:sqref>B10:B18</xm:sqref>
        </x14:dataValidation>
        <x14:dataValidation type="list" allowBlank="1" showInputMessage="1" showErrorMessage="1">
          <x14:formula1>
            <xm:f>Paramètres!$A$2:$A$87</xm:f>
          </x14:formula1>
          <xm:sqref>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L163"/>
  <sheetViews>
    <sheetView zoomScale="115" zoomScaleNormal="115" workbookViewId="0">
      <selection activeCell="G15" sqref="G15"/>
    </sheetView>
  </sheetViews>
  <sheetFormatPr baseColWidth="10" defaultColWidth="11.44140625" defaultRowHeight="14.4" x14ac:dyDescent="0.3"/>
  <cols>
    <col min="1" max="1" width="5.77734375" style="1" customWidth="1"/>
    <col min="2" max="2" width="14.21875" style="1" customWidth="1"/>
    <col min="3" max="3" width="62.21875" style="1" customWidth="1"/>
    <col min="4" max="5" width="4.21875" style="1" customWidth="1"/>
    <col min="6" max="6" width="14.21875" style="1" customWidth="1"/>
    <col min="7" max="7" width="73.2187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6.4" thickBot="1" x14ac:dyDescent="0.55000000000000004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3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3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3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3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3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3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3">
      <c r="A9" s="114">
        <v>2</v>
      </c>
      <c r="B9" s="64">
        <v>1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3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3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3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3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3">
      <c r="A15" s="25"/>
      <c r="B15" s="29" t="s">
        <v>295</v>
      </c>
      <c r="C15" s="5"/>
      <c r="D15" s="25"/>
      <c r="E15" s="5"/>
      <c r="F15" s="5"/>
      <c r="G15" s="2" t="s">
        <v>149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3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3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3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3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3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3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3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3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3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3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3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3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3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3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3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3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3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3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3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3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3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3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3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3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3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3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3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3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3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3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3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3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3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3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3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3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3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3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3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3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3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3">
      <c r="C104" s="5"/>
      <c r="F104" s="5"/>
    </row>
    <row r="105" spans="3:35" x14ac:dyDescent="0.3">
      <c r="C105" s="5"/>
      <c r="F105" s="5"/>
    </row>
    <row r="106" spans="3:35" x14ac:dyDescent="0.3">
      <c r="C106" s="5"/>
      <c r="F106" s="5"/>
    </row>
    <row r="107" spans="3:35" x14ac:dyDescent="0.3">
      <c r="C107" s="5"/>
      <c r="F107" s="5"/>
    </row>
    <row r="108" spans="3:35" x14ac:dyDescent="0.3">
      <c r="C108" s="5"/>
      <c r="F108" s="5"/>
    </row>
    <row r="109" spans="3:35" x14ac:dyDescent="0.3">
      <c r="C109" s="5"/>
      <c r="F109" s="5"/>
    </row>
    <row r="110" spans="3:35" x14ac:dyDescent="0.3">
      <c r="C110" s="5"/>
      <c r="F110" s="5"/>
    </row>
    <row r="111" spans="3:35" x14ac:dyDescent="0.3">
      <c r="C111" s="5"/>
      <c r="F111" s="5"/>
    </row>
    <row r="112" spans="3:35" x14ac:dyDescent="0.3">
      <c r="C112" s="5"/>
      <c r="F112" s="5"/>
    </row>
    <row r="113" spans="3:6" x14ac:dyDescent="0.3">
      <c r="C113" s="5"/>
      <c r="F113" s="5"/>
    </row>
    <row r="114" spans="3:6" x14ac:dyDescent="0.3">
      <c r="C114" s="5"/>
      <c r="F114" s="5"/>
    </row>
    <row r="115" spans="3:6" x14ac:dyDescent="0.3">
      <c r="C115" s="5"/>
      <c r="F115" s="5"/>
    </row>
    <row r="116" spans="3:6" x14ac:dyDescent="0.3">
      <c r="C116" s="5"/>
      <c r="F116" s="5"/>
    </row>
    <row r="117" spans="3:6" x14ac:dyDescent="0.3">
      <c r="C117" s="5"/>
      <c r="F117" s="5"/>
    </row>
    <row r="118" spans="3:6" x14ac:dyDescent="0.3">
      <c r="C118" s="5"/>
      <c r="F118" s="5"/>
    </row>
    <row r="119" spans="3:6" x14ac:dyDescent="0.3">
      <c r="C119" s="5"/>
      <c r="F119" s="5"/>
    </row>
    <row r="120" spans="3:6" x14ac:dyDescent="0.3">
      <c r="C120" s="5"/>
      <c r="F120" s="5"/>
    </row>
    <row r="121" spans="3:6" x14ac:dyDescent="0.3">
      <c r="C121" s="5"/>
      <c r="F121" s="5"/>
    </row>
    <row r="122" spans="3:6" x14ac:dyDescent="0.3">
      <c r="C122" s="5"/>
      <c r="F122" s="5"/>
    </row>
    <row r="123" spans="3:6" x14ac:dyDescent="0.3">
      <c r="C123" s="5"/>
      <c r="F123" s="5"/>
    </row>
    <row r="124" spans="3:6" x14ac:dyDescent="0.3">
      <c r="C124" s="5"/>
      <c r="F124" s="5"/>
    </row>
    <row r="125" spans="3:6" x14ac:dyDescent="0.3">
      <c r="C125" s="5"/>
      <c r="F125" s="5"/>
    </row>
    <row r="126" spans="3:6" x14ac:dyDescent="0.3">
      <c r="C126" s="5"/>
      <c r="F126" s="5"/>
    </row>
    <row r="127" spans="3:6" x14ac:dyDescent="0.3">
      <c r="C127" s="5"/>
      <c r="F127" s="5"/>
    </row>
    <row r="128" spans="3:6" x14ac:dyDescent="0.3">
      <c r="C128" s="5"/>
      <c r="F128" s="5"/>
    </row>
    <row r="129" spans="3:6" x14ac:dyDescent="0.3">
      <c r="C129" s="5"/>
      <c r="F129" s="5"/>
    </row>
    <row r="130" spans="3:6" x14ac:dyDescent="0.3">
      <c r="C130" s="5"/>
      <c r="F130" s="5"/>
    </row>
    <row r="131" spans="3:6" x14ac:dyDescent="0.3">
      <c r="C131" s="5"/>
      <c r="F131" s="5"/>
    </row>
    <row r="132" spans="3:6" x14ac:dyDescent="0.3">
      <c r="F132" s="5"/>
    </row>
    <row r="133" spans="3:6" x14ac:dyDescent="0.3">
      <c r="F133" s="5"/>
    </row>
    <row r="134" spans="3:6" x14ac:dyDescent="0.3">
      <c r="F134" s="5"/>
    </row>
    <row r="135" spans="3:6" x14ac:dyDescent="0.3">
      <c r="F135" s="5"/>
    </row>
    <row r="136" spans="3:6" x14ac:dyDescent="0.3">
      <c r="F136" s="5"/>
    </row>
    <row r="137" spans="3:6" x14ac:dyDescent="0.3">
      <c r="F137" s="5"/>
    </row>
    <row r="138" spans="3:6" x14ac:dyDescent="0.3">
      <c r="F138" s="5"/>
    </row>
    <row r="139" spans="3:6" x14ac:dyDescent="0.3">
      <c r="F139" s="5"/>
    </row>
    <row r="140" spans="3:6" x14ac:dyDescent="0.3">
      <c r="F140" s="5"/>
    </row>
    <row r="141" spans="3:6" x14ac:dyDescent="0.3">
      <c r="F141" s="5"/>
    </row>
    <row r="142" spans="3:6" x14ac:dyDescent="0.3">
      <c r="F142" s="5"/>
    </row>
    <row r="143" spans="3:6" x14ac:dyDescent="0.3">
      <c r="F143" s="5"/>
    </row>
    <row r="144" spans="3:6" x14ac:dyDescent="0.3">
      <c r="F144" s="5"/>
    </row>
    <row r="145" spans="6:6" x14ac:dyDescent="0.3">
      <c r="F145" s="5"/>
    </row>
    <row r="146" spans="6:6" x14ac:dyDescent="0.3">
      <c r="F146" s="5"/>
    </row>
    <row r="147" spans="6:6" x14ac:dyDescent="0.3">
      <c r="F147" s="5"/>
    </row>
    <row r="148" spans="6:6" x14ac:dyDescent="0.3">
      <c r="F148" s="5"/>
    </row>
    <row r="149" spans="6:6" x14ac:dyDescent="0.3">
      <c r="F149" s="5"/>
    </row>
    <row r="150" spans="6:6" x14ac:dyDescent="0.3">
      <c r="F150" s="5"/>
    </row>
    <row r="151" spans="6:6" x14ac:dyDescent="0.3">
      <c r="F151" s="5"/>
    </row>
    <row r="152" spans="6:6" x14ac:dyDescent="0.3">
      <c r="F152" s="5"/>
    </row>
    <row r="153" spans="6:6" x14ac:dyDescent="0.3">
      <c r="F153" s="5"/>
    </row>
    <row r="154" spans="6:6" x14ac:dyDescent="0.3">
      <c r="F154" s="5"/>
    </row>
    <row r="155" spans="6:6" x14ac:dyDescent="0.3">
      <c r="F155" s="5"/>
    </row>
    <row r="156" spans="6:6" x14ac:dyDescent="0.3">
      <c r="F156" s="5"/>
    </row>
    <row r="157" spans="6:6" x14ac:dyDescent="0.3">
      <c r="F157" s="5"/>
    </row>
    <row r="158" spans="6:6" x14ac:dyDescent="0.3">
      <c r="F158" s="5"/>
    </row>
    <row r="159" spans="6:6" x14ac:dyDescent="0.3">
      <c r="F159" s="5"/>
    </row>
    <row r="160" spans="6:6" x14ac:dyDescent="0.3">
      <c r="F160" s="5"/>
    </row>
    <row r="161" spans="6:6" x14ac:dyDescent="0.3">
      <c r="F161" s="5"/>
    </row>
    <row r="162" spans="6:6" x14ac:dyDescent="0.3">
      <c r="F162" s="5"/>
    </row>
    <row r="163" spans="6:6" x14ac:dyDescent="0.3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77734375" style="71" bestFit="1" customWidth="1"/>
    <col min="2" max="4" width="11.44140625" style="71"/>
    <col min="5" max="5" width="9.5546875" style="71" customWidth="1"/>
    <col min="6" max="7" width="11.44140625" style="71"/>
    <col min="8" max="8" width="10.77734375" style="71" customWidth="1"/>
    <col min="9" max="9" width="9.44140625" style="71" customWidth="1"/>
    <col min="10" max="11" width="10.5546875" style="71" bestFit="1" customWidth="1"/>
    <col min="12" max="12" width="14" style="71" bestFit="1" customWidth="1"/>
    <col min="13" max="13" width="14" style="71" customWidth="1"/>
    <col min="14" max="23" width="11.44140625" style="71"/>
    <col min="24" max="24" width="11.77734375" style="71" bestFit="1" customWidth="1"/>
    <col min="25" max="25" width="14.5546875" style="71" bestFit="1" customWidth="1"/>
    <col min="26" max="26" width="12.44140625" style="71" bestFit="1" customWidth="1"/>
    <col min="27" max="27" width="9.77734375" style="71" bestFit="1" customWidth="1"/>
    <col min="28" max="28" width="11" style="71" bestFit="1" customWidth="1"/>
    <col min="29" max="29" width="9.44140625" style="71" bestFit="1" customWidth="1"/>
    <col min="30" max="31" width="9.44140625" style="71" customWidth="1"/>
    <col min="32" max="32" width="11.44140625" style="71"/>
    <col min="33" max="34" width="14" style="71" bestFit="1" customWidth="1"/>
    <col min="35" max="35" width="10.5546875" style="71" bestFit="1" customWidth="1"/>
    <col min="36" max="36" width="9.44140625" style="71" bestFit="1" customWidth="1"/>
    <col min="37" max="38" width="10.5546875" style="71" bestFit="1" customWidth="1"/>
    <col min="39" max="41" width="10.5546875" style="71" customWidth="1"/>
    <col min="42" max="42" width="9" style="71" bestFit="1" customWidth="1"/>
    <col min="43" max="43" width="10.5546875" style="71" bestFit="1" customWidth="1"/>
    <col min="44" max="44" width="9.21875" style="71" bestFit="1" customWidth="1"/>
    <col min="45" max="45" width="11.77734375" style="71" bestFit="1" customWidth="1"/>
    <col min="46" max="46" width="8.44140625" style="71" bestFit="1" customWidth="1"/>
    <col min="47" max="47" width="9.44140625" style="71" bestFit="1" customWidth="1"/>
    <col min="48" max="48" width="9.77734375" style="71" bestFit="1" customWidth="1"/>
    <col min="49" max="49" width="11" style="71" bestFit="1" customWidth="1"/>
    <col min="50" max="50" width="9.44140625" style="71" bestFit="1" customWidth="1"/>
    <col min="51" max="52" width="9.44140625" style="71" customWidth="1"/>
    <col min="53" max="53" width="10.5546875" style="71" bestFit="1" customWidth="1"/>
    <col min="54" max="54" width="14.21875" style="71" customWidth="1"/>
    <col min="55" max="55" width="14" style="71" customWidth="1"/>
    <col min="56" max="56" width="10.5546875" style="71" bestFit="1" customWidth="1"/>
    <col min="57" max="57" width="9.44140625" style="71" bestFit="1" customWidth="1"/>
    <col min="58" max="59" width="10.5546875" style="71" bestFit="1" customWidth="1"/>
    <col min="60" max="62" width="10.5546875" style="71" customWidth="1"/>
    <col min="63" max="63" width="9" style="71" bestFit="1" customWidth="1"/>
    <col min="64" max="64" width="10.5546875" style="71" bestFit="1" customWidth="1"/>
    <col min="65" max="65" width="9.21875" style="71" bestFit="1" customWidth="1"/>
    <col min="66" max="66" width="11.77734375" style="71" bestFit="1" customWidth="1"/>
    <col min="67" max="67" width="8.44140625" style="71" bestFit="1" customWidth="1"/>
    <col min="68" max="68" width="9.44140625" style="71" bestFit="1" customWidth="1"/>
    <col min="69" max="69" width="9.77734375" style="71" bestFit="1" customWidth="1"/>
    <col min="70" max="70" width="11" style="71" bestFit="1" customWidth="1"/>
    <col min="71" max="71" width="9.44140625" style="71" bestFit="1" customWidth="1"/>
    <col min="72" max="73" width="9.44140625" style="71" customWidth="1"/>
    <col min="74" max="74" width="10.5546875" style="71" bestFit="1" customWidth="1"/>
    <col min="75" max="75" width="14" style="71" bestFit="1" customWidth="1"/>
    <col min="76" max="76" width="13.77734375" style="71" customWidth="1"/>
    <col min="77" max="77" width="10.5546875" style="71" bestFit="1" customWidth="1"/>
    <col min="78" max="78" width="9.44140625" style="71" bestFit="1" customWidth="1"/>
    <col min="79" max="80" width="10.5546875" style="71" bestFit="1" customWidth="1"/>
    <col min="81" max="83" width="10.5546875" style="71" customWidth="1"/>
    <col min="84" max="84" width="11.44140625" style="71"/>
    <col min="85" max="85" width="10.5546875" style="71" bestFit="1" customWidth="1"/>
    <col min="86" max="86" width="9.21875" style="71" bestFit="1" customWidth="1"/>
    <col min="87" max="87" width="11.77734375" style="71" bestFit="1" customWidth="1"/>
    <col min="88" max="88" width="8.44140625" style="71" bestFit="1" customWidth="1"/>
    <col min="89" max="89" width="9.44140625" style="71" bestFit="1" customWidth="1"/>
    <col min="90" max="90" width="9.77734375" style="71" bestFit="1" customWidth="1"/>
    <col min="91" max="91" width="11" style="71" bestFit="1" customWidth="1"/>
    <col min="92" max="92" width="9.44140625" style="71" bestFit="1" customWidth="1"/>
    <col min="93" max="94" width="9.44140625" style="71" customWidth="1"/>
    <col min="95" max="95" width="11.44140625" style="71"/>
    <col min="96" max="97" width="14" style="71" customWidth="1"/>
    <col min="98" max="98" width="10.5546875" style="71" bestFit="1" customWidth="1"/>
    <col min="99" max="99" width="9.44140625" style="71" bestFit="1" customWidth="1"/>
    <col min="100" max="101" width="10.5546875" style="71" bestFit="1" customWidth="1"/>
    <col min="102" max="104" width="10.5546875" style="71" customWidth="1"/>
    <col min="105" max="105" width="9" style="71" bestFit="1" customWidth="1"/>
    <col min="106" max="106" width="10.5546875" style="71" bestFit="1" customWidth="1"/>
    <col min="107" max="107" width="9.21875" style="71" bestFit="1" customWidth="1"/>
    <col min="108" max="108" width="11.77734375" style="71" bestFit="1" customWidth="1"/>
    <col min="109" max="109" width="8.44140625" style="71" bestFit="1" customWidth="1"/>
    <col min="110" max="110" width="9.44140625" style="71" bestFit="1" customWidth="1"/>
    <col min="111" max="111" width="9.77734375" style="71" bestFit="1" customWidth="1"/>
    <col min="112" max="112" width="11" style="71" bestFit="1" customWidth="1"/>
    <col min="113" max="113" width="9.44140625" style="71" bestFit="1" customWidth="1"/>
    <col min="114" max="115" width="9.44140625" style="71" customWidth="1"/>
    <col min="116" max="116" width="10.5546875" style="71" bestFit="1" customWidth="1"/>
    <col min="117" max="117" width="14.21875" style="71" customWidth="1"/>
    <col min="118" max="118" width="14" style="71" bestFit="1" customWidth="1"/>
    <col min="119" max="119" width="10.5546875" style="71" bestFit="1" customWidth="1"/>
    <col min="120" max="120" width="9.44140625" style="71" bestFit="1" customWidth="1"/>
    <col min="121" max="122" width="10.5546875" style="71" bestFit="1" customWidth="1"/>
    <col min="123" max="125" width="10.5546875" style="71" customWidth="1"/>
    <col min="126" max="126" width="9" style="71" bestFit="1" customWidth="1"/>
    <col min="127" max="127" width="10.5546875" style="71" bestFit="1" customWidth="1"/>
    <col min="128" max="128" width="9.21875" style="71" bestFit="1" customWidth="1"/>
    <col min="129" max="129" width="11.77734375" style="71" bestFit="1" customWidth="1"/>
    <col min="130" max="130" width="8.44140625" style="71" bestFit="1" customWidth="1"/>
    <col min="131" max="131" width="9.44140625" style="71" bestFit="1" customWidth="1"/>
    <col min="132" max="132" width="9.77734375" style="71" bestFit="1" customWidth="1"/>
    <col min="133" max="133" width="11" style="71" bestFit="1" customWidth="1"/>
    <col min="134" max="134" width="9.44140625" style="71" bestFit="1" customWidth="1"/>
    <col min="135" max="136" width="9.44140625" style="71" customWidth="1"/>
    <col min="137" max="137" width="10.5546875" style="71" bestFit="1" customWidth="1"/>
    <col min="138" max="139" width="14" style="71" customWidth="1"/>
    <col min="140" max="140" width="10.5546875" style="71" bestFit="1" customWidth="1"/>
    <col min="141" max="141" width="9.44140625" style="71" bestFit="1" customWidth="1"/>
    <col min="142" max="143" width="10.5546875" style="71" bestFit="1" customWidth="1"/>
    <col min="144" max="146" width="10.5546875" style="71" customWidth="1"/>
    <col min="147" max="147" width="9" style="71" bestFit="1" customWidth="1"/>
    <col min="148" max="148" width="10.5546875" style="71" bestFit="1" customWidth="1"/>
    <col min="149" max="149" width="9.21875" style="71" bestFit="1" customWidth="1"/>
    <col min="150" max="150" width="11.77734375" style="71" bestFit="1" customWidth="1"/>
    <col min="151" max="151" width="8.44140625" style="71" bestFit="1" customWidth="1"/>
    <col min="152" max="152" width="9.44140625" style="71" bestFit="1" customWidth="1"/>
    <col min="153" max="153" width="9.77734375" style="71" bestFit="1" customWidth="1"/>
    <col min="154" max="154" width="11" style="71" bestFit="1" customWidth="1"/>
    <col min="155" max="155" width="9.44140625" style="71" bestFit="1" customWidth="1"/>
    <col min="156" max="157" width="9.44140625" style="71" customWidth="1"/>
    <col min="158" max="158" width="11.44140625" style="71"/>
    <col min="159" max="160" width="14" style="71" bestFit="1" customWidth="1"/>
    <col min="161" max="161" width="10.5546875" style="71" bestFit="1" customWidth="1"/>
    <col min="162" max="162" width="9.44140625" style="71" bestFit="1" customWidth="1"/>
    <col min="163" max="164" width="10.5546875" style="71" bestFit="1" customWidth="1"/>
    <col min="165" max="167" width="10.5546875" style="71" customWidth="1"/>
    <col min="168" max="168" width="9" style="71" bestFit="1" customWidth="1"/>
    <col min="169" max="169" width="10.5546875" style="71" bestFit="1" customWidth="1"/>
    <col min="170" max="170" width="9.21875" style="71" bestFit="1" customWidth="1"/>
    <col min="171" max="171" width="11.77734375" style="71" bestFit="1" customWidth="1"/>
    <col min="172" max="172" width="8.21875" style="71" bestFit="1" customWidth="1"/>
    <col min="173" max="173" width="9.44140625" style="71" bestFit="1" customWidth="1"/>
    <col min="174" max="174" width="9.77734375" style="71" bestFit="1" customWidth="1"/>
    <col min="175" max="175" width="11" style="71" bestFit="1" customWidth="1"/>
    <col min="176" max="176" width="9.44140625" style="71" bestFit="1" customWidth="1"/>
    <col min="177" max="178" width="9.44140625" style="71" customWidth="1"/>
    <col min="179" max="179" width="10.5546875" style="71" bestFit="1" customWidth="1"/>
    <col min="180" max="181" width="14" style="71" bestFit="1" customWidth="1"/>
    <col min="182" max="182" width="10.5546875" style="71" bestFit="1" customWidth="1"/>
    <col min="183" max="183" width="9.44140625" style="71" bestFit="1" customWidth="1"/>
    <col min="184" max="185" width="10.5546875" style="71" bestFit="1" customWidth="1"/>
    <col min="186" max="188" width="10.5546875" style="71" customWidth="1"/>
    <col min="189" max="189" width="9" style="71" bestFit="1" customWidth="1"/>
    <col min="190" max="190" width="10.5546875" style="71" bestFit="1" customWidth="1"/>
    <col min="191" max="191" width="9.21875" style="71" bestFit="1" customWidth="1"/>
    <col min="192" max="192" width="11.44140625" style="71"/>
    <col min="193" max="193" width="8.44140625" style="71" bestFit="1" customWidth="1"/>
    <col min="194" max="194" width="9.44140625" style="71" bestFit="1" customWidth="1"/>
    <col min="195" max="195" width="9.77734375" style="71" bestFit="1" customWidth="1"/>
    <col min="196" max="196" width="11" style="71" bestFit="1" customWidth="1"/>
    <col min="197" max="197" width="9.44140625" style="71" bestFit="1" customWidth="1"/>
    <col min="198" max="199" width="9.44140625" style="71" customWidth="1"/>
    <col min="200" max="200" width="10.5546875" style="71" bestFit="1" customWidth="1"/>
    <col min="201" max="201" width="14" style="71" customWidth="1"/>
    <col min="202" max="202" width="14.21875" style="71" customWidth="1"/>
    <col min="203" max="203" width="10.5546875" style="71" bestFit="1" customWidth="1"/>
    <col min="204" max="204" width="9.44140625" style="71" bestFit="1" customWidth="1"/>
    <col min="205" max="206" width="10.5546875" style="71" bestFit="1" customWidth="1"/>
    <col min="207" max="209" width="10.5546875" style="71" customWidth="1"/>
    <col min="210" max="210" width="9" style="71" bestFit="1" customWidth="1"/>
    <col min="211" max="211" width="10.5546875" style="71" bestFit="1" customWidth="1"/>
    <col min="212" max="212" width="9.21875" style="71" bestFit="1" customWidth="1"/>
    <col min="213" max="213" width="11.77734375" style="71" bestFit="1" customWidth="1"/>
    <col min="214" max="214" width="8.44140625" style="71" bestFit="1" customWidth="1"/>
    <col min="215" max="215" width="9.44140625" style="71" bestFit="1" customWidth="1"/>
    <col min="216" max="216" width="9.77734375" style="71" bestFit="1" customWidth="1"/>
    <col min="217" max="217" width="11" style="71" bestFit="1" customWidth="1"/>
    <col min="218" max="218" width="9.44140625" style="71" bestFit="1" customWidth="1"/>
    <col min="219" max="16384" width="11.44140625" style="71"/>
  </cols>
  <sheetData>
    <row r="1" spans="1:218" s="5" customFormat="1" ht="26.4" thickBot="1" x14ac:dyDescent="0.55000000000000004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58.2" thickBot="1" x14ac:dyDescent="0.35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3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168.3568384507675</v>
      </c>
      <c r="T3" s="62">
        <f>IF('Données projet'!E9&gt;30,$R$33-$H$33,LOOKUP('Données projet'!$E$9,$A$3:$A$203,R3:R203)-LOOKUP('Données projet'!$E$9,$A$3:$A$203,$H$3:$H$203))</f>
        <v>286.34130084594312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3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0.88919999999999999</v>
      </c>
      <c r="D4" s="12">
        <f>IFERROR(EXP(-1.0587+0.8836*LN(C4)+0.284),0)</f>
        <v>0.41542055579923082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10.07075516757301</v>
      </c>
      <c r="H4" s="70">
        <f t="shared" ref="H4:H67" si="1">(B4+E4+F4)*44/12+(C4+D4)*0.475*44/12</f>
        <v>258.93888080135036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4.0909090909090908</v>
      </c>
      <c r="N4" s="14">
        <f>IF('Données projet'!$A$36&gt;35,N3+M4-V3,IF(A4&lt;'Données projet'!$A$36,$K$205^A4,IF(A4='Données projet'!$A$36,'Données projet'!$B$36,N3+M4-V3)))</f>
        <v>1.4134877424514771</v>
      </c>
      <c r="O4" s="14">
        <f>N4*VLOOKUP('Données projet'!$B$9,Paramètres!$A$1:$I$89,3,0)*VLOOKUP('Données projet'!$B$9,Paramètres!$A$1:$I$89,5,0)</f>
        <v>0.84526566998598329</v>
      </c>
      <c r="P4" s="14">
        <f>EXP(-1.0587+0.8836*LN(O4)+0.284)</f>
        <v>0.39723113712850538</v>
      </c>
      <c r="Q4" s="22">
        <f t="shared" ref="Q4:Q34" si="2">(O4+P4)*0.475*44/12</f>
        <v>2.1640152723910675</v>
      </c>
      <c r="R4" s="62">
        <f t="shared" si="0"/>
        <v>260.05290416127991</v>
      </c>
      <c r="S4" s="62">
        <f ca="1">AVERAGE(OFFSET($R$3,0,0,'Données projet'!$E$9+1,1))-AVERAGE(OFFSET($H$3,0,0,'Données projet'!$E$9+1,1))</f>
        <v>168.3568384507675</v>
      </c>
      <c r="T4" s="62">
        <f>$T$3</f>
        <v>286.34130084594312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3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1.7784</v>
      </c>
      <c r="D5" s="12">
        <f t="shared" ref="D5:D68" si="32">IFERROR(EXP(-1.0587+0.8836*LN(C5)+0.284),0)</f>
        <v>0.76643986660078545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19.644377917620098</v>
      </c>
      <c r="H5" s="70">
        <f t="shared" si="1"/>
        <v>261.0989294343297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4.0909090909090908</v>
      </c>
      <c r="N5" s="14">
        <f>IF('Données projet'!$A$36&gt;35,N4+M5-V4,IF(A5&lt;'Données projet'!$A$36,$K$205^A5,IF(A5='Données projet'!$A$36,'Données projet'!$B$36,N4+M5-V4)))</f>
        <v>1.9979475980605734</v>
      </c>
      <c r="O5" s="14">
        <f>N5*VLOOKUP('Données projet'!$B$9,Paramètres!$A$1:$I$89,3,0)*VLOOKUP('Données projet'!$B$9,Paramètres!$A$1:$I$89,5,0)</f>
        <v>1.1947726636402229</v>
      </c>
      <c r="P5" s="14">
        <f t="shared" ref="P5:P68" si="33">EXP(-1.0587+0.8836*LN(O5)+0.284)</f>
        <v>0.53931355510590839</v>
      </c>
      <c r="Q5" s="22">
        <f t="shared" si="2"/>
        <v>3.0202001643161789</v>
      </c>
      <c r="R5" s="62">
        <f t="shared" si="0"/>
        <v>262.13131127542732</v>
      </c>
      <c r="S5" s="62">
        <f ca="1">AVERAGE(OFFSET($R$3,0,0,'Données projet'!$E$9+1,1))-AVERAGE(OFFSET($H$3,0,0,'Données projet'!$E$9+1,1))</f>
        <v>168.3568384507675</v>
      </c>
      <c r="T5" s="62">
        <f t="shared" ref="T5:T68" si="34">$T$3</f>
        <v>286.34130084594312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3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2.6676000000000002</v>
      </c>
      <c r="D6" s="12">
        <f t="shared" si="32"/>
        <v>1.0966608080083624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29.057451851292623</v>
      </c>
      <c r="H6" s="70">
        <f t="shared" si="1"/>
        <v>263.22275424061456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4.0909090909090908</v>
      </c>
      <c r="N6" s="14">
        <f>IF('Données projet'!$A$36&gt;35,N5+M6-V5,IF(A6&lt;'Données projet'!$A$36,$K$205^A6,IF(A6='Données projet'!$A$36,'Données projet'!$B$36,N5+M6-V5)))</f>
        <v>2.824074439918991</v>
      </c>
      <c r="O6" s="14">
        <f>N6*VLOOKUP('Données projet'!$B$9,Paramètres!$A$1:$I$89,3,0)*VLOOKUP('Données projet'!$B$9,Paramètres!$A$1:$I$89,5,0)</f>
        <v>1.6887965150715567</v>
      </c>
      <c r="P6" s="14">
        <f t="shared" si="33"/>
        <v>0.73221629307190972</v>
      </c>
      <c r="Q6" s="22">
        <f t="shared" si="2"/>
        <v>4.2165973075165377</v>
      </c>
      <c r="R6" s="62">
        <f t="shared" si="0"/>
        <v>264.54993064084988</v>
      </c>
      <c r="S6" s="62">
        <f ca="1">AVERAGE(OFFSET($R$3,0,0,'Données projet'!$E$9+1,1))-AVERAGE(OFFSET($H$3,0,0,'Données projet'!$E$9+1,1))</f>
        <v>168.3568384507675</v>
      </c>
      <c r="T6" s="62">
        <f t="shared" si="34"/>
        <v>286.34130084594312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3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3.5568</v>
      </c>
      <c r="D7" s="12">
        <f t="shared" si="32"/>
        <v>1.4140611505968179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38.37155975899298</v>
      </c>
      <c r="H7" s="70">
        <f t="shared" si="1"/>
        <v>265.32424983728947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4.0909090909090908</v>
      </c>
      <c r="N7" s="14">
        <f>IF('Données projet'!$A$36&gt;35,N6+M7-V6,IF(A7&lt;'Données projet'!$A$36,$K$205^A7,IF(A7='Données projet'!$A$36,'Données projet'!$B$36,N6+M7-V6)))</f>
        <v>3.9917946045960147</v>
      </c>
      <c r="O7" s="14">
        <f>N7*VLOOKUP('Données projet'!$B$9,Paramètres!$A$1:$I$89,3,0)*VLOOKUP('Données projet'!$B$9,Paramètres!$A$1:$I$89,5,0)</f>
        <v>2.3870931735484171</v>
      </c>
      <c r="P7" s="14">
        <f t="shared" si="33"/>
        <v>0.9941168634908194</v>
      </c>
      <c r="Q7" s="22">
        <f t="shared" si="2"/>
        <v>5.8889408145100033</v>
      </c>
      <c r="R7" s="62">
        <f t="shared" si="0"/>
        <v>267.44449637006556</v>
      </c>
      <c r="S7" s="62">
        <f ca="1">AVERAGE(OFFSET($R$3,0,0,'Données projet'!$E$9+1,1))-AVERAGE(OFFSET($H$3,0,0,'Données projet'!$E$9+1,1))</f>
        <v>168.3568384507675</v>
      </c>
      <c r="T7" s="62">
        <f t="shared" si="34"/>
        <v>286.34130084594312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3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4.4459999999999997</v>
      </c>
      <c r="D8" s="12">
        <f t="shared" si="32"/>
        <v>1.7222566815192897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47.614612980148905</v>
      </c>
      <c r="H8" s="70">
        <f t="shared" si="1"/>
        <v>267.40971372031277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4.0909090909090908</v>
      </c>
      <c r="N8" s="14">
        <f>IF('Données projet'!$A$36&gt;35,N7+M8-V7,IF(A8&lt;'Données projet'!$A$36,$K$205^A8,IF(A8='Données projet'!$A$36,'Données projet'!$B$36,N7+M8-V7)))</f>
        <v>5.6423527439804078</v>
      </c>
      <c r="O8" s="14">
        <f>N8*VLOOKUP('Données projet'!$B$9,Paramètres!$A$1:$I$89,3,0)*VLOOKUP('Données projet'!$B$9,Paramètres!$A$1:$I$89,5,0)</f>
        <v>3.3741269409002839</v>
      </c>
      <c r="P8" s="14">
        <f t="shared" si="33"/>
        <v>1.3496945474003106</v>
      </c>
      <c r="Q8" s="22">
        <f t="shared" si="2"/>
        <v>8.2273224254568689</v>
      </c>
      <c r="R8" s="62">
        <f t="shared" si="0"/>
        <v>271.00510020323463</v>
      </c>
      <c r="S8" s="62">
        <f ca="1">AVERAGE(OFFSET($R$3,0,0,'Données projet'!$E$9+1,1))-AVERAGE(OFFSET($H$3,0,0,'Données projet'!$E$9+1,1))</f>
        <v>168.3568384507675</v>
      </c>
      <c r="T8" s="62">
        <f t="shared" si="34"/>
        <v>286.34130084594312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3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5.3351999999999995</v>
      </c>
      <c r="D9" s="12">
        <f t="shared" si="32"/>
        <v>2.0233099967312578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56.802533308100926</v>
      </c>
      <c r="H9" s="70">
        <f t="shared" si="1"/>
        <v>269.48273824430697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4.0909090909090908</v>
      </c>
      <c r="N9" s="14">
        <f>IF('Données projet'!$A$36&gt;35,N8+M9-V8,IF(A9&lt;'Données projet'!$A$36,$K$205^A9,IF(A9='Données projet'!$A$36,'Données projet'!$B$36,N8+M9-V8)))</f>
        <v>7.9753964422037642</v>
      </c>
      <c r="O9" s="14">
        <f>N9*VLOOKUP('Données projet'!$B$9,Paramètres!$A$1:$I$89,3,0)*VLOOKUP('Données projet'!$B$9,Paramètres!$A$1:$I$89,5,0)</f>
        <v>4.7692870724378515</v>
      </c>
      <c r="P9" s="14">
        <f t="shared" si="33"/>
        <v>1.8324559598409356</v>
      </c>
      <c r="Q9" s="22">
        <f t="shared" si="2"/>
        <v>11.498035781218887</v>
      </c>
      <c r="R9" s="62">
        <f t="shared" si="0"/>
        <v>275.4980357812189</v>
      </c>
      <c r="S9" s="62">
        <f ca="1">AVERAGE(OFFSET($R$3,0,0,'Données projet'!$E$9+1,1))-AVERAGE(OFFSET($H$3,0,0,'Données projet'!$E$9+1,1))</f>
        <v>168.3568384507675</v>
      </c>
      <c r="T9" s="62">
        <f t="shared" si="34"/>
        <v>286.34130084594312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3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6.2243999999999993</v>
      </c>
      <c r="D10" s="12">
        <f t="shared" si="32"/>
        <v>2.3185507720937846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65.945584907390625</v>
      </c>
      <c r="H10" s="70">
        <f t="shared" si="1"/>
        <v>271.54563926139667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4.0909090909090908</v>
      </c>
      <c r="N10" s="14">
        <f>IF('Données projet'!$A$36&gt;35,N9+M10-V9,IF(A10&lt;'Données projet'!$A$36,$K$205^A10,IF(A10='Données projet'!$A$36,'Données projet'!$B$36,N9+M10-V9)))</f>
        <v>11.27312511224614</v>
      </c>
      <c r="O10" s="14">
        <f>N10*VLOOKUP('Données projet'!$B$9,Paramètres!$A$1:$I$89,3,0)*VLOOKUP('Données projet'!$B$9,Paramètres!$A$1:$I$89,5,0)</f>
        <v>6.7413288171231915</v>
      </c>
      <c r="P10" s="14">
        <f t="shared" si="33"/>
        <v>2.4878924281233195</v>
      </c>
      <c r="Q10" s="22">
        <f t="shared" si="2"/>
        <v>16.074227002137672</v>
      </c>
      <c r="R10" s="62">
        <f t="shared" si="0"/>
        <v>281.29644922435989</v>
      </c>
      <c r="S10" s="62">
        <f ca="1">AVERAGE(OFFSET($R$3,0,0,'Données projet'!$E$9+1,1))-AVERAGE(OFFSET($H$3,0,0,'Données projet'!$E$9+1,1))</f>
        <v>168.3568384507675</v>
      </c>
      <c r="T10" s="62">
        <f t="shared" si="34"/>
        <v>286.34130084594312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3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7.113599999999999</v>
      </c>
      <c r="D11" s="12">
        <f t="shared" si="32"/>
        <v>2.6089051793396716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75.050917173850095</v>
      </c>
      <c r="H11" s="70">
        <f t="shared" si="1"/>
        <v>273.60002985401661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4.0909090909090908</v>
      </c>
      <c r="N11" s="14">
        <f>IF('Données projet'!$A$36&gt;35,N10+M11-V10,IF(A11&lt;'Données projet'!$A$36,$K$205^A11,IF(A11='Données projet'!$A$36,'Données projet'!$B$36,N10+M11-V10)))</f>
        <v>15.934424165281852</v>
      </c>
      <c r="O11" s="14">
        <f>N11*VLOOKUP('Données projet'!$B$9,Paramètres!$A$1:$I$89,3,0)*VLOOKUP('Données projet'!$B$9,Paramètres!$A$1:$I$89,5,0)</f>
        <v>9.5287856508385484</v>
      </c>
      <c r="P11" s="14">
        <f t="shared" si="33"/>
        <v>3.3777667073923183</v>
      </c>
      <c r="Q11" s="22">
        <f t="shared" si="2"/>
        <v>22.478912023918756</v>
      </c>
      <c r="R11" s="62">
        <f t="shared" si="0"/>
        <v>288.92335646836324</v>
      </c>
      <c r="S11" s="62">
        <f ca="1">AVERAGE(OFFSET($R$3,0,0,'Données projet'!$E$9+1,1))-AVERAGE(OFFSET($H$3,0,0,'Données projet'!$E$9+1,1))</f>
        <v>168.3568384507675</v>
      </c>
      <c r="T11" s="62">
        <f t="shared" si="34"/>
        <v>286.34130084594312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3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8.0027999999999988</v>
      </c>
      <c r="D12" s="12">
        <f t="shared" si="32"/>
        <v>2.8950539664743791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84.123785004363612</v>
      </c>
      <c r="H12" s="70">
        <f t="shared" si="1"/>
        <v>275.64709565827621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4.0909090909090908</v>
      </c>
      <c r="N12" s="14">
        <f>IF('Données projet'!$A$36&gt;35,N11+M12-V11,IF(A12&lt;'Données projet'!$A$36,$K$205^A12,IF(A12='Données projet'!$A$36,'Données projet'!$B$36,N11+M12-V11)))</f>
        <v>22.52311324064851</v>
      </c>
      <c r="O12" s="14">
        <f>N12*VLOOKUP('Données projet'!$B$9,Paramètres!$A$1:$I$89,3,0)*VLOOKUP('Données projet'!$B$9,Paramètres!$A$1:$I$89,5,0)</f>
        <v>13.46882171790781</v>
      </c>
      <c r="P12" s="14">
        <f t="shared" si="33"/>
        <v>4.5859329770838491</v>
      </c>
      <c r="Q12" s="22">
        <f t="shared" si="2"/>
        <v>31.445364427110473</v>
      </c>
      <c r="R12" s="62">
        <f t="shared" si="0"/>
        <v>299.11203109377715</v>
      </c>
      <c r="S12" s="62">
        <f ca="1">AVERAGE(OFFSET($R$3,0,0,'Données projet'!$E$9+1,1))-AVERAGE(OFFSET($H$3,0,0,'Données projet'!$E$9+1,1))</f>
        <v>168.3568384507675</v>
      </c>
      <c r="T12" s="62">
        <f t="shared" si="34"/>
        <v>286.34130084594312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3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8.8919999999999995</v>
      </c>
      <c r="D13" s="12">
        <f t="shared" si="32"/>
        <v>3.177517729464268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93.16820703446102</v>
      </c>
      <c r="H13" s="70">
        <f t="shared" si="1"/>
        <v>277.68774337881695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4.0909090909090908</v>
      </c>
      <c r="N13" s="14">
        <f>IF('Données projet'!$A$36&gt;35,N12+M13-V12,IF(A13&lt;'Données projet'!$A$36,$K$205^A13,IF(A13='Données projet'!$A$36,'Données projet'!$B$36,N12+M13-V12)))</f>
        <v>31.836144487503233</v>
      </c>
      <c r="O13" s="14">
        <f>N13*VLOOKUP('Données projet'!$B$9,Paramètres!$A$1:$I$89,3,0)*VLOOKUP('Données projet'!$B$9,Paramètres!$A$1:$I$89,5,0)</f>
        <v>19.038014403526933</v>
      </c>
      <c r="P13" s="14">
        <f t="shared" si="33"/>
        <v>6.2262385452135582</v>
      </c>
      <c r="Q13" s="22">
        <f t="shared" si="2"/>
        <v>44.001907219056356</v>
      </c>
      <c r="R13" s="62">
        <f t="shared" si="0"/>
        <v>312.89079610794522</v>
      </c>
      <c r="S13" s="62">
        <f ca="1">AVERAGE(OFFSET($R$3,0,0,'Données projet'!$E$9+1,1))-AVERAGE(OFFSET($H$3,0,0,'Données projet'!$E$9+1,1))</f>
        <v>168.3568384507675</v>
      </c>
      <c r="T13" s="62">
        <f t="shared" si="34"/>
        <v>286.34130084594312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3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9.7812000000000001</v>
      </c>
      <c r="D14" s="12">
        <f t="shared" si="32"/>
        <v>3.4567069199829903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102.18735166302658</v>
      </c>
      <c r="H14" s="70">
        <f t="shared" si="1"/>
        <v>279.72268788563707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>
        <f>VLOOKUP(A14,'Données projet'!$A$35:$I$55,2,0)</f>
        <v>45</v>
      </c>
      <c r="L14" s="13">
        <f>VLOOKUP(A14,'Données projet'!$A$35:$I$55,9,0)</f>
        <v>4.0909090909090908</v>
      </c>
      <c r="M14" s="13">
        <f t="array" ref="M14">INDEX(L:L,MIN(IF(ISNUMBER(L14:L210),ROW(L14:L210),"")))</f>
        <v>4.0909090909090908</v>
      </c>
      <c r="N14" s="14">
        <f>IF('Données projet'!$A$36&gt;35,N13+M14-V13,IF(A14&lt;'Données projet'!$A$36,$K$205^A14,IF(A14='Données projet'!$A$36,'Données projet'!$B$36,N13+M14-V13)))</f>
        <v>45</v>
      </c>
      <c r="O14" s="14">
        <f>N14*VLOOKUP('Données projet'!$B$9,Paramètres!$A$1:$I$89,3,0)*VLOOKUP('Données projet'!$B$9,Paramètres!$A$1:$I$89,5,0)</f>
        <v>26.91</v>
      </c>
      <c r="P14" s="14">
        <f t="shared" si="33"/>
        <v>8.4532518498676374</v>
      </c>
      <c r="Q14" s="22">
        <f t="shared" si="2"/>
        <v>61.590996971852803</v>
      </c>
      <c r="R14" s="62">
        <f t="shared" si="0"/>
        <v>331.70210808296395</v>
      </c>
      <c r="S14" s="62">
        <f ca="1">AVERAGE(OFFSET($R$3,0,0,'Données projet'!$E$9+1,1))-AVERAGE(OFFSET($H$3,0,0,'Données projet'!$E$9+1,1))</f>
        <v>168.3568384507675</v>
      </c>
      <c r="T14" s="62">
        <f t="shared" si="34"/>
        <v>286.34130084594312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3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10.670400000000001</v>
      </c>
      <c r="D15" s="12">
        <f t="shared" si="32"/>
        <v>3.7329530817348471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111.18377817479534</v>
      </c>
      <c r="H15" s="70">
        <f t="shared" si="1"/>
        <v>281.75250661735487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15</v>
      </c>
      <c r="N15" s="14">
        <f>IF('Données projet'!$A$36&gt;35,N14+M15-V14,IF(A15&lt;'Données projet'!$A$36,$K$205^A15,IF(A15='Données projet'!$A$36,'Données projet'!$B$36,N14+M15-V14)))</f>
        <v>60</v>
      </c>
      <c r="O15" s="14">
        <f>N15*VLOOKUP('Données projet'!$B$9,Paramètres!$A$1:$I$89,3,0)*VLOOKUP('Données projet'!$B$9,Paramètres!$A$1:$I$89,5,0)</f>
        <v>35.880000000000003</v>
      </c>
      <c r="P15" s="14">
        <f t="shared" si="33"/>
        <v>10.899828780073781</v>
      </c>
      <c r="Q15" s="22">
        <f t="shared" si="2"/>
        <v>81.474868458628507</v>
      </c>
      <c r="R15" s="62">
        <f t="shared" si="0"/>
        <v>352.80820179196184</v>
      </c>
      <c r="S15" s="62">
        <f ca="1">AVERAGE(OFFSET($R$3,0,0,'Données projet'!$E$9+1,1))-AVERAGE(OFFSET($H$3,0,0,'Données projet'!$E$9+1,1))</f>
        <v>168.3568384507675</v>
      </c>
      <c r="T15" s="62">
        <f t="shared" si="34"/>
        <v>286.34130084594312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3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11.559600000000001</v>
      </c>
      <c r="D16" s="12">
        <f t="shared" si="32"/>
        <v>4.0065293501366055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120.15959498351064</v>
      </c>
      <c r="H16" s="70">
        <f t="shared" si="1"/>
        <v>283.77767528482127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>
        <f>VLOOKUP(A16,'Données projet'!$A$35:$I$55,2,0)</f>
        <v>75</v>
      </c>
      <c r="L16" s="13">
        <f>VLOOKUP(A16,'Données projet'!$A$35:$I$55,9,0)</f>
        <v>15</v>
      </c>
      <c r="M16" s="13">
        <f t="array" ref="M16">INDEX(L:L,MIN(IF(ISNUMBER(L16:L212),ROW(L16:L212),"")))</f>
        <v>15</v>
      </c>
      <c r="N16" s="14">
        <f>IF('Données projet'!$A$36&gt;35,N15+M16-V15,IF(A16&lt;'Données projet'!$A$36,$K$205^A16,IF(A16='Données projet'!$A$36,'Données projet'!$B$36,N15+M16-V15)))</f>
        <v>75</v>
      </c>
      <c r="O16" s="14">
        <f>N16*VLOOKUP('Données projet'!$B$9,Paramètres!$A$1:$I$89,3,0)*VLOOKUP('Données projet'!$B$9,Paramètres!$A$1:$I$89,5,0)</f>
        <v>44.85</v>
      </c>
      <c r="P16" s="14">
        <f t="shared" si="33"/>
        <v>13.275453424327006</v>
      </c>
      <c r="Q16" s="22">
        <f t="shared" si="2"/>
        <v>101.2351647140362</v>
      </c>
      <c r="R16" s="62">
        <f t="shared" si="0"/>
        <v>373.79072026959176</v>
      </c>
      <c r="S16" s="62">
        <f ca="1">AVERAGE(OFFSET($R$3,0,0,'Données projet'!$E$9+1,1))-AVERAGE(OFFSET($H$3,0,0,'Données projet'!$E$9+1,1))</f>
        <v>168.3568384507675</v>
      </c>
      <c r="T16" s="62">
        <f t="shared" si="34"/>
        <v>286.34130084594312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15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10.1561237088124</v>
      </c>
      <c r="AC16" s="24">
        <f t="shared" si="3"/>
        <v>10.1561237088124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3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12.448800000000002</v>
      </c>
      <c r="D17" s="12">
        <f t="shared" si="32"/>
        <v>4.2776644527179633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129.11656770519133</v>
      </c>
      <c r="H17" s="70">
        <f t="shared" si="1"/>
        <v>285.79859225515048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15.5</v>
      </c>
      <c r="N17" s="14">
        <f>IF('Données projet'!$A$36&gt;35,N16+M17-V16,IF(A17&lt;'Données projet'!$A$36,$K$205^A17,IF(A17='Données projet'!$A$36,'Données projet'!$B$36,N16+M17-V16)))</f>
        <v>75.5</v>
      </c>
      <c r="O17" s="14">
        <f>N17*VLOOKUP('Données projet'!$B$9,Paramètres!$A$1:$I$89,3,0)*VLOOKUP('Données projet'!$B$9,Paramètres!$A$1:$I$89,5,0)</f>
        <v>45.149000000000008</v>
      </c>
      <c r="P17" s="14">
        <f t="shared" si="33"/>
        <v>13.35362442821638</v>
      </c>
      <c r="Q17" s="22">
        <f t="shared" si="2"/>
        <v>101.89207087914353</v>
      </c>
      <c r="R17" s="62">
        <f t="shared" si="0"/>
        <v>375.66984865692132</v>
      </c>
      <c r="S17" s="62">
        <f ca="1">AVERAGE(OFFSET($R$3,0,0,'Données projet'!$E$9+1,1))-AVERAGE(OFFSET($H$3,0,0,'Données projet'!$E$9+1,1))</f>
        <v>168.3568384507675</v>
      </c>
      <c r="T17" s="62">
        <f t="shared" si="34"/>
        <v>286.34130084594312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7.1814639450707176</v>
      </c>
      <c r="AC17" s="24">
        <f t="shared" si="3"/>
        <v>7.1814639450707176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3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13.338000000000003</v>
      </c>
      <c r="D18" s="12">
        <f t="shared" si="32"/>
        <v>4.5465525901071517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138.0561954324061</v>
      </c>
      <c r="H18" s="70">
        <f t="shared" si="1"/>
        <v>287.81559576110328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>
        <f>VLOOKUP(A18,'Données projet'!$A$35:$I$55,2,0)</f>
        <v>91</v>
      </c>
      <c r="L18" s="13">
        <f>VLOOKUP(A18,'Données projet'!$A$35:$I$55,9,0)</f>
        <v>15.5</v>
      </c>
      <c r="M18" s="13">
        <f t="array" ref="M18">INDEX(L:L,MIN(IF(ISNUMBER(L18:L214),ROW(L18:L214),"")))</f>
        <v>15.5</v>
      </c>
      <c r="N18" s="14">
        <f>IF('Données projet'!$A$36&gt;35,N17+M18-V17,IF(A18&lt;'Données projet'!$A$36,$K$205^A18,IF(A18='Données projet'!$A$36,'Données projet'!$B$36,N17+M18-V17)))</f>
        <v>91</v>
      </c>
      <c r="O18" s="14">
        <f>N18*VLOOKUP('Données projet'!$B$9,Paramètres!$A$1:$I$89,3,0)*VLOOKUP('Données projet'!$B$9,Paramètres!$A$1:$I$89,5,0)</f>
        <v>54.417999999999999</v>
      </c>
      <c r="P18" s="14">
        <f t="shared" si="33"/>
        <v>15.749044324804036</v>
      </c>
      <c r="Q18" s="22">
        <f t="shared" si="2"/>
        <v>122.20760219903367</v>
      </c>
      <c r="R18" s="62">
        <f t="shared" si="0"/>
        <v>397.20760219903366</v>
      </c>
      <c r="S18" s="62">
        <f ca="1">AVERAGE(OFFSET($R$3,0,0,'Données projet'!$E$9+1,1))-AVERAGE(OFFSET($H$3,0,0,'Données projet'!$E$9+1,1))</f>
        <v>168.3568384507675</v>
      </c>
      <c r="T18" s="62">
        <f t="shared" si="34"/>
        <v>286.34130084594312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5.0780618544062008</v>
      </c>
      <c r="AC18" s="24">
        <f t="shared" si="3"/>
        <v>5.0780618544062008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3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14.227200000000003</v>
      </c>
      <c r="D19" s="12">
        <f t="shared" si="32"/>
        <v>4.81336060460516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146.97976607063634</v>
      </c>
      <c r="H19" s="70">
        <f t="shared" si="1"/>
        <v>289.82897638635399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17.5</v>
      </c>
      <c r="N19" s="14">
        <f>IF('Données projet'!$A$36&gt;35,N18+M19-V18,IF(A19&lt;'Données projet'!$A$36,$K$205^A19,IF(A19='Données projet'!$A$36,'Données projet'!$B$36,N18+M19-V18)))</f>
        <v>108.5</v>
      </c>
      <c r="O19" s="14">
        <f>N19*VLOOKUP('Données projet'!$B$9,Paramètres!$A$1:$I$89,3,0)*VLOOKUP('Données projet'!$B$9,Paramètres!$A$1:$I$89,5,0)</f>
        <v>64.88300000000001</v>
      </c>
      <c r="P19" s="14">
        <f t="shared" si="33"/>
        <v>18.397166874132186</v>
      </c>
      <c r="Q19" s="22">
        <f t="shared" si="2"/>
        <v>145.04629063911355</v>
      </c>
      <c r="R19" s="62">
        <f t="shared" si="0"/>
        <v>421.26851286133581</v>
      </c>
      <c r="S19" s="62">
        <f ca="1">AVERAGE(OFFSET($R$3,0,0,'Données projet'!$E$9+1,1))-AVERAGE(OFFSET($H$3,0,0,'Données projet'!$E$9+1,1))</f>
        <v>168.3568384507675</v>
      </c>
      <c r="T19" s="62">
        <f t="shared" si="34"/>
        <v>286.34130084594312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3.5907319725353593</v>
      </c>
      <c r="AC19" s="24">
        <f t="shared" si="3"/>
        <v>3.5907319725353593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3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15.116400000000004</v>
      </c>
      <c r="D20" s="12">
        <f t="shared" si="32"/>
        <v>5.0782333044806931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155.8883974380966</v>
      </c>
      <c r="H20" s="70">
        <f t="shared" si="1"/>
        <v>291.83898633863726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>
        <f>VLOOKUP(A20,'Données projet'!$A$35:$I$55,2,0)</f>
        <v>126</v>
      </c>
      <c r="L20" s="13">
        <f>VLOOKUP(A20,'Données projet'!$A$35:$I$55,9,0)</f>
        <v>17.5</v>
      </c>
      <c r="M20" s="13">
        <f t="array" ref="M20">INDEX(L:L,MIN(IF(ISNUMBER(L20:L216),ROW(L20:L216),"")))</f>
        <v>17.5</v>
      </c>
      <c r="N20" s="14">
        <f>IF('Données projet'!$A$36&gt;35,N19+M20-V19,IF(A20&lt;'Données projet'!$A$36,$K$205^A20,IF(A20='Données projet'!$A$36,'Données projet'!$B$36,N19+M20-V19)))</f>
        <v>126</v>
      </c>
      <c r="O20" s="14">
        <f>N20*VLOOKUP('Données projet'!$B$9,Paramètres!$A$1:$I$89,3,0)*VLOOKUP('Données projet'!$B$9,Paramètres!$A$1:$I$89,5,0)</f>
        <v>75.347999999999999</v>
      </c>
      <c r="P20" s="14">
        <f t="shared" si="33"/>
        <v>20.99581051771704</v>
      </c>
      <c r="Q20" s="22">
        <f t="shared" si="2"/>
        <v>167.79880331835713</v>
      </c>
      <c r="R20" s="62">
        <f t="shared" si="0"/>
        <v>445.24324776280162</v>
      </c>
      <c r="S20" s="62">
        <f ca="1">AVERAGE(OFFSET($R$3,0,0,'Données projet'!$E$9+1,1))-AVERAGE(OFFSET($H$3,0,0,'Données projet'!$E$9+1,1))</f>
        <v>168.3568384507675</v>
      </c>
      <c r="T20" s="62">
        <f t="shared" si="34"/>
        <v>286.34130084594312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2.5390309272031004</v>
      </c>
      <c r="AC20" s="24">
        <f t="shared" si="3"/>
        <v>2.5390309272031004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3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16.005600000000005</v>
      </c>
      <c r="D21" s="12">
        <f t="shared" si="32"/>
        <v>5.3412974993444182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164.78306841599206</v>
      </c>
      <c r="H21" s="70">
        <f t="shared" si="1"/>
        <v>293.8458464780249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18.5</v>
      </c>
      <c r="N21" s="14">
        <f>IF('Données projet'!$A$36&gt;35,N20+M21-V20,IF(A21&lt;'Données projet'!$A$36,$K$205^A21,IF(A21='Données projet'!$A$36,'Données projet'!$B$36,N20+M21-V20)))</f>
        <v>144.5</v>
      </c>
      <c r="O21" s="14">
        <f>N21*VLOOKUP('Données projet'!$B$9,Paramètres!$A$1:$I$89,3,0)*VLOOKUP('Données projet'!$B$9,Paramètres!$A$1:$I$89,5,0)</f>
        <v>86.411000000000001</v>
      </c>
      <c r="P21" s="14">
        <f t="shared" si="33"/>
        <v>23.697605245819052</v>
      </c>
      <c r="Q21" s="22">
        <f t="shared" si="2"/>
        <v>191.77248746980149</v>
      </c>
      <c r="R21" s="62">
        <f t="shared" si="0"/>
        <v>470.43915413646818</v>
      </c>
      <c r="S21" s="62">
        <f ca="1">AVERAGE(OFFSET($R$3,0,0,'Données projet'!$E$9+1,1))-AVERAGE(OFFSET($H$3,0,0,'Données projet'!$E$9+1,1))</f>
        <v>168.3568384507675</v>
      </c>
      <c r="T21" s="62">
        <f t="shared" si="34"/>
        <v>286.34130084594312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1.7953659862676796</v>
      </c>
      <c r="AC21" s="24">
        <f t="shared" si="3"/>
        <v>1.7953659862676796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3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16.894800000000004</v>
      </c>
      <c r="D22" s="12">
        <f t="shared" si="32"/>
        <v>5.6026651130643481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173.66464297804058</v>
      </c>
      <c r="H22" s="70">
        <f t="shared" si="1"/>
        <v>295.84975173858709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>
        <f>VLOOKUP(A22,'Données projet'!$A$35:$I$55,2,0)</f>
        <v>163</v>
      </c>
      <c r="L22" s="13">
        <f>VLOOKUP(A22,'Données projet'!$A$35:$I$55,9,0)</f>
        <v>18.5</v>
      </c>
      <c r="M22" s="13">
        <f t="array" ref="M22">INDEX(L:L,MIN(IF(ISNUMBER(L22:L218),ROW(L22:L218),"")))</f>
        <v>18.5</v>
      </c>
      <c r="N22" s="14">
        <f>IF('Données projet'!$A$36&gt;35,N21+M22-V21,IF(A22&lt;'Données projet'!$A$36,$K$205^A22,IF(A22='Données projet'!$A$36,'Données projet'!$B$36,N21+M22-V21)))</f>
        <v>163</v>
      </c>
      <c r="O22" s="14">
        <f>N22*VLOOKUP('Données projet'!$B$9,Paramètres!$A$1:$I$89,3,0)*VLOOKUP('Données projet'!$B$9,Paramètres!$A$1:$I$89,5,0)</f>
        <v>97.474000000000004</v>
      </c>
      <c r="P22" s="14">
        <f t="shared" si="33"/>
        <v>26.359319748929014</v>
      </c>
      <c r="Q22" s="22">
        <f t="shared" si="2"/>
        <v>215.67636522938469</v>
      </c>
      <c r="R22" s="62">
        <f t="shared" si="0"/>
        <v>495.56525411827351</v>
      </c>
      <c r="S22" s="62">
        <f ca="1">AVERAGE(OFFSET($R$3,0,0,'Données projet'!$E$9+1,1))-AVERAGE(OFFSET($H$3,0,0,'Données projet'!$E$9+1,1))</f>
        <v>168.3568384507675</v>
      </c>
      <c r="T22" s="62">
        <f t="shared" si="34"/>
        <v>286.34130084594312</v>
      </c>
      <c r="U22" s="16">
        <f>IF(ISNA(VLOOKUP(A22,'Données projet'!$A$35:$I$55,3,0)),0,VLOOKUP(A22,'Données projet'!$A$35:$I$55,3,0))</f>
        <v>2</v>
      </c>
      <c r="V22" s="16">
        <f>IF(ISNA(VLOOKUP(A22,'Données projet'!$A$35:$I$55,4,0)),0,VLOOKUP(A22,'Données projet'!$A$35:$I$55,4,0))</f>
        <v>40</v>
      </c>
      <c r="W22" s="17">
        <f>IF(ISNA(VLOOKUP(A22,'Données projet'!$A$35:$I$55,5,0)),0%,VLOOKUP(A22,'Données projet'!$A$35:$I$55,5,0)*VLOOKUP('Données projet'!$B$9,Paramètres!$A$1:$I$89,7,0))</f>
        <v>0.13500000000000001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0.7</v>
      </c>
      <c r="Z22" s="23">
        <f>EXP(-LN(2)/35)*Z21+(1-EXP(-LN(2)/35))/(LN(2)/35)*V22*W22*VLOOKUP('Données projet'!$B$9,Paramètres!$A$1:$I$89,3,0)*0.475*44/12</f>
        <v>4.2837419395053642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20.227613053384697</v>
      </c>
      <c r="AC22" s="24">
        <f t="shared" si="3"/>
        <v>24.511354992890062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3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17.784000000000002</v>
      </c>
      <c r="D23" s="12">
        <f t="shared" si="32"/>
        <v>5.862435622634961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182.5338890168313</v>
      </c>
      <c r="H23" s="70">
        <f t="shared" si="1"/>
        <v>297.85087537608922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16</v>
      </c>
      <c r="N23" s="14">
        <f>IF('Données projet'!$A$36&gt;35,N22+M23-V22,IF(A23&lt;'Données projet'!$A$36,$K$205^A23,IF(A23='Données projet'!$A$36,'Données projet'!$B$36,N22+M23-V22)))</f>
        <v>139</v>
      </c>
      <c r="O23" s="14">
        <f>N23*VLOOKUP('Données projet'!$B$9,Paramètres!$A$1:$I$89,3,0)*VLOOKUP('Données projet'!$B$9,Paramètres!$A$1:$I$89,5,0)</f>
        <v>83.122000000000014</v>
      </c>
      <c r="P23" s="14">
        <f t="shared" si="33"/>
        <v>22.898820278178533</v>
      </c>
      <c r="Q23" s="22">
        <f t="shared" si="2"/>
        <v>184.65292865116098</v>
      </c>
      <c r="R23" s="62">
        <f t="shared" si="0"/>
        <v>465.76403976227209</v>
      </c>
      <c r="S23" s="62">
        <f ca="1">AVERAGE(OFFSET($R$3,0,0,'Données projet'!$E$9+1,1))-AVERAGE(OFFSET($H$3,0,0,'Données projet'!$E$9+1,1))</f>
        <v>168.3568384507675</v>
      </c>
      <c r="T23" s="62">
        <f t="shared" si="34"/>
        <v>286.34130084594312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4.1997403728962519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14.303082357265847</v>
      </c>
      <c r="AC23" s="24">
        <f t="shared" si="3"/>
        <v>18.502822730162098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3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18.673200000000001</v>
      </c>
      <c r="D24" s="12">
        <f t="shared" si="32"/>
        <v>6.1206979954107776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191.3914932979078</v>
      </c>
      <c r="H24" s="70">
        <f t="shared" si="1"/>
        <v>299.84937234200714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>
        <f>VLOOKUP(A24,'Données projet'!$A$35:$I$55,2,0)</f>
        <v>155</v>
      </c>
      <c r="L24" s="13">
        <f>VLOOKUP(A24,'Données projet'!$A$35:$I$55,9,0)</f>
        <v>16</v>
      </c>
      <c r="M24" s="13">
        <f t="array" ref="M24">INDEX(L:L,MIN(IF(ISNUMBER(L24:L220),ROW(L24:L220),"")))</f>
        <v>16</v>
      </c>
      <c r="N24" s="14">
        <f>IF('Données projet'!$A$36&gt;35,N23+M24-V23,IF(A24&lt;'Données projet'!$A$36,$K$205^A24,IF(A24='Données projet'!$A$36,'Données projet'!$B$36,N23+M24-V23)))</f>
        <v>155</v>
      </c>
      <c r="O24" s="14">
        <f>N24*VLOOKUP('Données projet'!$B$9,Paramètres!$A$1:$I$89,3,0)*VLOOKUP('Données projet'!$B$9,Paramètres!$A$1:$I$89,5,0)</f>
        <v>92.69</v>
      </c>
      <c r="P24" s="14">
        <f t="shared" si="33"/>
        <v>25.212872031125478</v>
      </c>
      <c r="Q24" s="22">
        <f t="shared" si="2"/>
        <v>205.34750212087684</v>
      </c>
      <c r="R24" s="62">
        <f t="shared" si="0"/>
        <v>487.68083545421018</v>
      </c>
      <c r="S24" s="62">
        <f ca="1">AVERAGE(OFFSET($R$3,0,0,'Données projet'!$E$9+1,1))-AVERAGE(OFFSET($H$3,0,0,'Données projet'!$E$9+1,1))</f>
        <v>168.3568384507675</v>
      </c>
      <c r="T24" s="62">
        <f t="shared" si="34"/>
        <v>286.34130084594312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4.1173860257724479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10.11380652669235</v>
      </c>
      <c r="AC24" s="24">
        <f t="shared" si="3"/>
        <v>14.231192552464798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3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19.5624</v>
      </c>
      <c r="D25" s="12">
        <f t="shared" si="32"/>
        <v>6.3775322468881095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200.23807348475032</v>
      </c>
      <c r="H25" s="70">
        <f t="shared" si="1"/>
        <v>301.84538199666349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16.5</v>
      </c>
      <c r="N25" s="14">
        <f>IF('Données projet'!$A$36&gt;35,N24+M25-V24,IF(A25&lt;'Données projet'!$A$36,$K$205^A25,IF(A25='Données projet'!$A$36,'Données projet'!$B$36,N24+M25-V24)))</f>
        <v>171.5</v>
      </c>
      <c r="O25" s="14">
        <f>N25*VLOOKUP('Données projet'!$B$9,Paramètres!$A$1:$I$89,3,0)*VLOOKUP('Données projet'!$B$9,Paramètres!$A$1:$I$89,5,0)</f>
        <v>102.557</v>
      </c>
      <c r="P25" s="14">
        <f t="shared" si="33"/>
        <v>27.570269498605164</v>
      </c>
      <c r="Q25" s="22">
        <f t="shared" si="2"/>
        <v>226.63832771007063</v>
      </c>
      <c r="R25" s="62">
        <f t="shared" si="0"/>
        <v>510.19388326562614</v>
      </c>
      <c r="S25" s="62">
        <f ca="1">AVERAGE(OFFSET($R$3,0,0,'Données projet'!$E$9+1,1))-AVERAGE(OFFSET($H$3,0,0,'Données projet'!$E$9+1,1))</f>
        <v>168.3568384507675</v>
      </c>
      <c r="T25" s="62">
        <f t="shared" si="34"/>
        <v>286.34130084594312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4.03664659716455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7.1515411786329244</v>
      </c>
      <c r="AC25" s="24">
        <f t="shared" si="3"/>
        <v>11.188187775797473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3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20.451599999999999</v>
      </c>
      <c r="D26" s="12">
        <f t="shared" si="32"/>
        <v>6.6330107072474558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209.07418791559442</v>
      </c>
      <c r="H26" s="70">
        <f t="shared" si="1"/>
        <v>303.83903031512267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>
        <f>VLOOKUP(A26,'Données projet'!$A$35:$I$55,2,0)</f>
        <v>188</v>
      </c>
      <c r="L26" s="13">
        <f>VLOOKUP(A26,'Données projet'!$A$35:$I$55,9,0)</f>
        <v>16.5</v>
      </c>
      <c r="M26" s="13">
        <f t="array" ref="M26">INDEX(L:L,MIN(IF(ISNUMBER(L26:L222),ROW(L26:L222),"")))</f>
        <v>16.5</v>
      </c>
      <c r="N26" s="14">
        <f>IF('Données projet'!$A$36&gt;35,N25+M26-V25,IF(A26&lt;'Données projet'!$A$36,$K$205^A26,IF(A26='Données projet'!$A$36,'Données projet'!$B$36,N25+M26-V25)))</f>
        <v>188</v>
      </c>
      <c r="O26" s="14">
        <f>N26*VLOOKUP('Données projet'!$B$9,Paramètres!$A$1:$I$89,3,0)*VLOOKUP('Données projet'!$B$9,Paramètres!$A$1:$I$89,5,0)</f>
        <v>112.42400000000001</v>
      </c>
      <c r="P26" s="14">
        <f t="shared" si="33"/>
        <v>29.901371354345123</v>
      </c>
      <c r="Q26" s="22">
        <f t="shared" si="2"/>
        <v>247.88335510881771</v>
      </c>
      <c r="R26" s="62">
        <f t="shared" si="0"/>
        <v>532.66113288659551</v>
      </c>
      <c r="S26" s="62">
        <f ca="1">AVERAGE(OFFSET($R$3,0,0,'Données projet'!$E$9+1,1))-AVERAGE(OFFSET($H$3,0,0,'Données projet'!$E$9+1,1))</f>
        <v>168.3568384507675</v>
      </c>
      <c r="T26" s="62">
        <f t="shared" si="34"/>
        <v>286.34130084594312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3.9574904195054641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5.0569032633461761</v>
      </c>
      <c r="AC26" s="24">
        <f t="shared" si="3"/>
        <v>9.0143936828516402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3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21.340799999999998</v>
      </c>
      <c r="D27" s="12">
        <f t="shared" si="32"/>
        <v>6.8871990614123195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217.90034363195477</v>
      </c>
      <c r="H27" s="70">
        <f t="shared" si="1"/>
        <v>305.83043169862646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17</v>
      </c>
      <c r="N27" s="14">
        <f>IF('Données projet'!$A$36&gt;35,N26+M27-V26,IF(A27&lt;'Données projet'!$A$36,$K$205^A27,IF(A27='Données projet'!$A$36,'Données projet'!$B$36,N26+M27-V26)))</f>
        <v>205</v>
      </c>
      <c r="O27" s="14">
        <f>N27*VLOOKUP('Données projet'!$B$9,Paramètres!$A$1:$I$89,3,0)*VLOOKUP('Données projet'!$B$9,Paramètres!$A$1:$I$89,5,0)</f>
        <v>122.59</v>
      </c>
      <c r="P27" s="14">
        <f t="shared" si="33"/>
        <v>32.278321478706822</v>
      </c>
      <c r="Q27" s="22">
        <f t="shared" si="2"/>
        <v>269.72899324208106</v>
      </c>
      <c r="R27" s="62">
        <f t="shared" si="0"/>
        <v>555.72899324208106</v>
      </c>
      <c r="S27" s="62">
        <f ca="1">AVERAGE(OFFSET($R$3,0,0,'Données projet'!$E$9+1,1))-AVERAGE(OFFSET($H$3,0,0,'Données projet'!$E$9+1,1))</f>
        <v>168.3568384507675</v>
      </c>
      <c r="T27" s="62">
        <f t="shared" si="34"/>
        <v>286.34130084594312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3.8798864462097717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3.5757705893164631</v>
      </c>
      <c r="AC27" s="24">
        <f t="shared" si="3"/>
        <v>7.4556570355262348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3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22.229999999999997</v>
      </c>
      <c r="D28" s="12">
        <f t="shared" si="32"/>
        <v>7.140157210880437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226.71700303135776</v>
      </c>
      <c r="H28" s="70">
        <f t="shared" si="1"/>
        <v>307.81969047561677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222</v>
      </c>
      <c r="L28" s="13">
        <f>VLOOKUP(A28,'Données projet'!$A$35:$I$55,9,0)</f>
        <v>17</v>
      </c>
      <c r="M28" s="13">
        <f t="array" ref="M28">INDEX(L:L,MIN(IF(ISNUMBER(L28:L224),ROW(L28:L224),"")))</f>
        <v>17</v>
      </c>
      <c r="N28" s="14">
        <f>IF('Données projet'!$A$36&gt;35,N27+M28-V27,IF(A28&lt;'Données projet'!$A$36,$K$205^A28,IF(A28='Données projet'!$A$36,'Données projet'!$B$36,N27+M28-V27)))</f>
        <v>222</v>
      </c>
      <c r="O28" s="14">
        <f>N28*VLOOKUP('Données projet'!$B$9,Paramètres!$A$1:$I$89,3,0)*VLOOKUP('Données projet'!$B$9,Paramètres!$A$1:$I$89,5,0)</f>
        <v>132.756</v>
      </c>
      <c r="P28" s="14">
        <f t="shared" si="33"/>
        <v>34.632410397339967</v>
      </c>
      <c r="Q28" s="22">
        <f t="shared" si="2"/>
        <v>291.53481477536712</v>
      </c>
      <c r="R28" s="62">
        <f t="shared" si="0"/>
        <v>578.75703699758935</v>
      </c>
      <c r="S28" s="62">
        <f ca="1">AVERAGE(OFFSET($R$3,0,0,'Données projet'!$E$9+1,1))-AVERAGE(OFFSET($H$3,0,0,'Données projet'!$E$9+1,1))</f>
        <v>168.3568384507675</v>
      </c>
      <c r="T28" s="62">
        <f t="shared" si="34"/>
        <v>286.34130084594312</v>
      </c>
      <c r="U28" s="16">
        <f>IF(ISNA(VLOOKUP(A28,'Données projet'!$A$35:$I$55,3,0)),0,VLOOKUP(A28,'Données projet'!$A$35:$I$55,3,0))</f>
        <v>3</v>
      </c>
      <c r="V28" s="16">
        <f>IF(ISNA(VLOOKUP(A28,'Données projet'!$A$35:$I$55,4,0)),0,VLOOKUP(A28,'Données projet'!$A$35:$I$55,4,0))</f>
        <v>54</v>
      </c>
      <c r="W28" s="17">
        <f>IF(ISNA(VLOOKUP(A28,'Données projet'!$A$35:$I$55,5,0)),0%,VLOOKUP(A28,'Données projet'!$A$35:$I$55,5,0)*VLOOKUP('Données projet'!$B$9,Paramètres!$A$1:$I$89,7,0))</f>
        <v>0.18000000000000002</v>
      </c>
      <c r="X28" s="17">
        <f>IF(ISNA(VLOOKUP(A28,'Données projet'!$A$35:$I$55,6,0)),0%,VLOOKUP(A28,'Données projet'!$A$35:$I$55,6,0)*VLOOKUP('Données projet'!$B$9,Paramètres!$A$1:$I$89,7,0))</f>
        <v>9.0000000000000011E-2</v>
      </c>
      <c r="Y28" s="17">
        <f>IF(ISNA(VLOOKUP(A28,'Données projet'!$A$35:$I$55,7,0)),0%,VLOOKUP(A28,'Données projet'!$A$35:$I$55,7,0))</f>
        <v>0.4</v>
      </c>
      <c r="Z28" s="23">
        <f>EXP(-LN(2)/35)*Z27+(1-EXP(-LN(2)/35))/(LN(2)/35)*V28*W28*VLOOKUP('Données projet'!$B$9,Paramètres!$A$1:$I$89,3,0)*0.475*44/12</f>
        <v>11.514539730606312</v>
      </c>
      <c r="AA28" s="23">
        <f>EXP(-LN(2)/25)*AA27+(1-EXP(-LN(2)/25))/(LN(2)/25)*Calculateur!V28*Calculateur!X28*VLOOKUP('Données projet'!$B$9,Paramètres!$A$1:$I$89,3,0)*0.475*44/12</f>
        <v>3.8401876937302988</v>
      </c>
      <c r="AB28" s="23">
        <f>EXP(-LN(2)/2)*AB27+(1-EXP(-LN(2)/2))/(LN(2)/2)*V28*Y28*VLOOKUP('Données projet'!$B$9,Paramètres!$A$1:$I$89,3,0)*0.475*44/12</f>
        <v>17.153269772362943</v>
      </c>
      <c r="AC28" s="24">
        <f t="shared" si="3"/>
        <v>32.507997196699556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3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23.119199999999996</v>
      </c>
      <c r="D29" s="12">
        <f t="shared" si="32"/>
        <v>7.3919399937804329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235.5245894256735</v>
      </c>
      <c r="H29" s="70">
        <f t="shared" si="1"/>
        <v>309.80690215583428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13.5</v>
      </c>
      <c r="N29" s="14">
        <f>IF('Données projet'!$A$36&gt;35,N28+M29-V28,IF(A29&lt;'Données projet'!$A$36,$K$205^A29,IF(A29='Données projet'!$A$36,'Données projet'!$B$36,N28+M29-V28)))</f>
        <v>181.5</v>
      </c>
      <c r="O29" s="14">
        <f>N29*VLOOKUP('Données projet'!$B$9,Paramètres!$A$1:$I$89,3,0)*VLOOKUP('Données projet'!$B$9,Paramètres!$A$1:$I$89,5,0)</f>
        <v>108.53700000000002</v>
      </c>
      <c r="P29" s="14">
        <f t="shared" si="33"/>
        <v>28.986022217646841</v>
      </c>
      <c r="Q29" s="22">
        <f t="shared" si="2"/>
        <v>239.51926369573494</v>
      </c>
      <c r="R29" s="62">
        <f t="shared" si="0"/>
        <v>527.96370814017939</v>
      </c>
      <c r="S29" s="62">
        <f ca="1">AVERAGE(OFFSET($R$3,0,0,'Données projet'!$E$9+1,1))-AVERAGE(OFFSET($H$3,0,0,'Données projet'!$E$9+1,1))</f>
        <v>168.3568384507675</v>
      </c>
      <c r="T29" s="62">
        <f t="shared" si="34"/>
        <v>286.34130084594312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11.288746629664876</v>
      </c>
      <c r="AA29" s="23">
        <f>EXP(-LN(2)/25)*AA28+(1-EXP(-LN(2)/25))/(LN(2)/25)*Calculateur!V29*Calculateur!X29*VLOOKUP('Données projet'!$B$9,Paramètres!$A$1:$I$89,3,0)*0.475*44/12</f>
        <v>3.7351775592985499</v>
      </c>
      <c r="AB29" s="23">
        <f>EXP(-LN(2)/2)*AB28+(1-EXP(-LN(2)/2))/(LN(2)/2)*V29*Y29*VLOOKUP('Données projet'!$B$9,Paramètres!$A$1:$I$89,3,0)*0.475*44/12</f>
        <v>12.129193375560064</v>
      </c>
      <c r="AC29" s="24">
        <f t="shared" si="3"/>
        <v>27.153117564523491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3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24.008399999999995</v>
      </c>
      <c r="D30" s="12">
        <f t="shared" si="32"/>
        <v>7.6425977910346958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244.32349172026781</v>
      </c>
      <c r="H30" s="70">
        <f t="shared" si="1"/>
        <v>311.79215448605208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>
        <f>VLOOKUP(A30,'Données projet'!$A$35:$I$55,2,0)</f>
        <v>195</v>
      </c>
      <c r="L30" s="13">
        <f>VLOOKUP(A30,'Données projet'!$A$35:$I$55,9,0)</f>
        <v>13.5</v>
      </c>
      <c r="M30" s="13">
        <f t="array" ref="M30">INDEX(L:L,MIN(IF(ISNUMBER(L30:L226),ROW(L30:L226),"")))</f>
        <v>13.5</v>
      </c>
      <c r="N30" s="14">
        <f>IF('Données projet'!$A$36&gt;35,N29+M30-V29,IF(A30&lt;'Données projet'!$A$36,$K$205^A30,IF(A30='Données projet'!$A$36,'Données projet'!$B$36,N29+M30-V29)))</f>
        <v>195</v>
      </c>
      <c r="O30" s="14">
        <f>N30*VLOOKUP('Données projet'!$B$9,Paramètres!$A$1:$I$89,3,0)*VLOOKUP('Données projet'!$B$9,Paramètres!$A$1:$I$89,5,0)</f>
        <v>116.61000000000001</v>
      </c>
      <c r="P30" s="14">
        <f t="shared" si="33"/>
        <v>30.883023623410974</v>
      </c>
      <c r="Q30" s="22">
        <f t="shared" si="2"/>
        <v>256.88368281077413</v>
      </c>
      <c r="R30" s="62">
        <f t="shared" si="0"/>
        <v>546.55034947744082</v>
      </c>
      <c r="S30" s="62">
        <f ca="1">AVERAGE(OFFSET($R$3,0,0,'Données projet'!$E$9+1,1))-AVERAGE(OFFSET($H$3,0,0,'Données projet'!$E$9+1,1))</f>
        <v>168.3568384507675</v>
      </c>
      <c r="T30" s="62">
        <f t="shared" si="34"/>
        <v>286.34130084594312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11.067381193712711</v>
      </c>
      <c r="AA30" s="23">
        <f>EXP(-LN(2)/25)*AA29+(1-EXP(-LN(2)/25))/(LN(2)/25)*Calculateur!V30*Calculateur!X30*VLOOKUP('Données projet'!$B$9,Paramètres!$A$1:$I$89,3,0)*0.475*44/12</f>
        <v>3.6330389325150803</v>
      </c>
      <c r="AB30" s="23">
        <f>EXP(-LN(2)/2)*AB29+(1-EXP(-LN(2)/2))/(LN(2)/2)*V30*Y30*VLOOKUP('Données projet'!$B$9,Paramètres!$A$1:$I$89,3,0)*0.475*44/12</f>
        <v>8.5766348861814716</v>
      </c>
      <c r="AC30" s="24">
        <f t="shared" si="3"/>
        <v>23.277055012409264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3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24.897599999999994</v>
      </c>
      <c r="D31" s="12">
        <f t="shared" si="32"/>
        <v>7.8921770401958202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253.11406838045892</v>
      </c>
      <c r="H31" s="70">
        <f t="shared" si="1"/>
        <v>313.77552834500773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14</v>
      </c>
      <c r="N31" s="14">
        <f>IF('Données projet'!$A$36&gt;35,N30+M31-V30,IF(A31&lt;'Données projet'!$A$36,$K$205^A31,IF(A31='Données projet'!$A$36,'Données projet'!$B$36,N30+M31-V30)))</f>
        <v>209</v>
      </c>
      <c r="O31" s="14">
        <f>N31*VLOOKUP('Données projet'!$B$9,Paramètres!$A$1:$I$89,3,0)*VLOOKUP('Données projet'!$B$9,Paramètres!$A$1:$I$89,5,0)</f>
        <v>124.982</v>
      </c>
      <c r="P31" s="14">
        <f t="shared" si="33"/>
        <v>32.834203796212122</v>
      </c>
      <c r="Q31" s="22">
        <f t="shared" si="2"/>
        <v>274.86322161173604</v>
      </c>
      <c r="R31" s="62">
        <f t="shared" si="0"/>
        <v>565.75211050062489</v>
      </c>
      <c r="S31" s="62">
        <f ca="1">AVERAGE(OFFSET($R$3,0,0,'Données projet'!$E$9+1,1))-AVERAGE(OFFSET($H$3,0,0,'Données projet'!$E$9+1,1))</f>
        <v>168.3568384507675</v>
      </c>
      <c r="T31" s="62">
        <f t="shared" si="34"/>
        <v>286.34130084594312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10.850356598939982</v>
      </c>
      <c r="AA31" s="23">
        <f>EXP(-LN(2)/25)*AA30+(1-EXP(-LN(2)/25))/(LN(2)/25)*Calculateur!V31*Calculateur!X31*VLOOKUP('Données projet'!$B$9,Paramètres!$A$1:$I$89,3,0)*0.475*44/12</f>
        <v>3.5336932918522415</v>
      </c>
      <c r="AB31" s="23">
        <f>EXP(-LN(2)/2)*AB30+(1-EXP(-LN(2)/2))/(LN(2)/2)*V31*Y31*VLOOKUP('Données projet'!$B$9,Paramètres!$A$1:$I$89,3,0)*0.475*44/12</f>
        <v>6.0645966877800319</v>
      </c>
      <c r="AC31" s="24">
        <f t="shared" si="3"/>
        <v>20.448646578572255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3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25.786799999999992</v>
      </c>
      <c r="D32" s="12">
        <f t="shared" si="32"/>
        <v>8.1407206738151334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261.89665081541494</v>
      </c>
      <c r="H32" s="70">
        <f t="shared" si="1"/>
        <v>315.75709850689469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>
        <f>VLOOKUP(A32,'Données projet'!$A$35:$I$55,2,0)</f>
        <v>223</v>
      </c>
      <c r="L32" s="13">
        <f>VLOOKUP(A32,'Données projet'!$A$35:$I$55,9,0)</f>
        <v>14</v>
      </c>
      <c r="M32" s="13">
        <f t="array" ref="M32">INDEX(L:L,MIN(IF(ISNUMBER(L32:L228),ROW(L32:L228),"")))</f>
        <v>14</v>
      </c>
      <c r="N32" s="14">
        <f>IF('Données projet'!$A$36&gt;35,N31+M32-V31,IF(A32&lt;'Données projet'!$A$36,$K$205^A32,IF(A32='Données projet'!$A$36,'Données projet'!$B$36,N31+M32-V31)))</f>
        <v>223</v>
      </c>
      <c r="O32" s="14">
        <f>N32*VLOOKUP('Données projet'!$B$9,Paramètres!$A$1:$I$89,3,0)*VLOOKUP('Données projet'!$B$9,Paramètres!$A$1:$I$89,5,0)</f>
        <v>133.35400000000001</v>
      </c>
      <c r="P32" s="14">
        <f t="shared" si="33"/>
        <v>34.770217553947298</v>
      </c>
      <c r="Q32" s="22">
        <f t="shared" si="2"/>
        <v>292.81634557312492</v>
      </c>
      <c r="R32" s="62">
        <f t="shared" si="0"/>
        <v>584.92745668423606</v>
      </c>
      <c r="S32" s="62">
        <f ca="1">AVERAGE(OFFSET($R$3,0,0,'Données projet'!$E$9+1,1))-AVERAGE(OFFSET($H$3,0,0,'Données projet'!$E$9+1,1))</f>
        <v>168.3568384507675</v>
      </c>
      <c r="T32" s="62">
        <f t="shared" si="34"/>
        <v>286.34130084594312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10.637587724098815</v>
      </c>
      <c r="AA32" s="23">
        <f>EXP(-LN(2)/25)*AA31+(1-EXP(-LN(2)/25))/(LN(2)/25)*Calculateur!V32*Calculateur!X32*VLOOKUP('Données projet'!$B$9,Paramètres!$A$1:$I$89,3,0)*0.475*44/12</f>
        <v>3.437064262957688</v>
      </c>
      <c r="AB32" s="23">
        <f>EXP(-LN(2)/2)*AB31+(1-EXP(-LN(2)/2))/(LN(2)/2)*V32*Y32*VLOOKUP('Données projet'!$B$9,Paramètres!$A$1:$I$89,3,0)*0.475*44/12</f>
        <v>4.2883174430907358</v>
      </c>
      <c r="AC32" s="24">
        <f t="shared" si="3"/>
        <v>18.362969430147238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3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26.675999999999991</v>
      </c>
      <c r="D33" s="12">
        <f t="shared" si="32"/>
        <v>8.388268495647786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270.67154628219339</v>
      </c>
      <c r="H33" s="70">
        <f t="shared" si="1"/>
        <v>317.73693429658658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237</v>
      </c>
      <c r="L33" s="13">
        <f>VLOOKUP(A33,'Données projet'!$A$35:$I$55,9,0)</f>
        <v>14</v>
      </c>
      <c r="M33" s="13">
        <f t="array" ref="M33">INDEX(L:L,MIN(IF(ISNUMBER(L33:L229),ROW(L33:L229),"")))</f>
        <v>14</v>
      </c>
      <c r="N33" s="14">
        <f>IF('Données projet'!$A$36&gt;35,N32+M33-V32,IF(A33&lt;'Données projet'!$A$36,$K$205^A33,IF(A33='Données projet'!$A$36,'Données projet'!$B$36,N32+M33-V32)))</f>
        <v>237</v>
      </c>
      <c r="O33" s="14">
        <f>N33*VLOOKUP('Données projet'!$B$9,Paramètres!$A$1:$I$89,3,0)*VLOOKUP('Données projet'!$B$9,Paramètres!$A$1:$I$89,5,0)</f>
        <v>141.72600000000003</v>
      </c>
      <c r="P33" s="14">
        <f t="shared" si="33"/>
        <v>36.692125440686915</v>
      </c>
      <c r="Q33" s="22">
        <f t="shared" si="2"/>
        <v>310.74490180919639</v>
      </c>
      <c r="R33" s="62">
        <f t="shared" si="0"/>
        <v>604.07823514252971</v>
      </c>
      <c r="S33" s="62">
        <f ca="1">AVERAGE(OFFSET($R$3,0,0,'Données projet'!$E$9+1,1))-AVERAGE(OFFSET($H$3,0,0,'Données projet'!$E$9+1,1))</f>
        <v>168.3568384507675</v>
      </c>
      <c r="T33" s="62">
        <f t="shared" si="34"/>
        <v>286.34130084594312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10.428991117117084</v>
      </c>
      <c r="AA33" s="23">
        <f>EXP(-LN(2)/25)*AA32+(1-EXP(-LN(2)/25))/(LN(2)/25)*Calculateur!V33*Calculateur!X33*VLOOKUP('Données projet'!$B$9,Paramètres!$A$1:$I$89,3,0)*0.475*44/12</f>
        <v>3.343077559939756</v>
      </c>
      <c r="AB33" s="23">
        <f>EXP(-LN(2)/2)*AB32+(1-EXP(-LN(2)/2))/(LN(2)/2)*V33*Y33*VLOOKUP('Données projet'!$B$9,Paramètres!$A$1:$I$89,3,0)*0.475*44/12</f>
        <v>3.032298343890016</v>
      </c>
      <c r="AC33" s="24">
        <f t="shared" si="3"/>
        <v>16.804367020946856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3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27.56519999999999</v>
      </c>
      <c r="D34" s="12">
        <f t="shared" si="32"/>
        <v>8.6348575052881742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279.43904039169814</v>
      </c>
      <c r="H34" s="70">
        <f t="shared" si="1"/>
        <v>319.71510015504356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13.5</v>
      </c>
      <c r="N34" s="14">
        <f>IF('Données projet'!$A$36&gt;35,N33+M34-V33,IF(A34&lt;'Données projet'!$A$36,$K$205^A34,IF(A34='Données projet'!$A$36,'Données projet'!$B$36,N33+M34-V33)))</f>
        <v>250.5</v>
      </c>
      <c r="O34" s="14">
        <f>N34*VLOOKUP('Données projet'!$B$9,Paramètres!$A$1:$I$89,3,0)*VLOOKUP('Données projet'!$B$9,Paramètres!$A$1:$I$89,5,0)</f>
        <v>149.79900000000001</v>
      </c>
      <c r="P34" s="14">
        <f t="shared" si="33"/>
        <v>38.532904085481292</v>
      </c>
      <c r="Q34" s="22">
        <f t="shared" si="2"/>
        <v>328.01139961554662</v>
      </c>
      <c r="R34" s="62">
        <f t="shared" si="0"/>
        <v>621.34473294887994</v>
      </c>
      <c r="S34" s="62">
        <f ca="1">AVERAGE(OFFSET($R$3,0,0,'Données projet'!$E$9+1,1))-AVERAGE(OFFSET($H$3,0,0,'Données projet'!$E$9+1,1))</f>
        <v>168.3568384507675</v>
      </c>
      <c r="T34" s="62">
        <f t="shared" si="34"/>
        <v>286.34130084594312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10.224484962366898</v>
      </c>
      <c r="AA34" s="23">
        <f>EXP(-LN(2)/25)*AA33+(1-EXP(-LN(2)/25))/(LN(2)/25)*Calculateur!V34*Calculateur!X34*VLOOKUP('Données projet'!$B$9,Paramètres!$A$1:$I$89,3,0)*0.475*44/12</f>
        <v>3.2516609282583953</v>
      </c>
      <c r="AB34" s="23">
        <f>EXP(-LN(2)/2)*AB33+(1-EXP(-LN(2)/2))/(LN(2)/2)*V34*Y34*VLOOKUP('Données projet'!$B$9,Paramètres!$A$1:$I$89,3,0)*0.475*44/12</f>
        <v>2.1441587215453679</v>
      </c>
      <c r="AC34" s="24">
        <f t="shared" si="3"/>
        <v>15.620304612170662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3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28.454399999999989</v>
      </c>
      <c r="D35" s="12">
        <f t="shared" si="32"/>
        <v>8.8805221797401579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288.19939928220469</v>
      </c>
      <c r="H35" s="70">
        <f t="shared" si="1"/>
        <v>321.69165612971409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>
        <f>VLOOKUP(A35,'Données projet'!$A$35:$I$55,2,0)</f>
        <v>264</v>
      </c>
      <c r="L35" s="13">
        <f>VLOOKUP(A35,'Données projet'!$A$35:$I$55,9,0)</f>
        <v>13.5</v>
      </c>
      <c r="M35" s="13">
        <f t="array" ref="M35">INDEX(L:L,MIN(IF(ISNUMBER(L35:L231),ROW(L35:L231),"")))</f>
        <v>13.5</v>
      </c>
      <c r="N35" s="14">
        <f>IF('Données projet'!$A$36&gt;35,N34+M35-V34,IF(A35&lt;'Données projet'!$A$36,$K$205^A35,IF(A35='Données projet'!$A$36,'Données projet'!$B$36,N34+M35-V34)))</f>
        <v>264</v>
      </c>
      <c r="O35" s="14">
        <f>N35*VLOOKUP('Données projet'!$B$9,Paramètres!$A$1:$I$89,3,0)*VLOOKUP('Données projet'!$B$9,Paramètres!$A$1:$I$89,5,0)</f>
        <v>157.87200000000001</v>
      </c>
      <c r="P35" s="14">
        <f t="shared" si="33"/>
        <v>40.362165684361159</v>
      </c>
      <c r="Q35" s="22">
        <f t="shared" ref="Q35:Q66" si="53">(O35+P35)*0.475*44/12</f>
        <v>345.25783856692902</v>
      </c>
      <c r="R35" s="62">
        <f t="shared" si="0"/>
        <v>638.59117190026234</v>
      </c>
      <c r="S35" s="62">
        <f ca="1">AVERAGE(OFFSET($R$3,0,0,'Données projet'!$E$9+1,1))-AVERAGE(OFFSET($H$3,0,0,'Données projet'!$E$9+1,1))</f>
        <v>168.3568384507675</v>
      </c>
      <c r="T35" s="62">
        <f t="shared" si="34"/>
        <v>286.34130084594312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10.023989048574924</v>
      </c>
      <c r="AA35" s="23">
        <f>EXP(-LN(2)/25)*AA34+(1-EXP(-LN(2)/25))/(LN(2)/25)*Calculateur!V35*Calculateur!X35*VLOOKUP('Données projet'!$B$9,Paramètres!$A$1:$I$89,3,0)*0.475*44/12</f>
        <v>3.1627440891777532</v>
      </c>
      <c r="AB35" s="23">
        <f>EXP(-LN(2)/2)*AB34+(1-EXP(-LN(2)/2))/(LN(2)/2)*V35*Y35*VLOOKUP('Données projet'!$B$9,Paramètres!$A$1:$I$89,3,0)*0.475*44/12</f>
        <v>1.516149171945008</v>
      </c>
      <c r="AC35" s="24">
        <f t="shared" si="3"/>
        <v>14.702882309697685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3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29.343599999999988</v>
      </c>
      <c r="D36" s="12">
        <f t="shared" si="32"/>
        <v>9.1252947188023139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296.95287151356166</v>
      </c>
      <c r="H36" s="70">
        <f t="shared" si="1"/>
        <v>323.66665830191403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13.5</v>
      </c>
      <c r="N36" s="14">
        <f>IF('Données projet'!$A$36&gt;35,N35+M36-V35,IF(A36&lt;'Données projet'!$A$36,$K$205^A36,IF(A36='Données projet'!$A$36,'Données projet'!$B$36,N35+M36-V35)))</f>
        <v>277.5</v>
      </c>
      <c r="O36" s="14">
        <f>N36*VLOOKUP('Données projet'!$B$9,Paramètres!$A$1:$I$89,3,0)*VLOOKUP('Données projet'!$B$9,Paramètres!$A$1:$I$89,5,0)</f>
        <v>165.94500000000002</v>
      </c>
      <c r="P36" s="14">
        <f t="shared" si="33"/>
        <v>42.180566362892314</v>
      </c>
      <c r="Q36" s="22">
        <f t="shared" si="53"/>
        <v>362.48536141537079</v>
      </c>
      <c r="R36" s="62">
        <f t="shared" si="0"/>
        <v>655.81869474870405</v>
      </c>
      <c r="S36" s="62">
        <f ca="1">AVERAGE(OFFSET($R$3,0,0,'Données projet'!$E$9+1,1))-AVERAGE(OFFSET($H$3,0,0,'Données projet'!$E$9+1,1))</f>
        <v>168.3568384507675</v>
      </c>
      <c r="T36" s="62">
        <f t="shared" si="34"/>
        <v>286.34130084594312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9.8274247373619783</v>
      </c>
      <c r="AA36" s="23">
        <f>EXP(-LN(2)/25)*AA35+(1-EXP(-LN(2)/25))/(LN(2)/25)*Calculateur!V36*Calculateur!X36*VLOOKUP('Données projet'!$B$9,Paramètres!$A$1:$I$89,3,0)*0.475*44/12</f>
        <v>3.0762586857377046</v>
      </c>
      <c r="AB36" s="23">
        <f>EXP(-LN(2)/2)*AB35+(1-EXP(-LN(2)/2))/(LN(2)/2)*V36*Y36*VLOOKUP('Données projet'!$B$9,Paramètres!$A$1:$I$89,3,0)*0.475*44/12</f>
        <v>1.072079360772684</v>
      </c>
      <c r="AC36" s="24">
        <f t="shared" si="3"/>
        <v>13.975762783872366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3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30.232799999999987</v>
      </c>
      <c r="D37" s="12">
        <f t="shared" si="32"/>
        <v>9.3692052598737909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305.69968972534144</v>
      </c>
      <c r="H37" s="70">
        <f t="shared" si="1"/>
        <v>325.64015916094684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>
        <f>VLOOKUP(A37,'Données projet'!$A$35:$I$55,2,0)</f>
        <v>291</v>
      </c>
      <c r="L37" s="13">
        <f>VLOOKUP(A37,'Données projet'!$A$35:$I$55,9,0)</f>
        <v>13.5</v>
      </c>
      <c r="M37" s="13">
        <f t="array" ref="M37">INDEX(L:L,MIN(IF(ISNUMBER(L37:L233),ROW(L37:L233),"")))</f>
        <v>13.5</v>
      </c>
      <c r="N37" s="14">
        <f>IF('Données projet'!$A$36&gt;35,N36+M37-V36,IF(A37&lt;'Données projet'!$A$36,$K$205^A37,IF(A37='Données projet'!$A$36,'Données projet'!$B$36,N36+M37-V36)))</f>
        <v>291</v>
      </c>
      <c r="O37" s="14">
        <f>N37*VLOOKUP('Données projet'!$B$9,Paramètres!$A$1:$I$89,3,0)*VLOOKUP('Données projet'!$B$9,Paramètres!$A$1:$I$89,5,0)</f>
        <v>174.01800000000003</v>
      </c>
      <c r="P37" s="14">
        <f t="shared" si="33"/>
        <v>43.988694800618951</v>
      </c>
      <c r="Q37" s="22">
        <f t="shared" si="53"/>
        <v>379.69499344441141</v>
      </c>
      <c r="R37" s="62">
        <f t="shared" si="0"/>
        <v>673.02832677774472</v>
      </c>
      <c r="S37" s="62">
        <f ca="1">AVERAGE(OFFSET($R$3,0,0,'Données projet'!$E$9+1,1))-AVERAGE(OFFSET($H$3,0,0,'Données projet'!$E$9+1,1))</f>
        <v>168.3568384507675</v>
      </c>
      <c r="T37" s="62">
        <f t="shared" si="34"/>
        <v>286.34130084594312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9.6347149323995271</v>
      </c>
      <c r="AA37" s="23">
        <f>EXP(-LN(2)/25)*AA36+(1-EXP(-LN(2)/25))/(LN(2)/25)*Calculateur!V37*Calculateur!X37*VLOOKUP('Données projet'!$B$9,Paramètres!$A$1:$I$89,3,0)*0.475*44/12</f>
        <v>2.9921382302027935</v>
      </c>
      <c r="AB37" s="23">
        <f>EXP(-LN(2)/2)*AB36+(1-EXP(-LN(2)/2))/(LN(2)/2)*V37*Y37*VLOOKUP('Données projet'!$B$9,Paramètres!$A$1:$I$89,3,0)*0.475*44/12</f>
        <v>0.75807458597250399</v>
      </c>
      <c r="AC37" s="24">
        <f t="shared" si="3"/>
        <v>13.384927748574825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3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31.121999999999986</v>
      </c>
      <c r="D38" s="12">
        <f t="shared" si="32"/>
        <v>9.612282066778798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314.44007209443271</v>
      </c>
      <c r="H38" s="70">
        <f t="shared" si="1"/>
        <v>327.61220793297304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303</v>
      </c>
      <c r="L38" s="13">
        <f>VLOOKUP(A38,'Données projet'!$A$35:$I$55,9,0)</f>
        <v>12</v>
      </c>
      <c r="M38" s="13">
        <f t="array" ref="M38">INDEX(L:L,MIN(IF(ISNUMBER(L38:L234),ROW(L38:L234),"")))</f>
        <v>12</v>
      </c>
      <c r="N38" s="14">
        <f>IF('Données projet'!$A$36&gt;35,N37+M38-V37,IF(A38&lt;'Données projet'!$A$36,$K$205^A38,IF(A38='Données projet'!$A$36,'Données projet'!$B$36,N37+M38-V37)))</f>
        <v>303</v>
      </c>
      <c r="O38" s="14">
        <f>N38*VLOOKUP('Données projet'!$B$9,Paramètres!$A$1:$I$89,3,0)*VLOOKUP('Données projet'!$B$9,Paramètres!$A$1:$I$89,5,0)</f>
        <v>181.19399999999999</v>
      </c>
      <c r="P38" s="14">
        <f t="shared" si="33"/>
        <v>45.587726866550426</v>
      </c>
      <c r="Q38" s="22">
        <f t="shared" si="53"/>
        <v>394.97817429257526</v>
      </c>
      <c r="R38" s="62">
        <f t="shared" si="0"/>
        <v>688.31150762590858</v>
      </c>
      <c r="S38" s="62">
        <f ca="1">AVERAGE(OFFSET($R$3,0,0,'Données projet'!$E$9+1,1))-AVERAGE(OFFSET($H$3,0,0,'Données projet'!$E$9+1,1))</f>
        <v>168.3568384507675</v>
      </c>
      <c r="T38" s="62">
        <f t="shared" si="34"/>
        <v>286.34130084594312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9.4457840491710154</v>
      </c>
      <c r="AA38" s="23">
        <f>EXP(-LN(2)/25)*AA37+(1-EXP(-LN(2)/25))/(LN(2)/25)*Calculateur!V38*Calculateur!X38*VLOOKUP('Données projet'!$B$9,Paramètres!$A$1:$I$89,3,0)*0.475*44/12</f>
        <v>2.9103180529481874</v>
      </c>
      <c r="AB38" s="23">
        <f>EXP(-LN(2)/2)*AB37+(1-EXP(-LN(2)/2))/(LN(2)/2)*V38*Y38*VLOOKUP('Données projet'!$B$9,Paramètres!$A$1:$I$89,3,0)*0.475*44/12</f>
        <v>0.53603968038634198</v>
      </c>
      <c r="AC38" s="24">
        <f t="shared" si="3"/>
        <v>12.892141782505544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3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32.011199999999988</v>
      </c>
      <c r="D39" s="12">
        <f t="shared" si="32"/>
        <v>9.8545516964045738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323.17422362136853</v>
      </c>
      <c r="H39" s="70">
        <f t="shared" si="1"/>
        <v>329.58285087123795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12</v>
      </c>
      <c r="N39" s="14">
        <f>IF('Données projet'!$A$36&gt;35,N38+M39-V38,IF(A39&lt;'Données projet'!$A$36,$K$205^A39,IF(A39='Données projet'!$A$36,'Données projet'!$B$36,N38+M39-V38)))</f>
        <v>315</v>
      </c>
      <c r="O39" s="14">
        <f>N39*VLOOKUP('Données projet'!$B$9,Paramètres!$A$1:$I$89,3,0)*VLOOKUP('Données projet'!$B$9,Paramètres!$A$1:$I$89,5,0)</f>
        <v>188.37</v>
      </c>
      <c r="P39" s="14">
        <f t="shared" si="33"/>
        <v>47.179402486491298</v>
      </c>
      <c r="Q39" s="22">
        <f t="shared" si="53"/>
        <v>410.24854266397239</v>
      </c>
      <c r="R39" s="62">
        <f t="shared" si="0"/>
        <v>703.5818759973057</v>
      </c>
      <c r="S39" s="62">
        <f ca="1">AVERAGE(OFFSET($R$3,0,0,'Données projet'!$E$9+1,1))-AVERAGE(OFFSET($H$3,0,0,'Données projet'!$E$9+1,1))</f>
        <v>168.3568384507675</v>
      </c>
      <c r="T39" s="62">
        <f t="shared" si="34"/>
        <v>286.34130084594312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9.2605579853261553</v>
      </c>
      <c r="AA39" s="23">
        <f>EXP(-LN(2)/25)*AA38+(1-EXP(-LN(2)/25))/(LN(2)/25)*Calculateur!V39*Calculateur!X39*VLOOKUP('Données projet'!$B$9,Paramètres!$A$1:$I$89,3,0)*0.475*44/12</f>
        <v>2.8307352527433443</v>
      </c>
      <c r="AB39" s="23">
        <f>EXP(-LN(2)/2)*AB38+(1-EXP(-LN(2)/2))/(LN(2)/2)*V39*Y39*VLOOKUP('Données projet'!$B$9,Paramètres!$A$1:$I$89,3,0)*0.475*44/12</f>
        <v>0.37903729298625199</v>
      </c>
      <c r="AC39" s="24">
        <f t="shared" si="3"/>
        <v>12.470330531055753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3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32.900399999999991</v>
      </c>
      <c r="D40" s="12">
        <f t="shared" si="32"/>
        <v>10.096039146303498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331.90233726971115</v>
      </c>
      <c r="H40" s="70">
        <f t="shared" si="1"/>
        <v>331.55213151314524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>
        <f>VLOOKUP(A40,'Données projet'!$A$35:$I$55,2,0)</f>
        <v>327</v>
      </c>
      <c r="L40" s="13">
        <f>VLOOKUP(A40,'Données projet'!$A$35:$I$55,9,0)</f>
        <v>12</v>
      </c>
      <c r="M40" s="13">
        <f t="array" ref="M40">INDEX(L:L,MIN(IF(ISNUMBER(L40:L236),ROW(L40:L236),"")))</f>
        <v>12</v>
      </c>
      <c r="N40" s="14">
        <f>IF('Données projet'!$A$36&gt;35,N39+M40-V39,IF(A40&lt;'Données projet'!$A$36,$K$205^A40,IF(A40='Données projet'!$A$36,'Données projet'!$B$36,N39+M40-V39)))</f>
        <v>327</v>
      </c>
      <c r="O40" s="14">
        <f>N40*VLOOKUP('Données projet'!$B$9,Paramètres!$A$1:$I$89,3,0)*VLOOKUP('Données projet'!$B$9,Paramètres!$A$1:$I$89,5,0)</f>
        <v>195.54600000000002</v>
      </c>
      <c r="P40" s="14">
        <f t="shared" si="33"/>
        <v>48.764033987743304</v>
      </c>
      <c r="Q40" s="22">
        <f t="shared" si="53"/>
        <v>425.50664252865295</v>
      </c>
      <c r="R40" s="62">
        <f t="shared" si="0"/>
        <v>718.8399758619862</v>
      </c>
      <c r="S40" s="62">
        <f ca="1">AVERAGE(OFFSET($R$3,0,0,'Données projet'!$E$9+1,1))-AVERAGE(OFFSET($H$3,0,0,'Données projet'!$E$9+1,1))</f>
        <v>168.3568384507675</v>
      </c>
      <c r="T40" s="62">
        <f t="shared" si="34"/>
        <v>286.34130084594312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9.0789640916165482</v>
      </c>
      <c r="AA40" s="23">
        <f>EXP(-LN(2)/25)*AA39+(1-EXP(-LN(2)/25))/(LN(2)/25)*Calculateur!V40*Calculateur!X40*VLOOKUP('Données projet'!$B$9,Paramètres!$A$1:$I$89,3,0)*0.475*44/12</f>
        <v>2.7533286483951804</v>
      </c>
      <c r="AB40" s="23">
        <f>EXP(-LN(2)/2)*AB39+(1-EXP(-LN(2)/2))/(LN(2)/2)*V40*Y40*VLOOKUP('Données projet'!$B$9,Paramètres!$A$1:$I$89,3,0)*0.475*44/12</f>
        <v>0.26801984019317099</v>
      </c>
      <c r="AC40" s="24">
        <f t="shared" si="3"/>
        <v>12.1003125802049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3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33.789599999999993</v>
      </c>
      <c r="D41" s="12">
        <f t="shared" si="32"/>
        <v>10.336767985889495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340.62459497879604</v>
      </c>
      <c r="H41" s="70">
        <f t="shared" si="1"/>
        <v>333.52009090875754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>
        <f>VLOOKUP(A41,'Données projet'!$A$35:$I$55,2,0)</f>
        <v>338</v>
      </c>
      <c r="L41" s="13">
        <f>VLOOKUP(A41,'Données projet'!$A$35:$I$55,9,0)</f>
        <v>11</v>
      </c>
      <c r="M41" s="13">
        <f t="array" ref="M41">INDEX(L:L,MIN(IF(ISNUMBER(L41:L237),ROW(L41:L237),"")))</f>
        <v>11</v>
      </c>
      <c r="N41" s="14">
        <f>IF('Données projet'!$A$36&gt;35,N40+M41-V40,IF(A41&lt;'Données projet'!$A$36,$K$205^A41,IF(A41='Données projet'!$A$36,'Données projet'!$B$36,N40+M41-V40)))</f>
        <v>338</v>
      </c>
      <c r="O41" s="14">
        <f>N41*VLOOKUP('Données projet'!$B$9,Paramètres!$A$1:$I$89,3,0)*VLOOKUP('Données projet'!$B$9,Paramètres!$A$1:$I$89,5,0)</f>
        <v>202.12400000000002</v>
      </c>
      <c r="P41" s="14">
        <f t="shared" si="33"/>
        <v>50.210671256169846</v>
      </c>
      <c r="Q41" s="22">
        <f t="shared" si="53"/>
        <v>439.48288577116256</v>
      </c>
      <c r="R41" s="62">
        <f t="shared" si="0"/>
        <v>732.81621910449587</v>
      </c>
      <c r="S41" s="62">
        <f ca="1">AVERAGE(OFFSET($R$3,0,0,'Données projet'!$E$9+1,1))-AVERAGE(OFFSET($H$3,0,0,'Données projet'!$E$9+1,1))</f>
        <v>168.3568384507675</v>
      </c>
      <c r="T41" s="62">
        <f t="shared" si="34"/>
        <v>286.34130084594312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338</v>
      </c>
      <c r="W41" s="17">
        <f>IF(ISNA(VLOOKUP(A41,'Données projet'!$A$35:$I$55,5,0)),0%,VLOOKUP(A41,'Données projet'!$A$35:$I$55,5,0)*VLOOKUP('Données projet'!$B$9,Paramètres!$A$1:$I$89,7,0))</f>
        <v>0.315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0.3</v>
      </c>
      <c r="Z41" s="23">
        <f>EXP(-LN(2)/35)*Z40+(1-EXP(-LN(2)/35))/(LN(2)/35)*V41*W41*VLOOKUP('Données projet'!$B$9,Paramètres!$A$1:$I$89,3,0)*0.475*44/12</f>
        <v>93.362043050648666</v>
      </c>
      <c r="AA41" s="23">
        <f>EXP(-LN(2)/25)*AA40+(1-EXP(-LN(2)/25))/(LN(2)/25)*Calculateur!V41*Calculateur!X41*VLOOKUP('Données projet'!$B$9,Paramètres!$A$1:$I$89,3,0)*0.475*44/12</f>
        <v>2.6780387317135532</v>
      </c>
      <c r="AB41" s="23">
        <f>EXP(-LN(2)/2)*AB40+(1-EXP(-LN(2)/2))/(LN(2)/2)*V41*Y41*VLOOKUP('Données projet'!$B$9,Paramètres!$A$1:$I$89,3,0)*0.475*44/12</f>
        <v>68.844914918064944</v>
      </c>
      <c r="AC41" s="24">
        <f t="shared" si="3"/>
        <v>164.88499670042717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3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34.678799999999995</v>
      </c>
      <c r="D42" s="12">
        <f t="shared" si="32"/>
        <v>10.576760473435781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349.34116856687268</v>
      </c>
      <c r="H42" s="70">
        <f t="shared" si="1"/>
        <v>335.48676782456732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0</v>
      </c>
      <c r="O42" s="14">
        <f>N42*VLOOKUP('Données projet'!$B$9,Paramètres!$A$1:$I$89,3,0)*VLOOKUP('Données projet'!$B$9,Paramètres!$A$1:$I$89,5,0)</f>
        <v>0</v>
      </c>
      <c r="P42" s="14" t="e">
        <f t="shared" si="33"/>
        <v>#NUM!</v>
      </c>
      <c r="Q42" s="22" t="e">
        <f t="shared" si="53"/>
        <v>#NUM!</v>
      </c>
      <c r="R42" s="62" t="e">
        <f t="shared" si="0"/>
        <v>#NUM!</v>
      </c>
      <c r="S42" s="62">
        <f ca="1">AVERAGE(OFFSET($R$3,0,0,'Données projet'!$E$9+1,1))-AVERAGE(OFFSET($H$3,0,0,'Données projet'!$E$9+1,1))</f>
        <v>168.3568384507675</v>
      </c>
      <c r="T42" s="62">
        <f t="shared" si="34"/>
        <v>286.34130084594312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91.531270331648827</v>
      </c>
      <c r="AA42" s="23">
        <f>EXP(-LN(2)/25)*AA41+(1-EXP(-LN(2)/25))/(LN(2)/25)*Calculateur!V42*Calculateur!X42*VLOOKUP('Données projet'!$B$9,Paramètres!$A$1:$I$89,3,0)*0.475*44/12</f>
        <v>2.6048076217629101</v>
      </c>
      <c r="AB42" s="23">
        <f>EXP(-LN(2)/2)*AB41+(1-EXP(-LN(2)/2))/(LN(2)/2)*V42*Y42*VLOOKUP('Données projet'!$B$9,Paramètres!$A$1:$I$89,3,0)*0.475*44/12</f>
        <v>48.680706188774636</v>
      </c>
      <c r="AC42" s="24">
        <f t="shared" si="3"/>
        <v>142.81678414218638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3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35.567999999999998</v>
      </c>
      <c r="D43" s="12">
        <f t="shared" si="32"/>
        <v>10.816037660735208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358.0522205390086</v>
      </c>
      <c r="H43" s="70">
        <f t="shared" si="1"/>
        <v>337.45219892578052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0</v>
      </c>
      <c r="O43" s="14">
        <f>N43*VLOOKUP('Données projet'!$B$9,Paramètres!$A$1:$I$89,3,0)*VLOOKUP('Données projet'!$B$9,Paramètres!$A$1:$I$89,5,0)</f>
        <v>0</v>
      </c>
      <c r="P43" s="14" t="e">
        <f t="shared" si="33"/>
        <v>#NUM!</v>
      </c>
      <c r="Q43" s="22" t="e">
        <f t="shared" si="53"/>
        <v>#NUM!</v>
      </c>
      <c r="R43" s="62" t="e">
        <f t="shared" si="0"/>
        <v>#NUM!</v>
      </c>
      <c r="S43" s="62">
        <f ca="1">AVERAGE(OFFSET($R$3,0,0,'Données projet'!$E$9+1,1))-AVERAGE(OFFSET($H$3,0,0,'Données projet'!$E$9+1,1))</f>
        <v>168.3568384507675</v>
      </c>
      <c r="T43" s="62">
        <f t="shared" si="34"/>
        <v>286.34130084594312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89.736397949007483</v>
      </c>
      <c r="AA43" s="23">
        <f>EXP(-LN(2)/25)*AA42+(1-EXP(-LN(2)/25))/(LN(2)/25)*Calculateur!V43*Calculateur!X43*VLOOKUP('Données projet'!$B$9,Paramètres!$A$1:$I$89,3,0)*0.475*44/12</f>
        <v>2.533579020364924</v>
      </c>
      <c r="AB43" s="23">
        <f>EXP(-LN(2)/2)*AB42+(1-EXP(-LN(2)/2))/(LN(2)/2)*V43*Y43*VLOOKUP('Données projet'!$B$9,Paramètres!$A$1:$I$89,3,0)*0.475*44/12</f>
        <v>34.422457459032479</v>
      </c>
      <c r="AC43" s="24">
        <f t="shared" si="3"/>
        <v>126.69243442840488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3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36.4572</v>
      </c>
      <c r="D44" s="12">
        <f t="shared" si="32"/>
        <v>11.054619486999963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366.75790481192956</v>
      </c>
      <c r="H44" s="70">
        <f t="shared" si="1"/>
        <v>339.41641893985832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0</v>
      </c>
      <c r="O44" s="14">
        <f>N44*VLOOKUP('Données projet'!$B$9,Paramètres!$A$1:$I$89,3,0)*VLOOKUP('Données projet'!$B$9,Paramètres!$A$1:$I$89,5,0)</f>
        <v>0</v>
      </c>
      <c r="P44" s="14" t="e">
        <f t="shared" si="33"/>
        <v>#NUM!</v>
      </c>
      <c r="Q44" s="22" t="e">
        <f t="shared" si="53"/>
        <v>#NUM!</v>
      </c>
      <c r="R44" s="62" t="e">
        <f t="shared" si="0"/>
        <v>#NUM!</v>
      </c>
      <c r="S44" s="62">
        <f ca="1">AVERAGE(OFFSET($R$3,0,0,'Données projet'!$E$9+1,1))-AVERAGE(OFFSET($H$3,0,0,'Données projet'!$E$9+1,1))</f>
        <v>168.3568384507675</v>
      </c>
      <c r="T44" s="62">
        <f t="shared" si="34"/>
        <v>286.34130084594312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87.976721919025678</v>
      </c>
      <c r="AA44" s="23">
        <f>EXP(-LN(2)/25)*AA43+(1-EXP(-LN(2)/25))/(LN(2)/25)*Calculateur!V44*Calculateur!X44*VLOOKUP('Données projet'!$B$9,Paramètres!$A$1:$I$89,3,0)*0.475*44/12</f>
        <v>2.4642981688179151</v>
      </c>
      <c r="AB44" s="23">
        <f>EXP(-LN(2)/2)*AB43+(1-EXP(-LN(2)/2))/(LN(2)/2)*V44*Y44*VLOOKUP('Données projet'!$B$9,Paramètres!$A$1:$I$89,3,0)*0.475*44/12</f>
        <v>24.340353094387321</v>
      </c>
      <c r="AC44" s="24">
        <f t="shared" si="3"/>
        <v>114.78137318223092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3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37.346400000000003</v>
      </c>
      <c r="D45" s="12">
        <f t="shared" si="32"/>
        <v>11.292524863342397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375.45836736615183</v>
      </c>
      <c r="H45" s="70">
        <f t="shared" si="1"/>
        <v>341.37946080365469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0</v>
      </c>
      <c r="O45" s="14">
        <f>N45*VLOOKUP('Données projet'!$B$9,Paramètres!$A$1:$I$89,3,0)*VLOOKUP('Données projet'!$B$9,Paramètres!$A$1:$I$89,5,0)</f>
        <v>0</v>
      </c>
      <c r="P45" s="14" t="e">
        <f t="shared" si="33"/>
        <v>#NUM!</v>
      </c>
      <c r="Q45" s="22" t="e">
        <f t="shared" si="53"/>
        <v>#NUM!</v>
      </c>
      <c r="R45" s="62" t="e">
        <f t="shared" si="0"/>
        <v>#NUM!</v>
      </c>
      <c r="S45" s="62">
        <f ca="1">AVERAGE(OFFSET($R$3,0,0,'Données projet'!$E$9+1,1))-AVERAGE(OFFSET($H$3,0,0,'Données projet'!$E$9+1,1))</f>
        <v>168.3568384507675</v>
      </c>
      <c r="T45" s="62">
        <f t="shared" si="34"/>
        <v>286.34130084594312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86.251552062695424</v>
      </c>
      <c r="AA45" s="23">
        <f>EXP(-LN(2)/25)*AA44+(1-EXP(-LN(2)/25))/(LN(2)/25)*Calculateur!V45*Calculateur!X45*VLOOKUP('Données projet'!$B$9,Paramètres!$A$1:$I$89,3,0)*0.475*44/12</f>
        <v>2.3969118057997809</v>
      </c>
      <c r="AB45" s="23">
        <f>EXP(-LN(2)/2)*AB44+(1-EXP(-LN(2)/2))/(LN(2)/2)*V45*Y45*VLOOKUP('Données projet'!$B$9,Paramètres!$A$1:$I$89,3,0)*0.475*44/12</f>
        <v>17.211228729516243</v>
      </c>
      <c r="AC45" s="24">
        <f t="shared" si="3"/>
        <v>105.85969259801143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3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38.235600000000005</v>
      </c>
      <c r="D46" s="12">
        <f t="shared" si="32"/>
        <v>11.529771748983352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384.15374683425745</v>
      </c>
      <c r="H46" s="70">
        <f t="shared" si="1"/>
        <v>343.34135579614605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0</v>
      </c>
      <c r="O46" s="14">
        <f>N46*VLOOKUP('Données projet'!$B$9,Paramètres!$A$1:$I$89,3,0)*VLOOKUP('Données projet'!$B$9,Paramètres!$A$1:$I$89,5,0)</f>
        <v>0</v>
      </c>
      <c r="P46" s="14" t="e">
        <f t="shared" si="33"/>
        <v>#NUM!</v>
      </c>
      <c r="Q46" s="22" t="e">
        <f t="shared" si="53"/>
        <v>#NUM!</v>
      </c>
      <c r="R46" s="62" t="e">
        <f t="shared" si="0"/>
        <v>#NUM!</v>
      </c>
      <c r="S46" s="62">
        <f ca="1">AVERAGE(OFFSET($R$3,0,0,'Données projet'!$E$9+1,1))-AVERAGE(OFFSET($H$3,0,0,'Données projet'!$E$9+1,1))</f>
        <v>168.3568384507675</v>
      </c>
      <c r="T46" s="62">
        <f t="shared" si="34"/>
        <v>286.34130084594312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84.560211734998092</v>
      </c>
      <c r="AA46" s="23">
        <f>EXP(-LN(2)/25)*AA45+(1-EXP(-LN(2)/25))/(LN(2)/25)*Calculateur!V46*Calculateur!X46*VLOOKUP('Données projet'!$B$9,Paramètres!$A$1:$I$89,3,0)*0.475*44/12</f>
        <v>2.3313681264220723</v>
      </c>
      <c r="AB46" s="23">
        <f>EXP(-LN(2)/2)*AB45+(1-EXP(-LN(2)/2))/(LN(2)/2)*V46*Y46*VLOOKUP('Données projet'!$B$9,Paramètres!$A$1:$I$89,3,0)*0.475*44/12</f>
        <v>12.170176547193662</v>
      </c>
      <c r="AC46" s="24">
        <f t="shared" si="3"/>
        <v>99.061756408613832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3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39.124800000000008</v>
      </c>
      <c r="D47" s="12">
        <f t="shared" si="32"/>
        <v>11.766377220171686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392.84417503290433</v>
      </c>
      <c r="H47" s="70">
        <f t="shared" si="1"/>
        <v>345.30213365846572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0</v>
      </c>
      <c r="O47" s="14">
        <f>N47*VLOOKUP('Données projet'!$B$9,Paramètres!$A$1:$I$89,3,0)*VLOOKUP('Données projet'!$B$9,Paramètres!$A$1:$I$89,5,0)</f>
        <v>0</v>
      </c>
      <c r="P47" s="14" t="e">
        <f t="shared" si="33"/>
        <v>#NUM!</v>
      </c>
      <c r="Q47" s="22" t="e">
        <f t="shared" si="53"/>
        <v>#NUM!</v>
      </c>
      <c r="R47" s="62" t="e">
        <f t="shared" si="0"/>
        <v>#NUM!</v>
      </c>
      <c r="S47" s="62">
        <f ca="1">AVERAGE(OFFSET($R$3,0,0,'Données projet'!$E$9+1,1))-AVERAGE(OFFSET($H$3,0,0,'Données projet'!$E$9+1,1))</f>
        <v>168.3568384507675</v>
      </c>
      <c r="T47" s="62">
        <f t="shared" si="34"/>
        <v>286.34130084594312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82.902037559511172</v>
      </c>
      <c r="AA47" s="23">
        <f>EXP(-LN(2)/25)*AA46+(1-EXP(-LN(2)/25))/(LN(2)/25)*Calculateur!V47*Calculateur!X47*VLOOKUP('Données projet'!$B$9,Paramètres!$A$1:$I$89,3,0)*0.475*44/12</f>
        <v>2.2676167424037392</v>
      </c>
      <c r="AB47" s="23">
        <f>EXP(-LN(2)/2)*AB46+(1-EXP(-LN(2)/2))/(LN(2)/2)*V47*Y47*VLOOKUP('Données projet'!$B$9,Paramètres!$A$1:$I$89,3,0)*0.475*44/12</f>
        <v>8.6056143647581216</v>
      </c>
      <c r="AC47" s="24">
        <f t="shared" si="3"/>
        <v>93.775268666673043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3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40.01400000000001</v>
      </c>
      <c r="D48" s="12">
        <f t="shared" si="32"/>
        <v>12.002357532661732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401.52977744510821</v>
      </c>
      <c r="H48" s="70">
        <f t="shared" si="1"/>
        <v>347.2618227027192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0</v>
      </c>
      <c r="O48" s="14">
        <f>N48*VLOOKUP('Données projet'!$B$9,Paramètres!$A$1:$I$89,3,0)*VLOOKUP('Données projet'!$B$9,Paramètres!$A$1:$I$89,5,0)</f>
        <v>0</v>
      </c>
      <c r="P48" s="14" t="e">
        <f t="shared" si="33"/>
        <v>#NUM!</v>
      </c>
      <c r="Q48" s="22" t="e">
        <f t="shared" si="53"/>
        <v>#NUM!</v>
      </c>
      <c r="R48" s="62" t="e">
        <f t="shared" si="0"/>
        <v>#NUM!</v>
      </c>
      <c r="S48" s="62">
        <f ca="1">AVERAGE(OFFSET($R$3,0,0,'Données projet'!$E$9+1,1))-AVERAGE(OFFSET($H$3,0,0,'Données projet'!$E$9+1,1))</f>
        <v>168.3568384507675</v>
      </c>
      <c r="T48" s="62">
        <f t="shared" si="34"/>
        <v>286.34130084594312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81.276379168219165</v>
      </c>
      <c r="AA48" s="23">
        <f>EXP(-LN(2)/25)*AA47+(1-EXP(-LN(2)/25))/(LN(2)/25)*Calculateur!V48*Calculateur!X48*VLOOKUP('Données projet'!$B$9,Paramètres!$A$1:$I$89,3,0)*0.475*44/12</f>
        <v>2.2056086433339273</v>
      </c>
      <c r="AB48" s="23">
        <f>EXP(-LN(2)/2)*AB47+(1-EXP(-LN(2)/2))/(LN(2)/2)*V48*Y48*VLOOKUP('Données projet'!$B$9,Paramètres!$A$1:$I$89,3,0)*0.475*44/12</f>
        <v>6.0850882735968312</v>
      </c>
      <c r="AC48" s="24">
        <f t="shared" si="3"/>
        <v>89.567076085149921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3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40.903200000000012</v>
      </c>
      <c r="D49" s="12">
        <f t="shared" si="32"/>
        <v>12.237728178480605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410.21067365844692</v>
      </c>
      <c r="H49" s="70">
        <f t="shared" si="1"/>
        <v>349.22044991085374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0</v>
      </c>
      <c r="O49" s="14">
        <f>N49*VLOOKUP('Données projet'!$B$9,Paramètres!$A$1:$I$89,3,0)*VLOOKUP('Données projet'!$B$9,Paramètres!$A$1:$I$89,5,0)</f>
        <v>0</v>
      </c>
      <c r="P49" s="14" t="e">
        <f t="shared" si="33"/>
        <v>#NUM!</v>
      </c>
      <c r="Q49" s="22" t="e">
        <f t="shared" si="53"/>
        <v>#NUM!</v>
      </c>
      <c r="R49" s="62" t="e">
        <f t="shared" si="0"/>
        <v>#NUM!</v>
      </c>
      <c r="S49" s="62">
        <f ca="1">AVERAGE(OFFSET($R$3,0,0,'Données projet'!$E$9+1,1))-AVERAGE(OFFSET($H$3,0,0,'Données projet'!$E$9+1,1))</f>
        <v>168.3568384507675</v>
      </c>
      <c r="T49" s="62">
        <f t="shared" si="34"/>
        <v>286.34130084594312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79.68259894642668</v>
      </c>
      <c r="AA49" s="23">
        <f>EXP(-LN(2)/25)*AA48+(1-EXP(-LN(2)/25))/(LN(2)/25)*Calculateur!V49*Calculateur!X49*VLOOKUP('Données projet'!$B$9,Paramètres!$A$1:$I$89,3,0)*0.475*44/12</f>
        <v>2.1452961589940434</v>
      </c>
      <c r="AB49" s="23">
        <f>EXP(-LN(2)/2)*AB48+(1-EXP(-LN(2)/2))/(LN(2)/2)*V49*Y49*VLOOKUP('Données projet'!$B$9,Paramètres!$A$1:$I$89,3,0)*0.475*44/12</f>
        <v>4.3028071823790608</v>
      </c>
      <c r="AC49" s="24">
        <f t="shared" si="3"/>
        <v>86.130702287799778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3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41.792400000000015</v>
      </c>
      <c r="D50" s="12">
        <f t="shared" si="32"/>
        <v>12.472503937619972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418.88697776408418</v>
      </c>
      <c r="H50" s="70">
        <f t="shared" si="1"/>
        <v>351.17804102468818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0</v>
      </c>
      <c r="O50" s="14">
        <f>N50*VLOOKUP('Données projet'!$B$9,Paramètres!$A$1:$I$89,3,0)*VLOOKUP('Données projet'!$B$9,Paramètres!$A$1:$I$89,5,0)</f>
        <v>0</v>
      </c>
      <c r="P50" s="14" t="e">
        <f t="shared" si="33"/>
        <v>#NUM!</v>
      </c>
      <c r="Q50" s="22" t="e">
        <f t="shared" si="53"/>
        <v>#NUM!</v>
      </c>
      <c r="R50" s="62" t="e">
        <f t="shared" si="0"/>
        <v>#NUM!</v>
      </c>
      <c r="S50" s="62">
        <f ca="1">AVERAGE(OFFSET($R$3,0,0,'Données projet'!$E$9+1,1))-AVERAGE(OFFSET($H$3,0,0,'Données projet'!$E$9+1,1))</f>
        <v>168.3568384507675</v>
      </c>
      <c r="T50" s="62">
        <f t="shared" si="34"/>
        <v>286.34130084594312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78.120071782673605</v>
      </c>
      <c r="AA50" s="23">
        <f>EXP(-LN(2)/25)*AA49+(1-EXP(-LN(2)/25))/(LN(2)/25)*Calculateur!V50*Calculateur!X50*VLOOKUP('Données projet'!$B$9,Paramètres!$A$1:$I$89,3,0)*0.475*44/12</f>
        <v>2.0866329227101295</v>
      </c>
      <c r="AB50" s="23">
        <f>EXP(-LN(2)/2)*AB49+(1-EXP(-LN(2)/2))/(LN(2)/2)*V50*Y50*VLOOKUP('Données projet'!$B$9,Paramètres!$A$1:$I$89,3,0)*0.475*44/12</f>
        <v>3.0425441367984156</v>
      </c>
      <c r="AC50" s="24">
        <f t="shared" si="3"/>
        <v>83.249248842182141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3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42.681600000000017</v>
      </c>
      <c r="D51" s="12">
        <f t="shared" si="32"/>
        <v>12.706698925204435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427.55879872087644</v>
      </c>
      <c r="H51" s="70">
        <f t="shared" si="1"/>
        <v>353.13462062806445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0</v>
      </c>
      <c r="O51" s="14">
        <f>N51*VLOOKUP('Données projet'!$B$9,Paramètres!$A$1:$I$89,3,0)*VLOOKUP('Données projet'!$B$9,Paramètres!$A$1:$I$89,5,0)</f>
        <v>0</v>
      </c>
      <c r="P51" s="14" t="e">
        <f t="shared" si="33"/>
        <v>#NUM!</v>
      </c>
      <c r="Q51" s="22" t="e">
        <f t="shared" si="53"/>
        <v>#NUM!</v>
      </c>
      <c r="R51" s="62" t="e">
        <f t="shared" si="0"/>
        <v>#NUM!</v>
      </c>
      <c r="S51" s="62">
        <f ca="1">AVERAGE(OFFSET($R$3,0,0,'Données projet'!$E$9+1,1))-AVERAGE(OFFSET($H$3,0,0,'Données projet'!$E$9+1,1))</f>
        <v>168.3568384507675</v>
      </c>
      <c r="T51" s="62">
        <f t="shared" si="34"/>
        <v>286.34130084594312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76.588184823554258</v>
      </c>
      <c r="AA51" s="23">
        <f>EXP(-LN(2)/25)*AA50+(1-EXP(-LN(2)/25))/(LN(2)/25)*Calculateur!V51*Calculateur!X51*VLOOKUP('Données projet'!$B$9,Paramètres!$A$1:$I$89,3,0)*0.475*44/12</f>
        <v>2.0295738357073647</v>
      </c>
      <c r="AB51" s="23">
        <f>EXP(-LN(2)/2)*AB50+(1-EXP(-LN(2)/2))/(LN(2)/2)*V51*Y51*VLOOKUP('Données projet'!$B$9,Paramètres!$A$1:$I$89,3,0)*0.475*44/12</f>
        <v>2.1514035911895304</v>
      </c>
      <c r="AC51" s="24">
        <f t="shared" si="3"/>
        <v>80.76916225045116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3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43.57080000000002</v>
      </c>
      <c r="D52" s="12">
        <f t="shared" si="32"/>
        <v>12.940326634618209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436.22624068828105</v>
      </c>
      <c r="H52" s="70">
        <f t="shared" si="1"/>
        <v>355.09021222196009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0</v>
      </c>
      <c r="O52" s="14">
        <f>N52*VLOOKUP('Données projet'!$B$9,Paramètres!$A$1:$I$89,3,0)*VLOOKUP('Données projet'!$B$9,Paramètres!$A$1:$I$89,5,0)</f>
        <v>0</v>
      </c>
      <c r="P52" s="14" t="e">
        <f t="shared" si="33"/>
        <v>#NUM!</v>
      </c>
      <c r="Q52" s="22" t="e">
        <f t="shared" si="53"/>
        <v>#NUM!</v>
      </c>
      <c r="R52" s="62" t="e">
        <f t="shared" si="0"/>
        <v>#NUM!</v>
      </c>
      <c r="S52" s="62">
        <f ca="1">AVERAGE(OFFSET($R$3,0,0,'Données projet'!$E$9+1,1))-AVERAGE(OFFSET($H$3,0,0,'Données projet'!$E$9+1,1))</f>
        <v>168.3568384507675</v>
      </c>
      <c r="T52" s="62">
        <f t="shared" si="34"/>
        <v>286.34130084594312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75.086337233344466</v>
      </c>
      <c r="AA52" s="23">
        <f>EXP(-LN(2)/25)*AA51+(1-EXP(-LN(2)/25))/(LN(2)/25)*Calculateur!V52*Calculateur!X52*VLOOKUP('Données projet'!$B$9,Paramètres!$A$1:$I$89,3,0)*0.475*44/12</f>
        <v>1.9740750324392975</v>
      </c>
      <c r="AB52" s="23">
        <f>EXP(-LN(2)/2)*AB51+(1-EXP(-LN(2)/2))/(LN(2)/2)*V52*Y52*VLOOKUP('Données projet'!$B$9,Paramètres!$A$1:$I$89,3,0)*0.475*44/12</f>
        <v>1.5212720683992078</v>
      </c>
      <c r="AC52" s="24">
        <f t="shared" si="3"/>
        <v>78.581684334182981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3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44.460000000000022</v>
      </c>
      <c r="D53" s="12">
        <f t="shared" si="32"/>
        <v>13.17339997701186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444.88940333131978</v>
      </c>
      <c r="H53" s="70">
        <f t="shared" si="1"/>
        <v>357.0448382932957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0</v>
      </c>
      <c r="O53" s="14">
        <f>N53*VLOOKUP('Données projet'!$B$9,Paramètres!$A$1:$I$89,3,0)*VLOOKUP('Données projet'!$B$9,Paramètres!$A$1:$I$89,5,0)</f>
        <v>0</v>
      </c>
      <c r="P53" s="14" t="e">
        <f t="shared" si="33"/>
        <v>#NUM!</v>
      </c>
      <c r="Q53" s="22" t="e">
        <f t="shared" si="53"/>
        <v>#NUM!</v>
      </c>
      <c r="R53" s="62" t="e">
        <f t="shared" si="0"/>
        <v>#NUM!</v>
      </c>
      <c r="S53" s="62">
        <f ca="1">AVERAGE(OFFSET($R$3,0,0,'Données projet'!$E$9+1,1))-AVERAGE(OFFSET($H$3,0,0,'Données projet'!$E$9+1,1))</f>
        <v>168.3568384507675</v>
      </c>
      <c r="T53" s="62">
        <f t="shared" si="34"/>
        <v>286.34130084594312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73.613939958342101</v>
      </c>
      <c r="AA53" s="23">
        <f>EXP(-LN(2)/25)*AA52+(1-EXP(-LN(2)/25))/(LN(2)/25)*Calculateur!V53*Calculateur!X53*VLOOKUP('Données projet'!$B$9,Paramètres!$A$1:$I$89,3,0)*0.475*44/12</f>
        <v>1.9200938468651507</v>
      </c>
      <c r="AB53" s="23">
        <f>EXP(-LN(2)/2)*AB52+(1-EXP(-LN(2)/2))/(LN(2)/2)*V53*Y53*VLOOKUP('Données projet'!$B$9,Paramètres!$A$1:$I$89,3,0)*0.475*44/12</f>
        <v>1.0757017955947652</v>
      </c>
      <c r="AC53" s="24">
        <f t="shared" si="3"/>
        <v>76.609735600802026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3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45.349200000000025</v>
      </c>
      <c r="D54" s="12">
        <f t="shared" si="32"/>
        <v>13.405931317559242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453.54838210045756</v>
      </c>
      <c r="H54" s="70">
        <f t="shared" si="1"/>
        <v>358.99852037808239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0</v>
      </c>
      <c r="O54" s="14">
        <f>N54*VLOOKUP('Données projet'!$B$9,Paramètres!$A$1:$I$89,3,0)*VLOOKUP('Données projet'!$B$9,Paramètres!$A$1:$I$89,5,0)</f>
        <v>0</v>
      </c>
      <c r="P54" s="14" t="e">
        <f t="shared" si="33"/>
        <v>#NUM!</v>
      </c>
      <c r="Q54" s="22" t="e">
        <f t="shared" si="53"/>
        <v>#NUM!</v>
      </c>
      <c r="R54" s="62" t="e">
        <f t="shared" si="0"/>
        <v>#NUM!</v>
      </c>
      <c r="S54" s="62">
        <f ca="1">AVERAGE(OFFSET($R$3,0,0,'Données projet'!$E$9+1,1))-AVERAGE(OFFSET($H$3,0,0,'Données projet'!$E$9+1,1))</f>
        <v>168.3568384507675</v>
      </c>
      <c r="T54" s="62">
        <f t="shared" si="34"/>
        <v>286.34130084594312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72.170415495828877</v>
      </c>
      <c r="AA54" s="23">
        <f>EXP(-LN(2)/25)*AA53+(1-EXP(-LN(2)/25))/(LN(2)/25)*Calculateur!V54*Calculateur!X54*VLOOKUP('Données projet'!$B$9,Paramètres!$A$1:$I$89,3,0)*0.475*44/12</f>
        <v>1.8675887796492763</v>
      </c>
      <c r="AB54" s="23">
        <f>EXP(-LN(2)/2)*AB53+(1-EXP(-LN(2)/2))/(LN(2)/2)*V54*Y54*VLOOKUP('Données projet'!$B$9,Paramètres!$A$1:$I$89,3,0)*0.475*44/12</f>
        <v>0.76063603419960391</v>
      </c>
      <c r="AC54" s="24">
        <f t="shared" si="3"/>
        <v>74.798640309677765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3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46.238400000000027</v>
      </c>
      <c r="D55" s="12">
        <f t="shared" si="32"/>
        <v>13.637932508790366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462.20326848890824</v>
      </c>
      <c r="H55" s="70">
        <f t="shared" si="1"/>
        <v>360.95127911947662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0</v>
      </c>
      <c r="O55" s="14">
        <f>N55*VLOOKUP('Données projet'!$B$9,Paramètres!$A$1:$I$89,3,0)*VLOOKUP('Données projet'!$B$9,Paramètres!$A$1:$I$89,5,0)</f>
        <v>0</v>
      </c>
      <c r="P55" s="14" t="e">
        <f t="shared" si="33"/>
        <v>#NUM!</v>
      </c>
      <c r="Q55" s="22" t="e">
        <f t="shared" si="53"/>
        <v>#NUM!</v>
      </c>
      <c r="R55" s="62" t="e">
        <f t="shared" si="0"/>
        <v>#NUM!</v>
      </c>
      <c r="S55" s="62">
        <f ca="1">AVERAGE(OFFSET($R$3,0,0,'Données projet'!$E$9+1,1))-AVERAGE(OFFSET($H$3,0,0,'Données projet'!$E$9+1,1))</f>
        <v>168.3568384507675</v>
      </c>
      <c r="T55" s="62">
        <f t="shared" si="34"/>
        <v>286.34130084594312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70.755197667562555</v>
      </c>
      <c r="AA55" s="23">
        <f>EXP(-LN(2)/25)*AA54+(1-EXP(-LN(2)/25))/(LN(2)/25)*Calculateur!V55*Calculateur!X55*VLOOKUP('Données projet'!$B$9,Paramètres!$A$1:$I$89,3,0)*0.475*44/12</f>
        <v>1.8165194662575412</v>
      </c>
      <c r="AB55" s="23">
        <f>EXP(-LN(2)/2)*AB54+(1-EXP(-LN(2)/2))/(LN(2)/2)*V55*Y55*VLOOKUP('Données projet'!$B$9,Paramètres!$A$1:$I$89,3,0)*0.475*44/12</f>
        <v>0.5378508977973826</v>
      </c>
      <c r="AC55" s="24">
        <f t="shared" si="3"/>
        <v>73.109568031617485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3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47.127600000000029</v>
      </c>
      <c r="D56" s="12">
        <f t="shared" si="32"/>
        <v>13.869414921287754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470.85415026958998</v>
      </c>
      <c r="H56" s="70">
        <f t="shared" si="1"/>
        <v>362.90313432124293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0</v>
      </c>
      <c r="O56" s="14">
        <f>N56*VLOOKUP('Données projet'!$B$9,Paramètres!$A$1:$I$89,3,0)*VLOOKUP('Données projet'!$B$9,Paramètres!$A$1:$I$89,5,0)</f>
        <v>0</v>
      </c>
      <c r="P56" s="14" t="e">
        <f t="shared" si="33"/>
        <v>#NUM!</v>
      </c>
      <c r="Q56" s="22" t="e">
        <f t="shared" si="53"/>
        <v>#NUM!</v>
      </c>
      <c r="R56" s="62" t="e">
        <f t="shared" si="0"/>
        <v>#NUM!</v>
      </c>
      <c r="S56" s="62">
        <f ca="1">AVERAGE(OFFSET($R$3,0,0,'Données projet'!$E$9+1,1))-AVERAGE(OFFSET($H$3,0,0,'Données projet'!$E$9+1,1))</f>
        <v>168.3568384507675</v>
      </c>
      <c r="T56" s="62">
        <f t="shared" si="34"/>
        <v>286.34130084594312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69.367731397710884</v>
      </c>
      <c r="AA56" s="23">
        <f>EXP(-LN(2)/25)*AA55+(1-EXP(-LN(2)/25))/(LN(2)/25)*Calculateur!V56*Calculateur!X56*VLOOKUP('Données projet'!$B$9,Paramètres!$A$1:$I$89,3,0)*0.475*44/12</f>
        <v>1.7668466459261218</v>
      </c>
      <c r="AB56" s="23">
        <f>EXP(-LN(2)/2)*AB55+(1-EXP(-LN(2)/2))/(LN(2)/2)*V56*Y56*VLOOKUP('Données projet'!$B$9,Paramètres!$A$1:$I$89,3,0)*0.475*44/12</f>
        <v>0.38031801709980195</v>
      </c>
      <c r="AC56" s="24">
        <f t="shared" si="3"/>
        <v>71.514896060736802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3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48.016800000000032</v>
      </c>
      <c r="D57" s="12">
        <f t="shared" si="32"/>
        <v>14.100389472000563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479.50111171368889</v>
      </c>
      <c r="H57" s="70">
        <f t="shared" si="1"/>
        <v>364.85410499706774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0</v>
      </c>
      <c r="O57" s="14">
        <f>N57*VLOOKUP('Données projet'!$B$9,Paramètres!$A$1:$I$89,3,0)*VLOOKUP('Données projet'!$B$9,Paramètres!$A$1:$I$89,5,0)</f>
        <v>0</v>
      </c>
      <c r="P57" s="14" t="e">
        <f t="shared" si="33"/>
        <v>#NUM!</v>
      </c>
      <c r="Q57" s="22" t="e">
        <f t="shared" si="53"/>
        <v>#NUM!</v>
      </c>
      <c r="R57" s="62" t="e">
        <f t="shared" si="0"/>
        <v>#NUM!</v>
      </c>
      <c r="S57" s="62">
        <f ca="1">AVERAGE(OFFSET($R$3,0,0,'Données projet'!$E$9+1,1))-AVERAGE(OFFSET($H$3,0,0,'Données projet'!$E$9+1,1))</f>
        <v>168.3568384507675</v>
      </c>
      <c r="T57" s="62">
        <f t="shared" si="34"/>
        <v>286.34130084594312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68.007472495140149</v>
      </c>
      <c r="AA57" s="23">
        <f>EXP(-LN(2)/25)*AA56+(1-EXP(-LN(2)/25))/(LN(2)/25)*Calculateur!V57*Calculateur!X57*VLOOKUP('Données projet'!$B$9,Paramètres!$A$1:$I$89,3,0)*0.475*44/12</f>
        <v>1.7185321314788451</v>
      </c>
      <c r="AB57" s="23">
        <f>EXP(-LN(2)/2)*AB56+(1-EXP(-LN(2)/2))/(LN(2)/2)*V57*Y57*VLOOKUP('Données projet'!$B$9,Paramètres!$A$1:$I$89,3,0)*0.475*44/12</f>
        <v>0.2689254488986913</v>
      </c>
      <c r="AC57" s="24">
        <f t="shared" si="3"/>
        <v>69.994930075517672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3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48.906000000000034</v>
      </c>
      <c r="D58" s="12">
        <f t="shared" si="32"/>
        <v>14.330866650402033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488.14423379257738</v>
      </c>
      <c r="H58" s="70">
        <f t="shared" si="1"/>
        <v>366.80420941611692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0</v>
      </c>
      <c r="O58" s="14">
        <f>N58*VLOOKUP('Données projet'!$B$9,Paramètres!$A$1:$I$89,3,0)*VLOOKUP('Données projet'!$B$9,Paramètres!$A$1:$I$89,5,0)</f>
        <v>0</v>
      </c>
      <c r="P58" s="14" t="e">
        <f t="shared" si="33"/>
        <v>#NUM!</v>
      </c>
      <c r="Q58" s="22" t="e">
        <f t="shared" si="53"/>
        <v>#NUM!</v>
      </c>
      <c r="R58" s="62" t="e">
        <f t="shared" si="0"/>
        <v>#NUM!</v>
      </c>
      <c r="S58" s="62">
        <f ca="1">AVERAGE(OFFSET($R$3,0,0,'Données projet'!$E$9+1,1))-AVERAGE(OFFSET($H$3,0,0,'Données projet'!$E$9+1,1))</f>
        <v>168.3568384507675</v>
      </c>
      <c r="T58" s="62">
        <f t="shared" si="34"/>
        <v>286.34130084594312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66.673887439972816</v>
      </c>
      <c r="AA58" s="23">
        <f>EXP(-LN(2)/25)*AA57+(1-EXP(-LN(2)/25))/(LN(2)/25)*Calculateur!V58*Calculateur!X58*VLOOKUP('Données projet'!$B$9,Paramètres!$A$1:$I$89,3,0)*0.475*44/12</f>
        <v>1.6715387799698791</v>
      </c>
      <c r="AB58" s="23">
        <f>EXP(-LN(2)/2)*AB57+(1-EXP(-LN(2)/2))/(LN(2)/2)*V58*Y58*VLOOKUP('Données projet'!$B$9,Paramètres!$A$1:$I$89,3,0)*0.475*44/12</f>
        <v>0.19015900854990098</v>
      </c>
      <c r="AC58" s="24">
        <f t="shared" si="3"/>
        <v>68.535585228492593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3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49.795200000000037</v>
      </c>
      <c r="D59" s="12">
        <f t="shared" si="32"/>
        <v>14.560856542690786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496.78359436463097</v>
      </c>
      <c r="H59" s="70">
        <f t="shared" si="1"/>
        <v>368.75346514518651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0</v>
      </c>
      <c r="O59" s="14">
        <f>N59*VLOOKUP('Données projet'!$B$9,Paramètres!$A$1:$I$89,3,0)*VLOOKUP('Données projet'!$B$9,Paramètres!$A$1:$I$89,5,0)</f>
        <v>0</v>
      </c>
      <c r="P59" s="14" t="e">
        <f t="shared" si="33"/>
        <v>#NUM!</v>
      </c>
      <c r="Q59" s="22" t="e">
        <f t="shared" si="53"/>
        <v>#NUM!</v>
      </c>
      <c r="R59" s="62" t="e">
        <f t="shared" si="0"/>
        <v>#NUM!</v>
      </c>
      <c r="S59" s="62">
        <f ca="1">AVERAGE(OFFSET($R$3,0,0,'Données projet'!$E$9+1,1))-AVERAGE(OFFSET($H$3,0,0,'Données projet'!$E$9+1,1))</f>
        <v>168.3568384507675</v>
      </c>
      <c r="T59" s="62">
        <f t="shared" si="34"/>
        <v>286.34130084594312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65.366453174330744</v>
      </c>
      <c r="AA59" s="23">
        <f>EXP(-LN(2)/25)*AA58+(1-EXP(-LN(2)/25))/(LN(2)/25)*Calculateur!V59*Calculateur!X59*VLOOKUP('Données projet'!$B$9,Paramètres!$A$1:$I$89,3,0)*0.475*44/12</f>
        <v>1.6258304641291987</v>
      </c>
      <c r="AB59" s="23">
        <f>EXP(-LN(2)/2)*AB58+(1-EXP(-LN(2)/2))/(LN(2)/2)*V59*Y59*VLOOKUP('Données projet'!$B$9,Paramètres!$A$1:$I$89,3,0)*0.475*44/12</f>
        <v>0.13446272444934565</v>
      </c>
      <c r="AC59" s="24">
        <f t="shared" si="3"/>
        <v>67.126746362909287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3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50.684400000000039</v>
      </c>
      <c r="D60" s="12">
        <f t="shared" si="32"/>
        <v>14.790368854214481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505.41926834832265</v>
      </c>
      <c r="H60" s="70">
        <f t="shared" si="1"/>
        <v>370.70188908775697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0</v>
      </c>
      <c r="O60" s="14">
        <f>N60*VLOOKUP('Données projet'!$B$9,Paramètres!$A$1:$I$89,3,0)*VLOOKUP('Données projet'!$B$9,Paramètres!$A$1:$I$89,5,0)</f>
        <v>0</v>
      </c>
      <c r="P60" s="14" t="e">
        <f t="shared" si="33"/>
        <v>#NUM!</v>
      </c>
      <c r="Q60" s="22" t="e">
        <f t="shared" si="53"/>
        <v>#NUM!</v>
      </c>
      <c r="R60" s="62" t="e">
        <f t="shared" si="0"/>
        <v>#NUM!</v>
      </c>
      <c r="S60" s="62">
        <f ca="1">AVERAGE(OFFSET($R$3,0,0,'Données projet'!$E$9+1,1))-AVERAGE(OFFSET($H$3,0,0,'Données projet'!$E$9+1,1))</f>
        <v>168.3568384507675</v>
      </c>
      <c r="T60" s="62">
        <f t="shared" si="34"/>
        <v>286.34130084594312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64.084656897181759</v>
      </c>
      <c r="AA60" s="23">
        <f>EXP(-LN(2)/25)*AA59+(1-EXP(-LN(2)/25))/(LN(2)/25)*Calculateur!V60*Calculateur!X60*VLOOKUP('Données projet'!$B$9,Paramètres!$A$1:$I$89,3,0)*0.475*44/12</f>
        <v>1.5813720445888775</v>
      </c>
      <c r="AB60" s="23">
        <f>EXP(-LN(2)/2)*AB59+(1-EXP(-LN(2)/2))/(LN(2)/2)*V60*Y60*VLOOKUP('Données projet'!$B$9,Paramètres!$A$1:$I$89,3,0)*0.475*44/12</f>
        <v>9.5079504274950488E-2</v>
      </c>
      <c r="AC60" s="24">
        <f t="shared" si="3"/>
        <v>65.761108446045583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3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51.573600000000042</v>
      </c>
      <c r="D61" s="12">
        <f t="shared" si="32"/>
        <v>15.01941293027533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514.05132788282742</v>
      </c>
      <c r="H61" s="70">
        <f t="shared" si="1"/>
        <v>372.6494975202296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0</v>
      </c>
      <c r="O61" s="14">
        <f>N61*VLOOKUP('Données projet'!$B$9,Paramètres!$A$1:$I$89,3,0)*VLOOKUP('Données projet'!$B$9,Paramètres!$A$1:$I$89,5,0)</f>
        <v>0</v>
      </c>
      <c r="P61" s="14" t="e">
        <f t="shared" si="33"/>
        <v>#NUM!</v>
      </c>
      <c r="Q61" s="22" t="e">
        <f t="shared" si="53"/>
        <v>#NUM!</v>
      </c>
      <c r="R61" s="62" t="e">
        <f t="shared" si="0"/>
        <v>#NUM!</v>
      </c>
      <c r="S61" s="62">
        <f ca="1">AVERAGE(OFFSET($R$3,0,0,'Données projet'!$E$9+1,1))-AVERAGE(OFFSET($H$3,0,0,'Données projet'!$E$9+1,1))</f>
        <v>168.3568384507675</v>
      </c>
      <c r="T61" s="62">
        <f t="shared" si="34"/>
        <v>286.34130084594312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62.827995863209132</v>
      </c>
      <c r="AA61" s="23">
        <f>EXP(-LN(2)/25)*AA60+(1-EXP(-LN(2)/25))/(LN(2)/25)*Calculateur!V61*Calculateur!X61*VLOOKUP('Données projet'!$B$9,Paramètres!$A$1:$I$89,3,0)*0.475*44/12</f>
        <v>1.5381293428688532</v>
      </c>
      <c r="AB61" s="23">
        <f>EXP(-LN(2)/2)*AB60+(1-EXP(-LN(2)/2))/(LN(2)/2)*V61*Y61*VLOOKUP('Données projet'!$B$9,Paramètres!$A$1:$I$89,3,0)*0.475*44/12</f>
        <v>6.7231362224672825E-2</v>
      </c>
      <c r="AC61" s="24">
        <f t="shared" si="3"/>
        <v>64.433356568302656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3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52.462800000000044</v>
      </c>
      <c r="D62" s="12">
        <f t="shared" si="32"/>
        <v>15.247997775460181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522.67984247723678</v>
      </c>
      <c r="H62" s="70">
        <f t="shared" si="1"/>
        <v>374.59630612559323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0</v>
      </c>
      <c r="O62" s="14">
        <f>N62*VLOOKUP('Données projet'!$B$9,Paramètres!$A$1:$I$89,3,0)*VLOOKUP('Données projet'!$B$9,Paramètres!$A$1:$I$89,5,0)</f>
        <v>0</v>
      </c>
      <c r="P62" s="14" t="e">
        <f t="shared" si="33"/>
        <v>#NUM!</v>
      </c>
      <c r="Q62" s="22" t="e">
        <f t="shared" si="53"/>
        <v>#NUM!</v>
      </c>
      <c r="R62" s="62" t="e">
        <f t="shared" si="0"/>
        <v>#NUM!</v>
      </c>
      <c r="S62" s="62">
        <f ca="1">AVERAGE(OFFSET($R$3,0,0,'Données projet'!$E$9+1,1))-AVERAGE(OFFSET($H$3,0,0,'Données projet'!$E$9+1,1))</f>
        <v>168.3568384507675</v>
      </c>
      <c r="T62" s="62">
        <f t="shared" si="34"/>
        <v>286.34130084594312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61.595977185625166</v>
      </c>
      <c r="AA62" s="23">
        <f>EXP(-LN(2)/25)*AA61+(1-EXP(-LN(2)/25))/(LN(2)/25)*Calculateur!V62*Calculateur!X62*VLOOKUP('Données projet'!$B$9,Paramètres!$A$1:$I$89,3,0)*0.475*44/12</f>
        <v>1.4960691151013976</v>
      </c>
      <c r="AB62" s="23">
        <f>EXP(-LN(2)/2)*AB61+(1-EXP(-LN(2)/2))/(LN(2)/2)*V62*Y62*VLOOKUP('Données projet'!$B$9,Paramètres!$A$1:$I$89,3,0)*0.475*44/12</f>
        <v>4.7539752137475244E-2</v>
      </c>
      <c r="AC62" s="24">
        <f t="shared" si="3"/>
        <v>63.13958605286404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3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53.352000000000046</v>
      </c>
      <c r="D63" s="12">
        <f t="shared" si="32"/>
        <v>15.476132071622855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531.30487914936975</v>
      </c>
      <c r="H63" s="70">
        <f t="shared" si="1"/>
        <v>376.54233002474325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0</v>
      </c>
      <c r="O63" s="14">
        <f>N63*VLOOKUP('Données projet'!$B$9,Paramètres!$A$1:$I$89,3,0)*VLOOKUP('Données projet'!$B$9,Paramètres!$A$1:$I$89,5,0)</f>
        <v>0</v>
      </c>
      <c r="P63" s="14" t="e">
        <f t="shared" si="33"/>
        <v>#NUM!</v>
      </c>
      <c r="Q63" s="22" t="e">
        <f t="shared" si="53"/>
        <v>#NUM!</v>
      </c>
      <c r="R63" s="62" t="e">
        <f t="shared" si="0"/>
        <v>#NUM!</v>
      </c>
      <c r="S63" s="62">
        <f ca="1">AVERAGE(OFFSET($R$3,0,0,'Données projet'!$E$9+1,1))-AVERAGE(OFFSET($H$3,0,0,'Données projet'!$E$9+1,1))</f>
        <v>168.3568384507675</v>
      </c>
      <c r="T63" s="62">
        <f t="shared" si="34"/>
        <v>286.34130084594312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60.388117642851427</v>
      </c>
      <c r="AA63" s="23">
        <f>EXP(-LN(2)/25)*AA62+(1-EXP(-LN(2)/25))/(LN(2)/25)*Calculateur!V63*Calculateur!X63*VLOOKUP('Données projet'!$B$9,Paramètres!$A$1:$I$89,3,0)*0.475*44/12</f>
        <v>1.4551590264740943</v>
      </c>
      <c r="AB63" s="23">
        <f>EXP(-LN(2)/2)*AB62+(1-EXP(-LN(2)/2))/(LN(2)/2)*V63*Y63*VLOOKUP('Données projet'!$B$9,Paramètres!$A$1:$I$89,3,0)*0.475*44/12</f>
        <v>3.3615681112336412E-2</v>
      </c>
      <c r="AC63" s="24">
        <f t="shared" si="3"/>
        <v>61.876892350437856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3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54.241200000000049</v>
      </c>
      <c r="D64" s="12">
        <f t="shared" si="32"/>
        <v>15.703824194633762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539.92650255506805</v>
      </c>
      <c r="H64" s="70">
        <f t="shared" si="1"/>
        <v>378.48758380565391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0</v>
      </c>
      <c r="O64" s="14">
        <f>N64*VLOOKUP('Données projet'!$B$9,Paramètres!$A$1:$I$89,3,0)*VLOOKUP('Données projet'!$B$9,Paramètres!$A$1:$I$89,5,0)</f>
        <v>0</v>
      </c>
      <c r="P64" s="14" t="e">
        <f t="shared" si="33"/>
        <v>#NUM!</v>
      </c>
      <c r="Q64" s="22" t="e">
        <f t="shared" si="53"/>
        <v>#NUM!</v>
      </c>
      <c r="R64" s="62" t="e">
        <f t="shared" si="0"/>
        <v>#NUM!</v>
      </c>
      <c r="S64" s="62">
        <f ca="1">AVERAGE(OFFSET($R$3,0,0,'Données projet'!$E$9+1,1))-AVERAGE(OFFSET($H$3,0,0,'Données projet'!$E$9+1,1))</f>
        <v>168.3568384507675</v>
      </c>
      <c r="T64" s="62">
        <f t="shared" si="34"/>
        <v>286.34130084594312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59.203943488989907</v>
      </c>
      <c r="AA64" s="23">
        <f>EXP(-LN(2)/25)*AA63+(1-EXP(-LN(2)/25))/(LN(2)/25)*Calculateur!V64*Calculateur!X64*VLOOKUP('Données projet'!$B$9,Paramètres!$A$1:$I$89,3,0)*0.475*44/12</f>
        <v>1.4153676263716728</v>
      </c>
      <c r="AB64" s="23">
        <f>EXP(-LN(2)/2)*AB63+(1-EXP(-LN(2)/2))/(LN(2)/2)*V64*Y64*VLOOKUP('Données projet'!$B$9,Paramètres!$A$1:$I$89,3,0)*0.475*44/12</f>
        <v>2.3769876068737622E-2</v>
      </c>
      <c r="AC64" s="24">
        <f t="shared" si="3"/>
        <v>60.643080991430324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3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55.130400000000051</v>
      </c>
      <c r="D65" s="12">
        <f t="shared" si="32"/>
        <v>15.931082230000042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548.54477510877268</v>
      </c>
      <c r="H65" s="70">
        <f t="shared" si="1"/>
        <v>380.43208155058352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0</v>
      </c>
      <c r="O65" s="14">
        <f>N65*VLOOKUP('Données projet'!$B$9,Paramètres!$A$1:$I$89,3,0)*VLOOKUP('Données projet'!$B$9,Paramètres!$A$1:$I$89,5,0)</f>
        <v>0</v>
      </c>
      <c r="P65" s="14" t="e">
        <f t="shared" si="33"/>
        <v>#NUM!</v>
      </c>
      <c r="Q65" s="22" t="e">
        <f t="shared" si="53"/>
        <v>#NUM!</v>
      </c>
      <c r="R65" s="62" t="e">
        <f t="shared" si="0"/>
        <v>#NUM!</v>
      </c>
      <c r="S65" s="62">
        <f ca="1">AVERAGE(OFFSET($R$3,0,0,'Données projet'!$E$9+1,1))-AVERAGE(OFFSET($H$3,0,0,'Données projet'!$E$9+1,1))</f>
        <v>168.3568384507675</v>
      </c>
      <c r="T65" s="62">
        <f t="shared" si="34"/>
        <v>286.34130084594312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58.042990268010691</v>
      </c>
      <c r="AA65" s="23">
        <f>EXP(-LN(2)/25)*AA64+(1-EXP(-LN(2)/25))/(LN(2)/25)*Calculateur!V65*Calculateur!X65*VLOOKUP('Données projet'!$B$9,Paramètres!$A$1:$I$89,3,0)*0.475*44/12</f>
        <v>1.3766643241975909</v>
      </c>
      <c r="AB65" s="23">
        <f>EXP(-LN(2)/2)*AB64+(1-EXP(-LN(2)/2))/(LN(2)/2)*V65*Y65*VLOOKUP('Données projet'!$B$9,Paramètres!$A$1:$I$89,3,0)*0.475*44/12</f>
        <v>1.6807840556168206E-2</v>
      </c>
      <c r="AC65" s="24">
        <f t="shared" si="3"/>
        <v>59.436462432764451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3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56.019600000000054</v>
      </c>
      <c r="D66" s="12">
        <f t="shared" si="32"/>
        <v>16.157913987449295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557.15975709610018</v>
      </c>
      <c r="H66" s="70">
        <f t="shared" si="1"/>
        <v>382.37583686147428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0</v>
      </c>
      <c r="O66" s="14">
        <f>N66*VLOOKUP('Données projet'!$B$9,Paramètres!$A$1:$I$89,3,0)*VLOOKUP('Données projet'!$B$9,Paramètres!$A$1:$I$89,5,0)</f>
        <v>0</v>
      </c>
      <c r="P66" s="14" t="e">
        <f t="shared" si="33"/>
        <v>#NUM!</v>
      </c>
      <c r="Q66" s="22" t="e">
        <f t="shared" si="53"/>
        <v>#NUM!</v>
      </c>
      <c r="R66" s="62" t="e">
        <f t="shared" si="0"/>
        <v>#NUM!</v>
      </c>
      <c r="S66" s="62">
        <f ca="1">AVERAGE(OFFSET($R$3,0,0,'Données projet'!$E$9+1,1))-AVERAGE(OFFSET($H$3,0,0,'Données projet'!$E$9+1,1))</f>
        <v>168.3568384507675</v>
      </c>
      <c r="T66" s="62">
        <f t="shared" si="34"/>
        <v>286.34130084594312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56.904802631583337</v>
      </c>
      <c r="AA66" s="23">
        <f>EXP(-LN(2)/25)*AA65+(1-EXP(-LN(2)/25))/(LN(2)/25)*Calculateur!V66*Calculateur!X66*VLOOKUP('Données projet'!$B$9,Paramètres!$A$1:$I$89,3,0)*0.475*44/12</f>
        <v>1.3390193658567773</v>
      </c>
      <c r="AB66" s="23">
        <f>EXP(-LN(2)/2)*AB65+(1-EXP(-LN(2)/2))/(LN(2)/2)*V66*Y66*VLOOKUP('Données projet'!$B$9,Paramètres!$A$1:$I$89,3,0)*0.475*44/12</f>
        <v>1.1884938034368811E-2</v>
      </c>
      <c r="AC66" s="24">
        <f t="shared" si="3"/>
        <v>58.255706935474485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3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56.908800000000056</v>
      </c>
      <c r="D67" s="12">
        <f t="shared" si="32"/>
        <v>16.384327014561212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565.77150677906945</v>
      </c>
      <c r="H67" s="70">
        <f t="shared" si="1"/>
        <v>384.31886288369424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0</v>
      </c>
      <c r="O67" s="14">
        <f>N67*VLOOKUP('Données projet'!$B$9,Paramètres!$A$1:$I$89,3,0)*VLOOKUP('Données projet'!$B$9,Paramètres!$A$1:$I$89,5,0)</f>
        <v>0</v>
      </c>
      <c r="P67" s="14" t="e">
        <f t="shared" si="33"/>
        <v>#NUM!</v>
      </c>
      <c r="Q67" s="22" t="e">
        <f t="shared" ref="Q67:Q98" si="54">(O67+P67)*0.475*44/12</f>
        <v>#NUM!</v>
      </c>
      <c r="R67" s="62" t="e">
        <f t="shared" ref="R67:R130" si="55">Q67+(I67+J67)*44/12</f>
        <v>#NUM!</v>
      </c>
      <c r="S67" s="62">
        <f ca="1">AVERAGE(OFFSET($R$3,0,0,'Données projet'!$E$9+1,1))-AVERAGE(OFFSET($H$3,0,0,'Données projet'!$E$9+1,1))</f>
        <v>168.3568384507675</v>
      </c>
      <c r="T67" s="62">
        <f t="shared" si="34"/>
        <v>286.34130084594312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55.788934160480416</v>
      </c>
      <c r="AA67" s="23">
        <f>EXP(-LN(2)/25)*AA66+(1-EXP(-LN(2)/25))/(LN(2)/25)*Calculateur!V67*Calculateur!X67*VLOOKUP('Données projet'!$B$9,Paramètres!$A$1:$I$89,3,0)*0.475*44/12</f>
        <v>1.3024038108814555</v>
      </c>
      <c r="AB67" s="23">
        <f>EXP(-LN(2)/2)*AB66+(1-EXP(-LN(2)/2))/(LN(2)/2)*V67*Y67*VLOOKUP('Données projet'!$B$9,Paramètres!$A$1:$I$89,3,0)*0.475*44/12</f>
        <v>8.4039202780841031E-3</v>
      </c>
      <c r="AC67" s="24">
        <f t="shared" si="3"/>
        <v>57.099741891639958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3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57.798000000000059</v>
      </c>
      <c r="D68" s="12">
        <f t="shared" si="32"/>
        <v>16.610328609523005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574.38008049456403</v>
      </c>
      <c r="H68" s="70">
        <f t="shared" ref="H68:H131" si="56">(B68+E68+F68)*44/12+(C68+D68)*0.475*44/12</f>
        <v>386.26117232825266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0</v>
      </c>
      <c r="O68" s="14">
        <f>N68*VLOOKUP('Données projet'!$B$9,Paramètres!$A$1:$I$89,3,0)*VLOOKUP('Données projet'!$B$9,Paramètres!$A$1:$I$89,5,0)</f>
        <v>0</v>
      </c>
      <c r="P68" s="14" t="e">
        <f t="shared" si="33"/>
        <v>#NUM!</v>
      </c>
      <c r="Q68" s="22" t="e">
        <f t="shared" si="54"/>
        <v>#NUM!</v>
      </c>
      <c r="R68" s="62" t="e">
        <f t="shared" si="55"/>
        <v>#NUM!</v>
      </c>
      <c r="S68" s="62">
        <f ca="1">AVERAGE(OFFSET($R$3,0,0,'Données projet'!$E$9+1,1))-AVERAGE(OFFSET($H$3,0,0,'Données projet'!$E$9+1,1))</f>
        <v>168.3568384507675</v>
      </c>
      <c r="T68" s="62">
        <f t="shared" si="34"/>
        <v>286.34130084594312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54.694947189483258</v>
      </c>
      <c r="AA68" s="23">
        <f>EXP(-LN(2)/25)*AA67+(1-EXP(-LN(2)/25))/(LN(2)/25)*Calculateur!V68*Calculateur!X68*VLOOKUP('Données projet'!$B$9,Paramètres!$A$1:$I$89,3,0)*0.475*44/12</f>
        <v>1.2667895101824624</v>
      </c>
      <c r="AB68" s="23">
        <f>EXP(-LN(2)/2)*AB67+(1-EXP(-LN(2)/2))/(LN(2)/2)*V68*Y68*VLOOKUP('Données projet'!$B$9,Paramètres!$A$1:$I$89,3,0)*0.475*44/12</f>
        <v>5.9424690171844055E-3</v>
      </c>
      <c r="AC68" s="24">
        <f t="shared" ref="AC68:AC131" si="57">SUM(Z68:AB68)</f>
        <v>55.967679168682906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3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58.687200000000061</v>
      </c>
      <c r="D69" s="12">
        <f t="shared" ref="D69:D132" si="86">IFERROR(EXP(-1.0587+0.8836*LN(C69)+0.284),0)</f>
        <v>16.835925833077553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582.98553274656399</v>
      </c>
      <c r="H69" s="70">
        <f t="shared" si="56"/>
        <v>388.20277749261015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0</v>
      </c>
      <c r="O69" s="14">
        <f>N69*VLOOKUP('Données projet'!$B$9,Paramètres!$A$1:$I$89,3,0)*VLOOKUP('Données projet'!$B$9,Paramètres!$A$1:$I$89,5,0)</f>
        <v>0</v>
      </c>
      <c r="P69" s="14" t="e">
        <f t="shared" ref="P69:P132" si="87">EXP(-1.0587+0.8836*LN(O69)+0.284)</f>
        <v>#NUM!</v>
      </c>
      <c r="Q69" s="22" t="e">
        <f t="shared" si="54"/>
        <v>#NUM!</v>
      </c>
      <c r="R69" s="62" t="e">
        <f t="shared" si="55"/>
        <v>#NUM!</v>
      </c>
      <c r="S69" s="62">
        <f ca="1">AVERAGE(OFFSET($R$3,0,0,'Données projet'!$E$9+1,1))-AVERAGE(OFFSET($H$3,0,0,'Données projet'!$E$9+1,1))</f>
        <v>168.3568384507675</v>
      </c>
      <c r="T69" s="62">
        <f t="shared" ref="T69:T132" si="88">$T$3</f>
        <v>286.34130084594312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53.62241263572119</v>
      </c>
      <c r="AA69" s="23">
        <f>EXP(-LN(2)/25)*AA68+(1-EXP(-LN(2)/25))/(LN(2)/25)*Calculateur!V69*Calculateur!X69*VLOOKUP('Données projet'!$B$9,Paramètres!$A$1:$I$89,3,0)*0.475*44/12</f>
        <v>1.232149084408958</v>
      </c>
      <c r="AB69" s="23">
        <f>EXP(-LN(2)/2)*AB68+(1-EXP(-LN(2)/2))/(LN(2)/2)*V69*Y69*VLOOKUP('Données projet'!$B$9,Paramètres!$A$1:$I$89,3,0)*0.475*44/12</f>
        <v>4.2019601390420516E-3</v>
      </c>
      <c r="AC69" s="24">
        <f t="shared" si="57"/>
        <v>54.858763680269192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3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59.576400000000064</v>
      </c>
      <c r="D70" s="12">
        <f t="shared" si="86"/>
        <v>17.061125519726964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591.58791629262976</v>
      </c>
      <c r="H70" s="70">
        <f t="shared" si="56"/>
        <v>390.14369028019127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0</v>
      </c>
      <c r="O70" s="14">
        <f>N70*VLOOKUP('Données projet'!$B$9,Paramètres!$A$1:$I$89,3,0)*VLOOKUP('Données projet'!$B$9,Paramètres!$A$1:$I$89,5,0)</f>
        <v>0</v>
      </c>
      <c r="P70" s="14" t="e">
        <f t="shared" si="87"/>
        <v>#NUM!</v>
      </c>
      <c r="Q70" s="22" t="e">
        <f t="shared" si="54"/>
        <v>#NUM!</v>
      </c>
      <c r="R70" s="62" t="e">
        <f t="shared" si="55"/>
        <v>#NUM!</v>
      </c>
      <c r="S70" s="62">
        <f ca="1">AVERAGE(OFFSET($R$3,0,0,'Données projet'!$E$9+1,1))-AVERAGE(OFFSET($H$3,0,0,'Données projet'!$E$9+1,1))</f>
        <v>168.3568384507675</v>
      </c>
      <c r="T70" s="62">
        <f t="shared" si="88"/>
        <v>286.34130084594312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52.570909830376912</v>
      </c>
      <c r="AA70" s="23">
        <f>EXP(-LN(2)/25)*AA69+(1-EXP(-LN(2)/25))/(LN(2)/25)*Calculateur!V70*Calculateur!X70*VLOOKUP('Données projet'!$B$9,Paramètres!$A$1:$I$89,3,0)*0.475*44/12</f>
        <v>1.1984559028998909</v>
      </c>
      <c r="AB70" s="23">
        <f>EXP(-LN(2)/2)*AB69+(1-EXP(-LN(2)/2))/(LN(2)/2)*V70*Y70*VLOOKUP('Données projet'!$B$9,Paramètres!$A$1:$I$89,3,0)*0.475*44/12</f>
        <v>2.9712345085922028E-3</v>
      </c>
      <c r="AC70" s="24">
        <f t="shared" si="57"/>
        <v>53.772336967785392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3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60.465600000000066</v>
      </c>
      <c r="D71" s="12">
        <f t="shared" si="86"/>
        <v>17.285934288248221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600.18728222507445</v>
      </c>
      <c r="H71" s="70">
        <f t="shared" si="56"/>
        <v>392.08392221869906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0</v>
      </c>
      <c r="O71" s="14">
        <f>N71*VLOOKUP('Données projet'!$B$9,Paramètres!$A$1:$I$89,3,0)*VLOOKUP('Données projet'!$B$9,Paramètres!$A$1:$I$89,5,0)</f>
        <v>0</v>
      </c>
      <c r="P71" s="14" t="e">
        <f t="shared" si="87"/>
        <v>#NUM!</v>
      </c>
      <c r="Q71" s="22" t="e">
        <f t="shared" si="54"/>
        <v>#NUM!</v>
      </c>
      <c r="R71" s="62" t="e">
        <f t="shared" si="55"/>
        <v>#NUM!</v>
      </c>
      <c r="S71" s="62">
        <f ca="1">AVERAGE(OFFSET($R$3,0,0,'Données projet'!$E$9+1,1))-AVERAGE(OFFSET($H$3,0,0,'Données projet'!$E$9+1,1))</f>
        <v>168.3568384507675</v>
      </c>
      <c r="T71" s="62">
        <f t="shared" si="88"/>
        <v>286.34130084594312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51.540026353692056</v>
      </c>
      <c r="AA71" s="23">
        <f>EXP(-LN(2)/25)*AA70+(1-EXP(-LN(2)/25))/(LN(2)/25)*Calculateur!V71*Calculateur!X71*VLOOKUP('Données projet'!$B$9,Paramètres!$A$1:$I$89,3,0)*0.475*44/12</f>
        <v>1.1656840632110366</v>
      </c>
      <c r="AB71" s="23">
        <f>EXP(-LN(2)/2)*AB70+(1-EXP(-LN(2)/2))/(LN(2)/2)*V71*Y71*VLOOKUP('Données projet'!$B$9,Paramètres!$A$1:$I$89,3,0)*0.475*44/12</f>
        <v>2.1009800695210258E-3</v>
      </c>
      <c r="AC71" s="24">
        <f t="shared" si="57"/>
        <v>52.707811396972616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3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61.354800000000068</v>
      </c>
      <c r="D72" s="12">
        <f t="shared" si="86"/>
        <v>17.510358551572637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608.7836800472279</v>
      </c>
      <c r="H72" s="70">
        <f t="shared" si="56"/>
        <v>394.02348447732243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0</v>
      </c>
      <c r="O72" s="14">
        <f>N72*VLOOKUP('Données projet'!$B$9,Paramètres!$A$1:$I$89,3,0)*VLOOKUP('Données projet'!$B$9,Paramètres!$A$1:$I$89,5,0)</f>
        <v>0</v>
      </c>
      <c r="P72" s="14" t="e">
        <f t="shared" si="87"/>
        <v>#NUM!</v>
      </c>
      <c r="Q72" s="22" t="e">
        <f t="shared" si="54"/>
        <v>#NUM!</v>
      </c>
      <c r="R72" s="62" t="e">
        <f t="shared" si="55"/>
        <v>#NUM!</v>
      </c>
      <c r="S72" s="62">
        <f ca="1">AVERAGE(OFFSET($R$3,0,0,'Données projet'!$E$9+1,1))-AVERAGE(OFFSET($H$3,0,0,'Données projet'!$E$9+1,1))</f>
        <v>168.3568384507675</v>
      </c>
      <c r="T72" s="62">
        <f t="shared" si="88"/>
        <v>286.34130084594312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50.529357873208156</v>
      </c>
      <c r="AA72" s="23">
        <f>EXP(-LN(2)/25)*AA71+(1-EXP(-LN(2)/25))/(LN(2)/25)*Calculateur!V72*Calculateur!X72*VLOOKUP('Données projet'!$B$9,Paramètres!$A$1:$I$89,3,0)*0.475*44/12</f>
        <v>1.1338083712018701</v>
      </c>
      <c r="AB72" s="23">
        <f>EXP(-LN(2)/2)*AB71+(1-EXP(-LN(2)/2))/(LN(2)/2)*V72*Y72*VLOOKUP('Données projet'!$B$9,Paramètres!$A$1:$I$89,3,0)*0.475*44/12</f>
        <v>1.4856172542961014E-3</v>
      </c>
      <c r="AC72" s="24">
        <f t="shared" si="57"/>
        <v>51.664651861664325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3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62.244000000000071</v>
      </c>
      <c r="D73" s="12">
        <f t="shared" si="86"/>
        <v>17.734404526076464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617.3771577451522</v>
      </c>
      <c r="H73" s="70">
        <f t="shared" si="56"/>
        <v>395.96238788291669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0</v>
      </c>
      <c r="O73" s="14">
        <f>N73*VLOOKUP('Données projet'!$B$9,Paramètres!$A$1:$I$89,3,0)*VLOOKUP('Données projet'!$B$9,Paramètres!$A$1:$I$89,5,0)</f>
        <v>0</v>
      </c>
      <c r="P73" s="14" t="e">
        <f t="shared" si="87"/>
        <v>#NUM!</v>
      </c>
      <c r="Q73" s="22" t="e">
        <f t="shared" si="54"/>
        <v>#NUM!</v>
      </c>
      <c r="R73" s="62" t="e">
        <f t="shared" si="55"/>
        <v>#NUM!</v>
      </c>
      <c r="S73" s="62">
        <f ca="1">AVERAGE(OFFSET($R$3,0,0,'Données projet'!$E$9+1,1))-AVERAGE(OFFSET($H$3,0,0,'Données projet'!$E$9+1,1))</f>
        <v>168.3568384507675</v>
      </c>
      <c r="T73" s="62">
        <f t="shared" si="88"/>
        <v>286.34130084594312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49.538507985179635</v>
      </c>
      <c r="AA73" s="23">
        <f>EXP(-LN(2)/25)*AA72+(1-EXP(-LN(2)/25))/(LN(2)/25)*Calculateur!V73*Calculateur!X73*VLOOKUP('Données projet'!$B$9,Paramètres!$A$1:$I$89,3,0)*0.475*44/12</f>
        <v>1.1028043216669641</v>
      </c>
      <c r="AB73" s="23">
        <f>EXP(-LN(2)/2)*AB72+(1-EXP(-LN(2)/2))/(LN(2)/2)*V73*Y73*VLOOKUP('Données projet'!$B$9,Paramètres!$A$1:$I$89,3,0)*0.475*44/12</f>
        <v>1.0504900347605129E-3</v>
      </c>
      <c r="AC73" s="24">
        <f t="shared" si="57"/>
        <v>50.642362796881358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3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63.133200000000073</v>
      </c>
      <c r="D74" s="12">
        <f t="shared" si="86"/>
        <v>17.958078240325332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625.96776185514352</v>
      </c>
      <c r="H74" s="70">
        <f t="shared" si="56"/>
        <v>397.90064293523346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0</v>
      </c>
      <c r="O74" s="14">
        <f>N74*VLOOKUP('Données projet'!$B$9,Paramètres!$A$1:$I$89,3,0)*VLOOKUP('Données projet'!$B$9,Paramètres!$A$1:$I$89,5,0)</f>
        <v>0</v>
      </c>
      <c r="P74" s="14" t="e">
        <f t="shared" si="87"/>
        <v>#NUM!</v>
      </c>
      <c r="Q74" s="22" t="e">
        <f t="shared" si="54"/>
        <v>#NUM!</v>
      </c>
      <c r="R74" s="62" t="e">
        <f t="shared" si="55"/>
        <v>#NUM!</v>
      </c>
      <c r="S74" s="62">
        <f ca="1">AVERAGE(OFFSET($R$3,0,0,'Données projet'!$E$9+1,1))-AVERAGE(OFFSET($H$3,0,0,'Données projet'!$E$9+1,1))</f>
        <v>168.3568384507675</v>
      </c>
      <c r="T74" s="62">
        <f t="shared" si="88"/>
        <v>286.34130084594312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48.567088059096598</v>
      </c>
      <c r="AA74" s="23">
        <f>EXP(-LN(2)/25)*AA73+(1-EXP(-LN(2)/25))/(LN(2)/25)*Calculateur!V74*Calculateur!X74*VLOOKUP('Données projet'!$B$9,Paramètres!$A$1:$I$89,3,0)*0.475*44/12</f>
        <v>1.0726480794970221</v>
      </c>
      <c r="AB74" s="23">
        <f>EXP(-LN(2)/2)*AB73+(1-EXP(-LN(2)/2))/(LN(2)/2)*V74*Y74*VLOOKUP('Données projet'!$B$9,Paramètres!$A$1:$I$89,3,0)*0.475*44/12</f>
        <v>7.4280862714805069E-4</v>
      </c>
      <c r="AC74" s="24">
        <f t="shared" si="57"/>
        <v>49.640478947220764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3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64.022400000000076</v>
      </c>
      <c r="D75" s="12">
        <f t="shared" si="86"/>
        <v>18.181385543312256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634.55553752732339</v>
      </c>
      <c r="H75" s="70">
        <f t="shared" si="56"/>
        <v>399.83825982126905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0</v>
      </c>
      <c r="O75" s="14">
        <f>N75*VLOOKUP('Données projet'!$B$9,Paramètres!$A$1:$I$89,3,0)*VLOOKUP('Données projet'!$B$9,Paramètres!$A$1:$I$89,5,0)</f>
        <v>0</v>
      </c>
      <c r="P75" s="14" t="e">
        <f t="shared" si="87"/>
        <v>#NUM!</v>
      </c>
      <c r="Q75" s="22" t="e">
        <f t="shared" si="54"/>
        <v>#NUM!</v>
      </c>
      <c r="R75" s="62" t="e">
        <f t="shared" si="55"/>
        <v>#NUM!</v>
      </c>
      <c r="S75" s="62">
        <f ca="1">AVERAGE(OFFSET($R$3,0,0,'Données projet'!$E$9+1,1))-AVERAGE(OFFSET($H$3,0,0,'Données projet'!$E$9+1,1))</f>
        <v>168.3568384507675</v>
      </c>
      <c r="T75" s="62">
        <f t="shared" si="88"/>
        <v>286.34130084594312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47.614717085256402</v>
      </c>
      <c r="AA75" s="23">
        <f>EXP(-LN(2)/25)*AA74+(1-EXP(-LN(2)/25))/(LN(2)/25)*Calculateur!V75*Calculateur!X75*VLOOKUP('Données projet'!$B$9,Paramètres!$A$1:$I$89,3,0)*0.475*44/12</f>
        <v>1.0433164613550652</v>
      </c>
      <c r="AB75" s="23">
        <f>EXP(-LN(2)/2)*AB74+(1-EXP(-LN(2)/2))/(LN(2)/2)*V75*Y75*VLOOKUP('Données projet'!$B$9,Paramètres!$A$1:$I$89,3,0)*0.475*44/12</f>
        <v>5.2524501738025644E-4</v>
      </c>
      <c r="AC75" s="24">
        <f t="shared" si="57"/>
        <v>48.658558791628842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3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64.911600000000078</v>
      </c>
      <c r="D76" s="12">
        <f t="shared" si="86"/>
        <v>18.404332112224722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643.14052858559501</v>
      </c>
      <c r="H76" s="70">
        <f t="shared" si="56"/>
        <v>401.77524842879154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0</v>
      </c>
      <c r="O76" s="14">
        <f>N76*VLOOKUP('Données projet'!$B$9,Paramètres!$A$1:$I$89,3,0)*VLOOKUP('Données projet'!$B$9,Paramètres!$A$1:$I$89,5,0)</f>
        <v>0</v>
      </c>
      <c r="P76" s="14" t="e">
        <f t="shared" si="87"/>
        <v>#NUM!</v>
      </c>
      <c r="Q76" s="22" t="e">
        <f t="shared" si="54"/>
        <v>#NUM!</v>
      </c>
      <c r="R76" s="62" t="e">
        <f t="shared" si="55"/>
        <v>#NUM!</v>
      </c>
      <c r="S76" s="62">
        <f ca="1">AVERAGE(OFFSET($R$3,0,0,'Données projet'!$E$9+1,1))-AVERAGE(OFFSET($H$3,0,0,'Données projet'!$E$9+1,1))</f>
        <v>168.3568384507675</v>
      </c>
      <c r="T76" s="62">
        <f t="shared" si="88"/>
        <v>286.34130084594312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46.681021525324276</v>
      </c>
      <c r="AA76" s="23">
        <f>EXP(-LN(2)/25)*AA75+(1-EXP(-LN(2)/25))/(LN(2)/25)*Calculateur!V76*Calculateur!X76*VLOOKUP('Données projet'!$B$9,Paramètres!$A$1:$I$89,3,0)*0.475*44/12</f>
        <v>1.0147869178536828</v>
      </c>
      <c r="AB76" s="23">
        <f>EXP(-LN(2)/2)*AB75+(1-EXP(-LN(2)/2))/(LN(2)/2)*V76*Y76*VLOOKUP('Données projet'!$B$9,Paramètres!$A$1:$I$89,3,0)*0.475*44/12</f>
        <v>3.7140431357402534E-4</v>
      </c>
      <c r="AC76" s="24">
        <f t="shared" si="57"/>
        <v>47.696179847491535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3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65.800800000000081</v>
      </c>
      <c r="D77" s="12">
        <f t="shared" si="86"/>
        <v>18.626923459774314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651.72277758422342</v>
      </c>
      <c r="H77" s="70">
        <f t="shared" si="56"/>
        <v>403.71161835910709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0</v>
      </c>
      <c r="O77" s="14">
        <f>N77*VLOOKUP('Données projet'!$B$9,Paramètres!$A$1:$I$89,3,0)*VLOOKUP('Données projet'!$B$9,Paramètres!$A$1:$I$89,5,0)</f>
        <v>0</v>
      </c>
      <c r="P77" s="14" t="e">
        <f t="shared" si="87"/>
        <v>#NUM!</v>
      </c>
      <c r="Q77" s="22" t="e">
        <f t="shared" si="54"/>
        <v>#NUM!</v>
      </c>
      <c r="R77" s="62" t="e">
        <f t="shared" si="55"/>
        <v>#NUM!</v>
      </c>
      <c r="S77" s="62">
        <f ca="1">AVERAGE(OFFSET($R$3,0,0,'Données projet'!$E$9+1,1))-AVERAGE(OFFSET($H$3,0,0,'Données projet'!$E$9+1,1))</f>
        <v>168.3568384507675</v>
      </c>
      <c r="T77" s="62">
        <f t="shared" si="88"/>
        <v>286.34130084594312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45.765635165824364</v>
      </c>
      <c r="AA77" s="23">
        <f>EXP(-LN(2)/25)*AA76+(1-EXP(-LN(2)/25))/(LN(2)/25)*Calculateur!V77*Calculateur!X77*VLOOKUP('Données projet'!$B$9,Paramètres!$A$1:$I$89,3,0)*0.475*44/12</f>
        <v>0.98703751621964919</v>
      </c>
      <c r="AB77" s="23">
        <f>EXP(-LN(2)/2)*AB76+(1-EXP(-LN(2)/2))/(LN(2)/2)*V77*Y77*VLOOKUP('Données projet'!$B$9,Paramètres!$A$1:$I$89,3,0)*0.475*44/12</f>
        <v>2.6262250869012822E-4</v>
      </c>
      <c r="AC77" s="24">
        <f t="shared" si="57"/>
        <v>46.752935304552707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3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66.690000000000083</v>
      </c>
      <c r="D78" s="12">
        <f t="shared" si="86"/>
        <v>18.849164941118655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660.30232586126749</v>
      </c>
      <c r="H78" s="70">
        <f t="shared" si="56"/>
        <v>405.64737893911513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0</v>
      </c>
      <c r="O78" s="14">
        <f>N78*VLOOKUP('Données projet'!$B$9,Paramètres!$A$1:$I$89,3,0)*VLOOKUP('Données projet'!$B$9,Paramètres!$A$1:$I$89,5,0)</f>
        <v>0</v>
      </c>
      <c r="P78" s="14" t="e">
        <f t="shared" si="87"/>
        <v>#NUM!</v>
      </c>
      <c r="Q78" s="22" t="e">
        <f t="shared" si="54"/>
        <v>#NUM!</v>
      </c>
      <c r="R78" s="62" t="e">
        <f t="shared" si="55"/>
        <v>#NUM!</v>
      </c>
      <c r="S78" s="62">
        <f ca="1">AVERAGE(OFFSET($R$3,0,0,'Données projet'!$E$9+1,1))-AVERAGE(OFFSET($H$3,0,0,'Données projet'!$E$9+1,1))</f>
        <v>168.3568384507675</v>
      </c>
      <c r="T78" s="62">
        <f t="shared" si="88"/>
        <v>286.34130084594312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44.868198974503692</v>
      </c>
      <c r="AA78" s="23">
        <f>EXP(-LN(2)/25)*AA77+(1-EXP(-LN(2)/25))/(LN(2)/25)*Calculateur!V78*Calculateur!X78*VLOOKUP('Données projet'!$B$9,Paramètres!$A$1:$I$89,3,0)*0.475*44/12</f>
        <v>0.96004692343257581</v>
      </c>
      <c r="AB78" s="23">
        <f>EXP(-LN(2)/2)*AB77+(1-EXP(-LN(2)/2))/(LN(2)/2)*V78*Y78*VLOOKUP('Données projet'!$B$9,Paramètres!$A$1:$I$89,3,0)*0.475*44/12</f>
        <v>1.8570215678701267E-4</v>
      </c>
      <c r="AC78" s="24">
        <f t="shared" si="57"/>
        <v>45.828431600093054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3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67.579200000000085</v>
      </c>
      <c r="D79" s="12">
        <f t="shared" si="86"/>
        <v>19.071061760403854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668.87921358908307</v>
      </c>
      <c r="H79" s="70">
        <f t="shared" si="56"/>
        <v>407.58253923270354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0</v>
      </c>
      <c r="O79" s="14">
        <f>N79*VLOOKUP('Données projet'!$B$9,Paramètres!$A$1:$I$89,3,0)*VLOOKUP('Données projet'!$B$9,Paramètres!$A$1:$I$89,5,0)</f>
        <v>0</v>
      </c>
      <c r="P79" s="14" t="e">
        <f t="shared" si="87"/>
        <v>#NUM!</v>
      </c>
      <c r="Q79" s="22" t="e">
        <f t="shared" si="54"/>
        <v>#NUM!</v>
      </c>
      <c r="R79" s="62" t="e">
        <f t="shared" si="55"/>
        <v>#NUM!</v>
      </c>
      <c r="S79" s="62">
        <f ca="1">AVERAGE(OFFSET($R$3,0,0,'Données projet'!$E$9+1,1))-AVERAGE(OFFSET($H$3,0,0,'Données projet'!$E$9+1,1))</f>
        <v>168.3568384507675</v>
      </c>
      <c r="T79" s="62">
        <f t="shared" si="88"/>
        <v>286.34130084594312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43.988360959512789</v>
      </c>
      <c r="AA79" s="23">
        <f>EXP(-LN(2)/25)*AA78+(1-EXP(-LN(2)/25))/(LN(2)/25)*Calculateur!V79*Calculateur!X79*VLOOKUP('Données projet'!$B$9,Paramètres!$A$1:$I$89,3,0)*0.475*44/12</f>
        <v>0.93379438982463858</v>
      </c>
      <c r="AB79" s="23">
        <f>EXP(-LN(2)/2)*AB78+(1-EXP(-LN(2)/2))/(LN(2)/2)*V79*Y79*VLOOKUP('Données projet'!$B$9,Paramètres!$A$1:$I$89,3,0)*0.475*44/12</f>
        <v>1.3131125434506411E-4</v>
      </c>
      <c r="AC79" s="24">
        <f t="shared" si="57"/>
        <v>44.922286660591773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3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68.468400000000088</v>
      </c>
      <c r="D80" s="12">
        <f t="shared" si="86"/>
        <v>19.292618976952753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677.45347982209216</v>
      </c>
      <c r="H80" s="70">
        <f t="shared" si="56"/>
        <v>409.51710805152618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0</v>
      </c>
      <c r="O80" s="14">
        <f>N80*VLOOKUP('Données projet'!$B$9,Paramètres!$A$1:$I$89,3,0)*VLOOKUP('Données projet'!$B$9,Paramètres!$A$1:$I$89,5,0)</f>
        <v>0</v>
      </c>
      <c r="P80" s="14" t="e">
        <f t="shared" si="87"/>
        <v>#NUM!</v>
      </c>
      <c r="Q80" s="22" t="e">
        <f t="shared" si="54"/>
        <v>#NUM!</v>
      </c>
      <c r="R80" s="62" t="e">
        <f t="shared" si="55"/>
        <v>#NUM!</v>
      </c>
      <c r="S80" s="62">
        <f ca="1">AVERAGE(OFFSET($R$3,0,0,'Données projet'!$E$9+1,1))-AVERAGE(OFFSET($H$3,0,0,'Données projet'!$E$9+1,1))</f>
        <v>168.3568384507675</v>
      </c>
      <c r="T80" s="62">
        <f t="shared" si="88"/>
        <v>286.34130084594312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43.125776031347662</v>
      </c>
      <c r="AA80" s="23">
        <f>EXP(-LN(2)/25)*AA79+(1-EXP(-LN(2)/25))/(LN(2)/25)*Calculateur!V80*Calculateur!X80*VLOOKUP('Données projet'!$B$9,Paramètres!$A$1:$I$89,3,0)*0.475*44/12</f>
        <v>0.90825973312877106</v>
      </c>
      <c r="AB80" s="23">
        <f>EXP(-LN(2)/2)*AB79+(1-EXP(-LN(2)/2))/(LN(2)/2)*V80*Y80*VLOOKUP('Données projet'!$B$9,Paramètres!$A$1:$I$89,3,0)*0.475*44/12</f>
        <v>9.2851078393506336E-5</v>
      </c>
      <c r="AC80" s="24">
        <f t="shared" si="57"/>
        <v>44.034128615554827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3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69.35760000000009</v>
      </c>
      <c r="D81" s="12">
        <f t="shared" si="86"/>
        <v>19.51384151112245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686.02516254199861</v>
      </c>
      <c r="H81" s="70">
        <f t="shared" si="56"/>
        <v>411.45109396520513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0</v>
      </c>
      <c r="O81" s="14">
        <f>N81*VLOOKUP('Données projet'!$B$9,Paramètres!$A$1:$I$89,3,0)*VLOOKUP('Données projet'!$B$9,Paramètres!$A$1:$I$89,5,0)</f>
        <v>0</v>
      </c>
      <c r="P81" s="14" t="e">
        <f t="shared" si="87"/>
        <v>#NUM!</v>
      </c>
      <c r="Q81" s="22" t="e">
        <f t="shared" si="54"/>
        <v>#NUM!</v>
      </c>
      <c r="R81" s="62" t="e">
        <f t="shared" si="55"/>
        <v>#NUM!</v>
      </c>
      <c r="S81" s="62">
        <f ca="1">AVERAGE(OFFSET($R$3,0,0,'Données projet'!$E$9+1,1))-AVERAGE(OFFSET($H$3,0,0,'Données projet'!$E$9+1,1))</f>
        <v>168.3568384507675</v>
      </c>
      <c r="T81" s="62">
        <f t="shared" si="88"/>
        <v>286.34130084594312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42.280105867498996</v>
      </c>
      <c r="AA81" s="23">
        <f>EXP(-LN(2)/25)*AA80+(1-EXP(-LN(2)/25))/(LN(2)/25)*Calculateur!V81*Calculateur!X81*VLOOKUP('Données projet'!$B$9,Paramètres!$A$1:$I$89,3,0)*0.475*44/12</f>
        <v>0.88342332296306136</v>
      </c>
      <c r="AB81" s="23">
        <f>EXP(-LN(2)/2)*AB80+(1-EXP(-LN(2)/2))/(LN(2)/2)*V81*Y81*VLOOKUP('Données projet'!$B$9,Paramètres!$A$1:$I$89,3,0)*0.475*44/12</f>
        <v>6.5655627172532056E-5</v>
      </c>
      <c r="AC81" s="24">
        <f t="shared" si="57"/>
        <v>43.163594846089232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3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70.246800000000093</v>
      </c>
      <c r="D82" s="12">
        <f t="shared" si="86"/>
        <v>19.734734149853086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694.59429870062104</v>
      </c>
      <c r="H82" s="70">
        <f t="shared" si="56"/>
        <v>413.38450531099431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0</v>
      </c>
      <c r="O82" s="14">
        <f>N82*VLOOKUP('Données projet'!$B$9,Paramètres!$A$1:$I$89,3,0)*VLOOKUP('Données projet'!$B$9,Paramètres!$A$1:$I$89,5,0)</f>
        <v>0</v>
      </c>
      <c r="P82" s="14" t="e">
        <f t="shared" si="87"/>
        <v>#NUM!</v>
      </c>
      <c r="Q82" s="22" t="e">
        <f t="shared" si="54"/>
        <v>#NUM!</v>
      </c>
      <c r="R82" s="62" t="e">
        <f t="shared" si="55"/>
        <v>#NUM!</v>
      </c>
      <c r="S82" s="62">
        <f ca="1">AVERAGE(OFFSET($R$3,0,0,'Données projet'!$E$9+1,1))-AVERAGE(OFFSET($H$3,0,0,'Données projet'!$E$9+1,1))</f>
        <v>168.3568384507675</v>
      </c>
      <c r="T82" s="62">
        <f t="shared" si="88"/>
        <v>286.34130084594312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41.451018779755536</v>
      </c>
      <c r="AA82" s="23">
        <f>EXP(-LN(2)/25)*AA81+(1-EXP(-LN(2)/25))/(LN(2)/25)*Calculateur!V82*Calculateur!X82*VLOOKUP('Données projet'!$B$9,Paramètres!$A$1:$I$89,3,0)*0.475*44/12</f>
        <v>0.85926606573942299</v>
      </c>
      <c r="AB82" s="23">
        <f>EXP(-LN(2)/2)*AB81+(1-EXP(-LN(2)/2))/(LN(2)/2)*V82*Y82*VLOOKUP('Données projet'!$B$9,Paramètres!$A$1:$I$89,3,0)*0.475*44/12</f>
        <v>4.6425539196753168E-5</v>
      </c>
      <c r="AC82" s="24">
        <f t="shared" si="57"/>
        <v>42.310331271034158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3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71.136000000000095</v>
      </c>
      <c r="D83" s="12">
        <f t="shared" si="86"/>
        <v>19.955301551927505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703.16092426049374</v>
      </c>
      <c r="H83" s="70">
        <f t="shared" si="56"/>
        <v>415.31735020294059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0</v>
      </c>
      <c r="O83" s="14">
        <f>N83*VLOOKUP('Données projet'!$B$9,Paramètres!$A$1:$I$89,3,0)*VLOOKUP('Données projet'!$B$9,Paramètres!$A$1:$I$89,5,0)</f>
        <v>0</v>
      </c>
      <c r="P83" s="14" t="e">
        <f t="shared" si="87"/>
        <v>#NUM!</v>
      </c>
      <c r="Q83" s="22" t="e">
        <f t="shared" si="54"/>
        <v>#NUM!</v>
      </c>
      <c r="R83" s="62" t="e">
        <f t="shared" si="55"/>
        <v>#NUM!</v>
      </c>
      <c r="S83" s="62">
        <f ca="1">AVERAGE(OFFSET($R$3,0,0,'Données projet'!$E$9+1,1))-AVERAGE(OFFSET($H$3,0,0,'Données projet'!$E$9+1,1))</f>
        <v>168.3568384507675</v>
      </c>
      <c r="T83" s="62">
        <f t="shared" si="88"/>
        <v>286.34130084594312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40.638189584109533</v>
      </c>
      <c r="AA83" s="23">
        <f>EXP(-LN(2)/25)*AA82+(1-EXP(-LN(2)/25))/(LN(2)/25)*Calculateur!V83*Calculateur!X83*VLOOKUP('Données projet'!$B$9,Paramètres!$A$1:$I$89,3,0)*0.475*44/12</f>
        <v>0.83576938998493999</v>
      </c>
      <c r="AB83" s="23">
        <f>EXP(-LN(2)/2)*AB82+(1-EXP(-LN(2)/2))/(LN(2)/2)*V83*Y83*VLOOKUP('Données projet'!$B$9,Paramètres!$A$1:$I$89,3,0)*0.475*44/12</f>
        <v>3.2827813586266028E-5</v>
      </c>
      <c r="AC83" s="24">
        <f t="shared" si="57"/>
        <v>41.473991801908056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3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72.025200000000098</v>
      </c>
      <c r="D84" s="12">
        <f t="shared" si="86"/>
        <v>20.175548252960489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711.72507423337993</v>
      </c>
      <c r="H84" s="70">
        <f t="shared" si="56"/>
        <v>417.24963654057308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0</v>
      </c>
      <c r="O84" s="14">
        <f>N84*VLOOKUP('Données projet'!$B$9,Paramètres!$A$1:$I$89,3,0)*VLOOKUP('Données projet'!$B$9,Paramètres!$A$1:$I$89,5,0)</f>
        <v>0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168.3568384507675</v>
      </c>
      <c r="T84" s="62">
        <f t="shared" si="88"/>
        <v>286.34130084594312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39.84129947321329</v>
      </c>
      <c r="AA84" s="23">
        <f>EXP(-LN(2)/25)*AA83+(1-EXP(-LN(2)/25))/(LN(2)/25)*Calculateur!V84*Calculateur!X84*VLOOKUP('Données projet'!$B$9,Paramètres!$A$1:$I$89,3,0)*0.475*44/12</f>
        <v>0.81291523206459981</v>
      </c>
      <c r="AB84" s="23">
        <f>EXP(-LN(2)/2)*AB83+(1-EXP(-LN(2)/2))/(LN(2)/2)*V84*Y84*VLOOKUP('Données projet'!$B$9,Paramètres!$A$1:$I$89,3,0)*0.475*44/12</f>
        <v>2.3212769598376584E-5</v>
      </c>
      <c r="AC84" s="24">
        <f t="shared" si="57"/>
        <v>40.654237918047485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3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72.9144000000001</v>
      </c>
      <c r="D85" s="12">
        <f t="shared" si="86"/>
        <v>20.395478670134686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720.28678271683009</v>
      </c>
      <c r="H85" s="70">
        <f t="shared" si="56"/>
        <v>419.18137201715149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0</v>
      </c>
      <c r="O85" s="14">
        <f>N85*VLOOKUP('Données projet'!$B$9,Paramètres!$A$1:$I$89,3,0)*VLOOKUP('Données projet'!$B$9,Paramètres!$A$1:$I$89,5,0)</f>
        <v>0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168.3568384507675</v>
      </c>
      <c r="T85" s="62">
        <f t="shared" si="88"/>
        <v>286.34130084594312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39.060035891336753</v>
      </c>
      <c r="AA85" s="23">
        <f>EXP(-LN(2)/25)*AA84+(1-EXP(-LN(2)/25))/(LN(2)/25)*Calculateur!V85*Calculateur!X85*VLOOKUP('Données projet'!$B$9,Paramètres!$A$1:$I$89,3,0)*0.475*44/12</f>
        <v>0.79068602229443918</v>
      </c>
      <c r="AB85" s="23">
        <f>EXP(-LN(2)/2)*AB84+(1-EXP(-LN(2)/2))/(LN(2)/2)*V85*Y85*VLOOKUP('Données projet'!$B$9,Paramètres!$A$1:$I$89,3,0)*0.475*44/12</f>
        <v>1.6413906793133014E-5</v>
      </c>
      <c r="AC85" s="24">
        <f t="shared" si="57"/>
        <v>39.850738327537982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3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73.803600000000102</v>
      </c>
      <c r="D86" s="12">
        <f t="shared" si="86"/>
        <v>20.615097106698798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728.8460829289038</v>
      </c>
      <c r="H86" s="70">
        <f t="shared" si="56"/>
        <v>421.1125641275006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0</v>
      </c>
      <c r="O86" s="14">
        <f>N86*VLOOKUP('Données projet'!$B$9,Paramètres!$A$1:$I$89,3,0)*VLOOKUP('Données projet'!$B$9,Paramètres!$A$1:$I$89,5,0)</f>
        <v>0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168.3568384507675</v>
      </c>
      <c r="T86" s="62">
        <f t="shared" si="88"/>
        <v>286.34130084594312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38.294092411777079</v>
      </c>
      <c r="AA86" s="23">
        <f>EXP(-LN(2)/25)*AA85+(1-EXP(-LN(2)/25))/(LN(2)/25)*Calculateur!V86*Calculateur!X86*VLOOKUP('Données projet'!$B$9,Paramètres!$A$1:$I$89,3,0)*0.475*44/12</f>
        <v>0.76906467143442692</v>
      </c>
      <c r="AB86" s="23">
        <f>EXP(-LN(2)/2)*AB85+(1-EXP(-LN(2)/2))/(LN(2)/2)*V86*Y86*VLOOKUP('Données projet'!$B$9,Paramètres!$A$1:$I$89,3,0)*0.475*44/12</f>
        <v>1.1606384799188292E-5</v>
      </c>
      <c r="AC86" s="24">
        <f t="shared" si="57"/>
        <v>39.06316868959631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3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74.692800000000105</v>
      </c>
      <c r="D87" s="12">
        <f t="shared" si="86"/>
        <v>20.834407756242857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737.40300724117378</v>
      </c>
      <c r="H87" s="70">
        <f t="shared" si="56"/>
        <v>423.0432201754565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0</v>
      </c>
      <c r="O87" s="14">
        <f>N87*VLOOKUP('Données projet'!$B$9,Paramètres!$A$1:$I$89,3,0)*VLOOKUP('Données projet'!$B$9,Paramètres!$A$1:$I$89,5,0)</f>
        <v>0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168.3568384507675</v>
      </c>
      <c r="T87" s="62">
        <f t="shared" si="88"/>
        <v>286.34130084594312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37.543168616672183</v>
      </c>
      <c r="AA87" s="23">
        <f>EXP(-LN(2)/25)*AA86+(1-EXP(-LN(2)/25))/(LN(2)/25)*Calculateur!V87*Calculateur!X87*VLOOKUP('Données projet'!$B$9,Paramètres!$A$1:$I$89,3,0)*0.475*44/12</f>
        <v>0.74803455755069914</v>
      </c>
      <c r="AB87" s="23">
        <f>EXP(-LN(2)/2)*AB86+(1-EXP(-LN(2)/2))/(LN(2)/2)*V87*Y87*VLOOKUP('Données projet'!$B$9,Paramètres!$A$1:$I$89,3,0)*0.475*44/12</f>
        <v>8.2069533965665069E-6</v>
      </c>
      <c r="AC87" s="24">
        <f t="shared" si="57"/>
        <v>38.291211381176275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3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75.582000000000107</v>
      </c>
      <c r="D88" s="12">
        <f t="shared" si="86"/>
        <v>21.053414706764155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745.95758721011009</v>
      </c>
      <c r="H88" s="70">
        <f t="shared" si="56"/>
        <v>424.97334728094779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0</v>
      </c>
      <c r="O88" s="14">
        <f>N88*VLOOKUP('Données projet'!$B$9,Paramètres!$A$1:$I$89,3,0)*VLOOKUP('Données projet'!$B$9,Paramètres!$A$1:$I$89,5,0)</f>
        <v>0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168.3568384507675</v>
      </c>
      <c r="T88" s="62">
        <f t="shared" si="88"/>
        <v>286.34130084594312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36.806969979171001</v>
      </c>
      <c r="AA88" s="23">
        <f>EXP(-LN(2)/25)*AA87+(1-EXP(-LN(2)/25))/(LN(2)/25)*Calculateur!V88*Calculateur!X88*VLOOKUP('Données projet'!$B$9,Paramètres!$A$1:$I$89,3,0)*0.475*44/12</f>
        <v>0.7275795132370475</v>
      </c>
      <c r="AB88" s="23">
        <f>EXP(-LN(2)/2)*AB87+(1-EXP(-LN(2)/2))/(LN(2)/2)*V88*Y88*VLOOKUP('Données projet'!$B$9,Paramètres!$A$1:$I$89,3,0)*0.475*44/12</f>
        <v>5.803192399594146E-6</v>
      </c>
      <c r="AC88" s="24">
        <f t="shared" si="57"/>
        <v>37.534555295600448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3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76.47120000000011</v>
      </c>
      <c r="D89" s="12">
        <f t="shared" si="86"/>
        <v>21.272121944536373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754.50985360694824</v>
      </c>
      <c r="H89" s="70">
        <f t="shared" si="56"/>
        <v>426.9029523867344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0</v>
      </c>
      <c r="O89" s="14">
        <f>N89*VLOOKUP('Données projet'!$B$9,Paramètres!$A$1:$I$89,3,0)*VLOOKUP('Données projet'!$B$9,Paramètres!$A$1:$I$89,5,0)</f>
        <v>0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168.3568384507675</v>
      </c>
      <c r="T89" s="62">
        <f t="shared" si="88"/>
        <v>286.34130084594312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36.085207747914389</v>
      </c>
      <c r="AA89" s="23">
        <f>EXP(-LN(2)/25)*AA88+(1-EXP(-LN(2)/25))/(LN(2)/25)*Calculateur!V89*Calculateur!X89*VLOOKUP('Données projet'!$B$9,Paramètres!$A$1:$I$89,3,0)*0.475*44/12</f>
        <v>0.70768381318583673</v>
      </c>
      <c r="AB89" s="23">
        <f>EXP(-LN(2)/2)*AB88+(1-EXP(-LN(2)/2))/(LN(2)/2)*V89*Y89*VLOOKUP('Données projet'!$B$9,Paramètres!$A$1:$I$89,3,0)*0.475*44/12</f>
        <v>4.1034766982832535E-6</v>
      </c>
      <c r="AC89" s="24">
        <f t="shared" si="57"/>
        <v>36.792895664576925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3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77.360400000000112</v>
      </c>
      <c r="D90" s="12">
        <f t="shared" si="86"/>
        <v>21.490533357793517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763.05983644612627</v>
      </c>
      <c r="H90" s="70">
        <f t="shared" si="56"/>
        <v>428.83204226482388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0</v>
      </c>
      <c r="O90" s="14">
        <f>N90*VLOOKUP('Données projet'!$B$9,Paramètres!$A$1:$I$89,3,0)*VLOOKUP('Données projet'!$B$9,Paramètres!$A$1:$I$89,5,0)</f>
        <v>0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168.3568384507675</v>
      </c>
      <c r="T90" s="62">
        <f t="shared" si="88"/>
        <v>286.34130084594312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35.377598833781228</v>
      </c>
      <c r="AA90" s="23">
        <f>EXP(-LN(2)/25)*AA89+(1-EXP(-LN(2)/25))/(LN(2)/25)*Calculateur!V90*Calculateur!X90*VLOOKUP('Données projet'!$B$9,Paramètres!$A$1:$I$89,3,0)*0.475*44/12</f>
        <v>0.68833216209879577</v>
      </c>
      <c r="AB90" s="23">
        <f>EXP(-LN(2)/2)*AB89+(1-EXP(-LN(2)/2))/(LN(2)/2)*V90*Y90*VLOOKUP('Données projet'!$B$9,Paramètres!$A$1:$I$89,3,0)*0.475*44/12</f>
        <v>2.901596199797073E-6</v>
      </c>
      <c r="AC90" s="24">
        <f t="shared" si="57"/>
        <v>36.065933897476221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3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78.249600000000115</v>
      </c>
      <c r="D91" s="12">
        <f t="shared" si="86"/>
        <v>21.70865274023982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771.60756501237847</v>
      </c>
      <c r="H91" s="70">
        <f t="shared" si="56"/>
        <v>430.76062352258458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0</v>
      </c>
      <c r="O91" s="14">
        <f>N91*VLOOKUP('Données projet'!$B$9,Paramètres!$A$1:$I$89,3,0)*VLOOKUP('Données projet'!$B$9,Paramètres!$A$1:$I$89,5,0)</f>
        <v>0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168.3568384507675</v>
      </c>
      <c r="T91" s="62">
        <f t="shared" si="88"/>
        <v>286.34130084594312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34.683865698855399</v>
      </c>
      <c r="AA91" s="23">
        <f>EXP(-LN(2)/25)*AA90+(1-EXP(-LN(2)/25))/(LN(2)/25)*Calculateur!V91*Calculateur!X91*VLOOKUP('Données projet'!$B$9,Paramètres!$A$1:$I$89,3,0)*0.475*44/12</f>
        <v>0.66950968292838897</v>
      </c>
      <c r="AB91" s="23">
        <f>EXP(-LN(2)/2)*AB90+(1-EXP(-LN(2)/2))/(LN(2)/2)*V91*Y91*VLOOKUP('Données projet'!$B$9,Paramètres!$A$1:$I$89,3,0)*0.475*44/12</f>
        <v>2.0517383491416267E-6</v>
      </c>
      <c r="AC91" s="24">
        <f t="shared" si="57"/>
        <v>35.353377433522134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3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79.138800000000117</v>
      </c>
      <c r="D92" s="12">
        <f t="shared" si="86"/>
        <v>21.926483794395363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780.15306788656164</v>
      </c>
      <c r="H92" s="70">
        <f t="shared" si="56"/>
        <v>432.68870260857216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0</v>
      </c>
      <c r="O92" s="14">
        <f>N92*VLOOKUP('Données projet'!$B$9,Paramètres!$A$1:$I$89,3,0)*VLOOKUP('Données projet'!$B$9,Paramètres!$A$1:$I$89,5,0)</f>
        <v>0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168.3568384507675</v>
      </c>
      <c r="T92" s="62">
        <f t="shared" si="88"/>
        <v>286.34130084594312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34.003736247570032</v>
      </c>
      <c r="AA92" s="23">
        <f>EXP(-LN(2)/25)*AA91+(1-EXP(-LN(2)/25))/(LN(2)/25)*Calculateur!V92*Calculateur!X92*VLOOKUP('Données projet'!$B$9,Paramètres!$A$1:$I$89,3,0)*0.475*44/12</f>
        <v>0.65120190544072809</v>
      </c>
      <c r="AB92" s="23">
        <f>EXP(-LN(2)/2)*AB91+(1-EXP(-LN(2)/2))/(LN(2)/2)*V92*Y92*VLOOKUP('Données projet'!$B$9,Paramètres!$A$1:$I$89,3,0)*0.475*44/12</f>
        <v>1.4507980998985365E-6</v>
      </c>
      <c r="AC92" s="24">
        <f t="shared" si="57"/>
        <v>34.654939603808863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3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80.028000000000119</v>
      </c>
      <c r="D93" s="12">
        <f t="shared" si="86"/>
        <v>22.144030134787187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788.69637297028794</v>
      </c>
      <c r="H93" s="70">
        <f t="shared" si="56"/>
        <v>434.61628581808787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0</v>
      </c>
      <c r="O93" s="14">
        <f>N93*VLOOKUP('Données projet'!$B$9,Paramètres!$A$1:$I$89,3,0)*VLOOKUP('Données projet'!$B$9,Paramètres!$A$1:$I$89,5,0)</f>
        <v>0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168.3568384507675</v>
      </c>
      <c r="T93" s="62">
        <f t="shared" si="88"/>
        <v>286.34130084594312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33.336943719986365</v>
      </c>
      <c r="AA93" s="23">
        <f>EXP(-LN(2)/25)*AA92+(1-EXP(-LN(2)/25))/(LN(2)/25)*Calculateur!V93*Calculateur!X93*VLOOKUP('Données projet'!$B$9,Paramètres!$A$1:$I$89,3,0)*0.475*44/12</f>
        <v>0.63339475509123155</v>
      </c>
      <c r="AB93" s="23">
        <f>EXP(-LN(2)/2)*AB92+(1-EXP(-LN(2)/2))/(LN(2)/2)*V93*Y93*VLOOKUP('Données projet'!$B$9,Paramètres!$A$1:$I$89,3,0)*0.475*44/12</f>
        <v>1.0258691745708134E-6</v>
      </c>
      <c r="AC93" s="24">
        <f t="shared" si="57"/>
        <v>33.970339500946771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3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80.917200000000122</v>
      </c>
      <c r="D94" s="12">
        <f t="shared" si="86"/>
        <v>22.361295290994477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797.23750750943202</v>
      </c>
      <c r="H94" s="70">
        <f t="shared" si="56"/>
        <v>436.54337929848225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0</v>
      </c>
      <c r="O94" s="14">
        <f>N94*VLOOKUP('Données projet'!$B$9,Paramètres!$A$1:$I$89,3,0)*VLOOKUP('Données projet'!$B$9,Paramètres!$A$1:$I$89,5,0)</f>
        <v>0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168.3568384507675</v>
      </c>
      <c r="T94" s="62">
        <f t="shared" si="88"/>
        <v>286.34130084594312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32.683226587165336</v>
      </c>
      <c r="AA94" s="23">
        <f>EXP(-LN(2)/25)*AA93+(1-EXP(-LN(2)/25))/(LN(2)/25)*Calculateur!V94*Calculateur!X94*VLOOKUP('Données projet'!$B$9,Paramètres!$A$1:$I$89,3,0)*0.475*44/12</f>
        <v>0.61607454220447933</v>
      </c>
      <c r="AB94" s="23">
        <f>EXP(-LN(2)/2)*AB93+(1-EXP(-LN(2)/2))/(LN(2)/2)*V94*Y94*VLOOKUP('Données projet'!$B$9,Paramètres!$A$1:$I$89,3,0)*0.475*44/12</f>
        <v>7.2539904994926825E-7</v>
      </c>
      <c r="AC94" s="24">
        <f t="shared" si="57"/>
        <v>33.299301854768864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3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81.806400000000124</v>
      </c>
      <c r="D95" s="12">
        <f t="shared" si="86"/>
        <v>22.578282710556053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805.77649811657409</v>
      </c>
      <c r="H95" s="70">
        <f t="shared" si="56"/>
        <v>438.46998905421867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0</v>
      </c>
      <c r="O95" s="14">
        <f>N95*VLOOKUP('Données projet'!$B$9,Paramètres!$A$1:$I$89,3,0)*VLOOKUP('Données projet'!$B$9,Paramètres!$A$1:$I$89,5,0)</f>
        <v>0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168.3568384507675</v>
      </c>
      <c r="T95" s="62">
        <f t="shared" si="88"/>
        <v>286.34130084594312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32.042328448590844</v>
      </c>
      <c r="AA95" s="23">
        <f>EXP(-LN(2)/25)*AA94+(1-EXP(-LN(2)/25))/(LN(2)/25)*Calculateur!V95*Calculateur!X95*VLOOKUP('Données projet'!$B$9,Paramètres!$A$1:$I$89,3,0)*0.475*44/12</f>
        <v>0.59922795144994567</v>
      </c>
      <c r="AB95" s="23">
        <f>EXP(-LN(2)/2)*AB94+(1-EXP(-LN(2)/2))/(LN(2)/2)*V95*Y95*VLOOKUP('Données projet'!$B$9,Paramètres!$A$1:$I$89,3,0)*0.475*44/12</f>
        <v>5.1293458728540668E-7</v>
      </c>
      <c r="AC95" s="24">
        <f t="shared" si="57"/>
        <v>32.641556912975382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3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82.695600000000127</v>
      </c>
      <c r="D96" s="12">
        <f t="shared" si="86"/>
        <v>22.794995761747877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814.31337079244076</v>
      </c>
      <c r="H96" s="70">
        <f t="shared" si="56"/>
        <v>440.39612095171111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0</v>
      </c>
      <c r="O96" s="14">
        <f>N96*VLOOKUP('Données projet'!$B$9,Paramètres!$A$1:$I$89,3,0)*VLOOKUP('Données projet'!$B$9,Paramètres!$A$1:$I$89,5,0)</f>
        <v>0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168.3568384507675</v>
      </c>
      <c r="T96" s="62">
        <f t="shared" si="88"/>
        <v>286.34130084594312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31.413997931604531</v>
      </c>
      <c r="AA96" s="23">
        <f>EXP(-LN(2)/25)*AA95+(1-EXP(-LN(2)/25))/(LN(2)/25)*Calculateur!V96*Calculateur!X96*VLOOKUP('Données projet'!$B$9,Paramètres!$A$1:$I$89,3,0)*0.475*44/12</f>
        <v>0.58284203160551851</v>
      </c>
      <c r="AB96" s="23">
        <f>EXP(-LN(2)/2)*AB95+(1-EXP(-LN(2)/2))/(LN(2)/2)*V96*Y96*VLOOKUP('Données projet'!$B$9,Paramètres!$A$1:$I$89,3,0)*0.475*44/12</f>
        <v>3.6269952497463413E-7</v>
      </c>
      <c r="AC96" s="24">
        <f t="shared" si="57"/>
        <v>31.996840325909574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3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83.584800000000129</v>
      </c>
      <c r="D97" s="12">
        <f t="shared" si="86"/>
        <v>23.011437736237649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822.84815094639691</v>
      </c>
      <c r="H97" s="70">
        <f t="shared" si="56"/>
        <v>442.32178072394748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0</v>
      </c>
      <c r="O97" s="14">
        <f>N97*VLOOKUP('Données projet'!$B$9,Paramètres!$A$1:$I$89,3,0)*VLOOKUP('Données projet'!$B$9,Paramètres!$A$1:$I$89,5,0)</f>
        <v>0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168.3568384507675</v>
      </c>
      <c r="T97" s="62">
        <f t="shared" si="88"/>
        <v>286.34130084594312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30.797988592812548</v>
      </c>
      <c r="AA97" s="23">
        <f>EXP(-LN(2)/25)*AA96+(1-EXP(-LN(2)/25))/(LN(2)/25)*Calculateur!V97*Calculateur!X97*VLOOKUP('Données projet'!$B$9,Paramètres!$A$1:$I$89,3,0)*0.475*44/12</f>
        <v>0.56690418560093525</v>
      </c>
      <c r="AB97" s="23">
        <f>EXP(-LN(2)/2)*AB96+(1-EXP(-LN(2)/2))/(LN(2)/2)*V97*Y97*VLOOKUP('Données projet'!$B$9,Paramètres!$A$1:$I$89,3,0)*0.475*44/12</f>
        <v>2.5646729364270334E-7</v>
      </c>
      <c r="AC97" s="24">
        <f t="shared" si="57"/>
        <v>31.36489303488078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3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84.474000000000132</v>
      </c>
      <c r="D98" s="12">
        <f t="shared" si="86"/>
        <v>23.227611851623202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831.38086341603992</v>
      </c>
      <c r="H98" s="70">
        <f t="shared" si="56"/>
        <v>444.24697397491065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0</v>
      </c>
      <c r="O98" s="14">
        <f>N98*VLOOKUP('Données projet'!$B$9,Paramètres!$A$1:$I$89,3,0)*VLOOKUP('Données projet'!$B$9,Paramètres!$A$1:$I$89,5,0)</f>
        <v>0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168.3568384507675</v>
      </c>
      <c r="T98" s="62">
        <f t="shared" si="88"/>
        <v>286.34130084594312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30.194058821425678</v>
      </c>
      <c r="AA98" s="23">
        <f>EXP(-LN(2)/25)*AA97+(1-EXP(-LN(2)/25))/(LN(2)/25)*Calculateur!V98*Calculateur!X98*VLOOKUP('Données projet'!$B$9,Paramètres!$A$1:$I$89,3,0)*0.475*44/12</f>
        <v>0.55140216083348226</v>
      </c>
      <c r="AB98" s="23">
        <f>EXP(-LN(2)/2)*AB97+(1-EXP(-LN(2)/2))/(LN(2)/2)*V98*Y98*VLOOKUP('Données projet'!$B$9,Paramètres!$A$1:$I$89,3,0)*0.475*44/12</f>
        <v>1.8134976248731706E-7</v>
      </c>
      <c r="AC98" s="24">
        <f t="shared" si="57"/>
        <v>30.745461163608923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3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85.363200000000134</v>
      </c>
      <c r="D99" s="12">
        <f t="shared" si="86"/>
        <v>23.443521253861071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839.91153248594617</v>
      </c>
      <c r="H99" s="70">
        <f t="shared" si="56"/>
        <v>446.17170618380828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0</v>
      </c>
      <c r="O99" s="14">
        <f>N99*VLOOKUP('Données projet'!$B$9,Paramètres!$A$1:$I$89,3,0)*VLOOKUP('Données projet'!$B$9,Paramètres!$A$1:$I$89,5,0)</f>
        <v>0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168.3568384507675</v>
      </c>
      <c r="T99" s="62">
        <f t="shared" si="88"/>
        <v>286.34130084594312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29.601971744494918</v>
      </c>
      <c r="AA99" s="23">
        <f>EXP(-LN(2)/25)*AA98+(1-EXP(-LN(2)/25))/(LN(2)/25)*Calculateur!V99*Calculateur!X99*VLOOKUP('Données projet'!$B$9,Paramètres!$A$1:$I$89,3,0)*0.475*44/12</f>
        <v>0.53632403974851128</v>
      </c>
      <c r="AB99" s="23">
        <f>EXP(-LN(2)/2)*AB98+(1-EXP(-LN(2)/2))/(LN(2)/2)*V99*Y99*VLOOKUP('Données projet'!$B$9,Paramètres!$A$1:$I$89,3,0)*0.475*44/12</f>
        <v>1.2823364682135167E-7</v>
      </c>
      <c r="AC99" s="24">
        <f t="shared" si="57"/>
        <v>30.138295912477076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3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86.252400000000137</v>
      </c>
      <c r="D100" s="12">
        <f t="shared" si="86"/>
        <v>23.659169019590845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848.44018190561474</v>
      </c>
      <c r="H100" s="70">
        <f t="shared" si="56"/>
        <v>448.09598270912102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0</v>
      </c>
      <c r="O100" s="14">
        <f>N100*VLOOKUP('Données projet'!$B$9,Paramètres!$A$1:$I$89,3,0)*VLOOKUP('Données projet'!$B$9,Paramètres!$A$1:$I$89,5,0)</f>
        <v>0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168.3568384507675</v>
      </c>
      <c r="T100" s="62">
        <f t="shared" si="88"/>
        <v>286.34130084594312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29.021495134005313</v>
      </c>
      <c r="AA100" s="23">
        <f>EXP(-LN(2)/25)*AA99+(1-EXP(-LN(2)/25))/(LN(2)/25)*Calculateur!V100*Calculateur!X100*VLOOKUP('Données projet'!$B$9,Paramètres!$A$1:$I$89,3,0)*0.475*44/12</f>
        <v>0.52165823067753281</v>
      </c>
      <c r="AB100" s="23">
        <f>EXP(-LN(2)/2)*AB99+(1-EXP(-LN(2)/2))/(LN(2)/2)*V100*Y100*VLOOKUP('Données projet'!$B$9,Paramètres!$A$1:$I$89,3,0)*0.475*44/12</f>
        <v>9.0674881243658531E-8</v>
      </c>
      <c r="AC100" s="24">
        <f t="shared" si="57"/>
        <v>29.543153455357729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3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87.141600000000139</v>
      </c>
      <c r="D101" s="12">
        <f t="shared" si="86"/>
        <v>23.874558158360987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856.96683490664736</v>
      </c>
      <c r="H101" s="70">
        <f t="shared" si="56"/>
        <v>450.01980879247901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0</v>
      </c>
      <c r="O101" s="14">
        <f>N101*VLOOKUP('Données projet'!$B$9,Paramètres!$A$1:$I$89,3,0)*VLOOKUP('Données projet'!$B$9,Paramètres!$A$1:$I$89,5,0)</f>
        <v>0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168.3568384507675</v>
      </c>
      <c r="T101" s="62">
        <f t="shared" si="88"/>
        <v>286.34130084594312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28.452401315791636</v>
      </c>
      <c r="AA101" s="23">
        <f>EXP(-LN(2)/25)*AA100+(1-EXP(-LN(2)/25))/(LN(2)/25)*Calculateur!V101*Calculateur!X101*VLOOKUP('Données projet'!$B$9,Paramètres!$A$1:$I$89,3,0)*0.475*44/12</f>
        <v>0.50739345892684162</v>
      </c>
      <c r="AB101" s="23">
        <f>EXP(-LN(2)/2)*AB100+(1-EXP(-LN(2)/2))/(LN(2)/2)*V101*Y101*VLOOKUP('Données projet'!$B$9,Paramètres!$A$1:$I$89,3,0)*0.475*44/12</f>
        <v>6.4116823410675835E-8</v>
      </c>
      <c r="AC101" s="24">
        <f t="shared" si="57"/>
        <v>28.9597948388353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3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88.030800000000141</v>
      </c>
      <c r="D102" s="12">
        <f t="shared" si="86"/>
        <v>24.089691614761293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865.49151421921113</v>
      </c>
      <c r="H102" s="70">
        <f t="shared" si="56"/>
        <v>451.94318956237618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0</v>
      </c>
      <c r="O102" s="14">
        <f>N102*VLOOKUP('Données projet'!$B$9,Paramètres!$A$1:$I$89,3,0)*VLOOKUP('Données projet'!$B$9,Paramètres!$A$1:$I$89,5,0)</f>
        <v>0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168.3568384507675</v>
      </c>
      <c r="T102" s="62">
        <f t="shared" si="88"/>
        <v>286.34130084594312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27.894467080240176</v>
      </c>
      <c r="AA102" s="23">
        <f>EXP(-LN(2)/25)*AA101+(1-EXP(-LN(2)/25))/(LN(2)/25)*Calculateur!V102*Calculateur!X102*VLOOKUP('Données projet'!$B$9,Paramètres!$A$1:$I$89,3,0)*0.475*44/12</f>
        <v>0.49351875810982482</v>
      </c>
      <c r="AB102" s="23">
        <f>EXP(-LN(2)/2)*AB101+(1-EXP(-LN(2)/2))/(LN(2)/2)*V102*Y102*VLOOKUP('Données projet'!$B$9,Paramètres!$A$1:$I$89,3,0)*0.475*44/12</f>
        <v>4.5337440621829266E-8</v>
      </c>
      <c r="AC102" s="24">
        <f t="shared" si="57"/>
        <v>28.387985883687442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3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88.920000000000144</v>
      </c>
      <c r="D103" s="12">
        <f t="shared" si="86"/>
        <v>24.304572270466512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874.01424208781282</v>
      </c>
      <c r="H103" s="70">
        <f t="shared" si="56"/>
        <v>453.86613003772942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0</v>
      </c>
      <c r="O103" s="14">
        <f>N103*VLOOKUP('Données projet'!$B$9,Paramètres!$A$1:$I$89,3,0)*VLOOKUP('Données projet'!$B$9,Paramètres!$A$1:$I$89,5,0)</f>
        <v>0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168.3568384507675</v>
      </c>
      <c r="T103" s="62">
        <f t="shared" si="88"/>
        <v>286.34130084594312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27.347473594741597</v>
      </c>
      <c r="AA103" s="23">
        <f>EXP(-LN(2)/25)*AA102+(1-EXP(-LN(2)/25))/(LN(2)/25)*Calculateur!V103*Calculateur!X103*VLOOKUP('Données projet'!$B$9,Paramètres!$A$1:$I$89,3,0)*0.475*44/12</f>
        <v>0.48002346171628812</v>
      </c>
      <c r="AB103" s="23">
        <f>EXP(-LN(2)/2)*AB102+(1-EXP(-LN(2)/2))/(LN(2)/2)*V103*Y103*VLOOKUP('Données projet'!$B$9,Paramètres!$A$1:$I$89,3,0)*0.475*44/12</f>
        <v>3.2058411705337918E-8</v>
      </c>
      <c r="AC103" s="24">
        <f t="shared" si="57"/>
        <v>27.827497088516299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3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89.809200000000146</v>
      </c>
      <c r="D104" s="12">
        <f t="shared" si="86"/>
        <v>24.519202946196138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882.53504028642749</v>
      </c>
      <c r="H104" s="70">
        <f t="shared" si="56"/>
        <v>455.78863513129187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0</v>
      </c>
      <c r="O104" s="14">
        <f>N104*VLOOKUP('Données projet'!$B$9,Paramètres!$A$1:$I$89,3,0)*VLOOKUP('Données projet'!$B$9,Paramètres!$A$1:$I$89,5,0)</f>
        <v>0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168.3568384507675</v>
      </c>
      <c r="T104" s="62">
        <f t="shared" si="88"/>
        <v>286.34130084594312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26.811206317860563</v>
      </c>
      <c r="AA104" s="23">
        <f>EXP(-LN(2)/25)*AA103+(1-EXP(-LN(2)/25))/(LN(2)/25)*Calculateur!V104*Calculateur!X104*VLOOKUP('Données projet'!$B$9,Paramètres!$A$1:$I$89,3,0)*0.475*44/12</f>
        <v>0.46689719491231946</v>
      </c>
      <c r="AB104" s="23">
        <f>EXP(-LN(2)/2)*AB103+(1-EXP(-LN(2)/2))/(LN(2)/2)*V104*Y104*VLOOKUP('Données projet'!$B$9,Paramètres!$A$1:$I$89,3,0)*0.475*44/12</f>
        <v>2.2668720310914633E-8</v>
      </c>
      <c r="AC104" s="24">
        <f t="shared" si="57"/>
        <v>27.278103535441605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3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90.698400000000149</v>
      </c>
      <c r="D105" s="12">
        <f t="shared" si="86"/>
        <v>24.733586403594217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891.05393013300909</v>
      </c>
      <c r="H105" s="70">
        <f t="shared" si="56"/>
        <v>457.71070965292688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0</v>
      </c>
      <c r="O105" s="14">
        <f>N105*VLOOKUP('Données projet'!$B$9,Paramètres!$A$1:$I$89,3,0)*VLOOKUP('Données projet'!$B$9,Paramètres!$A$1:$I$89,5,0)</f>
        <v>0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168.3568384507675</v>
      </c>
      <c r="T105" s="62">
        <f t="shared" si="88"/>
        <v>286.34130084594312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26.285454915188424</v>
      </c>
      <c r="AA105" s="23">
        <f>EXP(-LN(2)/25)*AA104+(1-EXP(-LN(2)/25))/(LN(2)/25)*Calculateur!V105*Calculateur!X105*VLOOKUP('Données projet'!$B$9,Paramètres!$A$1:$I$89,3,0)*0.475*44/12</f>
        <v>0.4541298665643857</v>
      </c>
      <c r="AB105" s="23">
        <f>EXP(-LN(2)/2)*AB104+(1-EXP(-LN(2)/2))/(LN(2)/2)*V105*Y105*VLOOKUP('Données projet'!$B$9,Paramètres!$A$1:$I$89,3,0)*0.475*44/12</f>
        <v>1.6029205852668959E-8</v>
      </c>
      <c r="AC105" s="24">
        <f t="shared" si="57"/>
        <v>26.739584797782015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3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91.587600000000151</v>
      </c>
      <c r="D106" s="12">
        <f t="shared" si="86"/>
        <v>24.947725347033305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899.5709325034162</v>
      </c>
      <c r="H106" s="70">
        <f t="shared" si="56"/>
        <v>459.63235831274994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0</v>
      </c>
      <c r="O106" s="14">
        <f>N106*VLOOKUP('Données projet'!$B$9,Paramètres!$A$1:$I$89,3,0)*VLOOKUP('Données projet'!$B$9,Paramètres!$A$1:$I$89,5,0)</f>
        <v>0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168.3568384507675</v>
      </c>
      <c r="T106" s="62">
        <f t="shared" si="88"/>
        <v>286.34130084594312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25.770013176845996</v>
      </c>
      <c r="AA106" s="23">
        <f>EXP(-LN(2)/25)*AA105+(1-EXP(-LN(2)/25))/(LN(2)/25)*Calculateur!V106*Calculateur!X106*VLOOKUP('Données projet'!$B$9,Paramètres!$A$1:$I$89,3,0)*0.475*44/12</f>
        <v>0.44171166148153079</v>
      </c>
      <c r="AB106" s="23">
        <f>EXP(-LN(2)/2)*AB105+(1-EXP(-LN(2)/2))/(LN(2)/2)*V106*Y106*VLOOKUP('Données projet'!$B$9,Paramètres!$A$1:$I$89,3,0)*0.475*44/12</f>
        <v>1.1334360155457316E-8</v>
      </c>
      <c r="AC106" s="24">
        <f t="shared" si="57"/>
        <v>26.211724849661888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3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92.476800000000154</v>
      </c>
      <c r="D107" s="12">
        <f t="shared" si="86"/>
        <v>25.161622425346469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908.08606784478104</v>
      </c>
      <c r="H107" s="70">
        <f t="shared" si="56"/>
        <v>461.55358572414536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0</v>
      </c>
      <c r="O107" s="14">
        <f>N107*VLOOKUP('Données projet'!$B$9,Paramètres!$A$1:$I$89,3,0)*VLOOKUP('Données projet'!$B$9,Paramètres!$A$1:$I$89,5,0)</f>
        <v>0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168.3568384507675</v>
      </c>
      <c r="T107" s="62">
        <f t="shared" si="88"/>
        <v>286.34130084594312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25.264678936604046</v>
      </c>
      <c r="AA107" s="23">
        <f>EXP(-LN(2)/25)*AA106+(1-EXP(-LN(2)/25))/(LN(2)/25)*Calculateur!V107*Calculateur!X107*VLOOKUP('Données projet'!$B$9,Paramètres!$A$1:$I$89,3,0)*0.475*44/12</f>
        <v>0.42963303286971161</v>
      </c>
      <c r="AB107" s="23">
        <f>EXP(-LN(2)/2)*AB106+(1-EXP(-LN(2)/2))/(LN(2)/2)*V107*Y107*VLOOKUP('Données projet'!$B$9,Paramètres!$A$1:$I$89,3,0)*0.475*44/12</f>
        <v>8.0146029263344794E-9</v>
      </c>
      <c r="AC107" s="24">
        <f t="shared" si="57"/>
        <v>25.694311977488361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3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93.366000000000156</v>
      </c>
      <c r="D108" s="12">
        <f t="shared" si="86"/>
        <v>25.375280233490724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916.59935618835073</v>
      </c>
      <c r="H108" s="70">
        <f t="shared" si="56"/>
        <v>463.47439640666329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0</v>
      </c>
      <c r="O108" s="14">
        <f>N108*VLOOKUP('Données projet'!$B$9,Paramètres!$A$1:$I$89,3,0)*VLOOKUP('Données projet'!$B$9,Paramètres!$A$1:$I$89,5,0)</f>
        <v>0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168.3568384507675</v>
      </c>
      <c r="T108" s="62">
        <f t="shared" si="88"/>
        <v>286.34130084594312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24.769253992589789</v>
      </c>
      <c r="AA108" s="23">
        <f>EXP(-LN(2)/25)*AA107+(1-EXP(-LN(2)/25))/(LN(2)/25)*Calculateur!V108*Calculateur!X108*VLOOKUP('Données projet'!$B$9,Paramètres!$A$1:$I$89,3,0)*0.475*44/12</f>
        <v>0.41788469499247011</v>
      </c>
      <c r="AB108" s="23">
        <f>EXP(-LN(2)/2)*AB107+(1-EXP(-LN(2)/2))/(LN(2)/2)*V108*Y108*VLOOKUP('Données projet'!$B$9,Paramètres!$A$1:$I$89,3,0)*0.475*44/12</f>
        <v>5.6671800777286582E-9</v>
      </c>
      <c r="AC108" s="24">
        <f t="shared" si="57"/>
        <v>25.187138693249437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3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94.255200000000158</v>
      </c>
      <c r="D109" s="12">
        <f t="shared" si="86"/>
        <v>25.588701314145272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925.11081716182434</v>
      </c>
      <c r="H109" s="70">
        <f t="shared" si="56"/>
        <v>465.39479478880332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0</v>
      </c>
      <c r="O109" s="14">
        <f>N109*VLOOKUP('Données projet'!$B$9,Paramètres!$A$1:$I$89,3,0)*VLOOKUP('Données projet'!$B$9,Paramètres!$A$1:$I$89,5,0)</f>
        <v>0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168.3568384507675</v>
      </c>
      <c r="T109" s="62">
        <f t="shared" si="88"/>
        <v>286.34130084594312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24.283544029548271</v>
      </c>
      <c r="AA109" s="23">
        <f>EXP(-LN(2)/25)*AA108+(1-EXP(-LN(2)/25))/(LN(2)/25)*Calculateur!V109*Calculateur!X109*VLOOKUP('Données projet'!$B$9,Paramètres!$A$1:$I$89,3,0)*0.475*44/12</f>
        <v>0.40645761603230002</v>
      </c>
      <c r="AB109" s="23">
        <f>EXP(-LN(2)/2)*AB108+(1-EXP(-LN(2)/2))/(LN(2)/2)*V109*Y109*VLOOKUP('Données projet'!$B$9,Paramètres!$A$1:$I$89,3,0)*0.475*44/12</f>
        <v>4.0073014631672397E-9</v>
      </c>
      <c r="AC109" s="24">
        <f t="shared" si="57"/>
        <v>24.69000164958787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3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95.144400000000161</v>
      </c>
      <c r="D110" s="12">
        <f t="shared" si="86"/>
        <v>25.801888159247749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933.62047000121208</v>
      </c>
      <c r="H110" s="70">
        <f t="shared" si="56"/>
        <v>467.3147852106901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0</v>
      </c>
      <c r="O110" s="14">
        <f>N110*VLOOKUP('Données projet'!$B$9,Paramètres!$A$1:$I$89,3,0)*VLOOKUP('Données projet'!$B$9,Paramètres!$A$1:$I$89,5,0)</f>
        <v>0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168.3568384507675</v>
      </c>
      <c r="T110" s="62">
        <f t="shared" si="88"/>
        <v>286.34130084594312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23.807358542628172</v>
      </c>
      <c r="AA110" s="23">
        <f>EXP(-LN(2)/25)*AA109+(1-EXP(-LN(2)/25))/(LN(2)/25)*Calculateur!V110*Calculateur!X110*VLOOKUP('Données projet'!$B$9,Paramètres!$A$1:$I$89,3,0)*0.475*44/12</f>
        <v>0.3953430111472197</v>
      </c>
      <c r="AB110" s="23">
        <f>EXP(-LN(2)/2)*AB109+(1-EXP(-LN(2)/2))/(LN(2)/2)*V110*Y110*VLOOKUP('Données projet'!$B$9,Paramètres!$A$1:$I$89,3,0)*0.475*44/12</f>
        <v>2.8335900388643291E-9</v>
      </c>
      <c r="AC110" s="24">
        <f t="shared" si="57"/>
        <v>24.202701556608982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3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96.033600000000163</v>
      </c>
      <c r="D111" s="12">
        <f t="shared" si="86"/>
        <v>26.014843211471252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942.12833356223564</v>
      </c>
      <c r="H111" s="70">
        <f t="shared" si="56"/>
        <v>469.23437192664602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0</v>
      </c>
      <c r="O111" s="14">
        <f>N111*VLOOKUP('Données projet'!$B$9,Paramètres!$A$1:$I$89,3,0)*VLOOKUP('Données projet'!$B$9,Paramètres!$A$1:$I$89,5,0)</f>
        <v>0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168.3568384507675</v>
      </c>
      <c r="T111" s="62">
        <f t="shared" si="88"/>
        <v>286.34130084594312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23.34051076266211</v>
      </c>
      <c r="AA111" s="23">
        <f>EXP(-LN(2)/25)*AA110+(1-EXP(-LN(2)/25))/(LN(2)/25)*Calculateur!V111*Calculateur!X111*VLOOKUP('Données projet'!$B$9,Paramètres!$A$1:$I$89,3,0)*0.475*44/12</f>
        <v>0.38453233571721357</v>
      </c>
      <c r="AB111" s="23">
        <f>EXP(-LN(2)/2)*AB110+(1-EXP(-LN(2)/2))/(LN(2)/2)*V111*Y111*VLOOKUP('Données projet'!$B$9,Paramètres!$A$1:$I$89,3,0)*0.475*44/12</f>
        <v>2.0036507315836199E-9</v>
      </c>
      <c r="AC111" s="24">
        <f t="shared" si="57"/>
        <v>23.725043100382976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3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96.922800000000166</v>
      </c>
      <c r="D112" s="12">
        <f t="shared" si="86"/>
        <v>26.227568865645399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950.6344263312991</v>
      </c>
      <c r="H112" s="70">
        <f t="shared" si="56"/>
        <v>471.15355910766601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0</v>
      </c>
      <c r="O112" s="14">
        <f>N112*VLOOKUP('Données projet'!$B$9,Paramètres!$A$1:$I$89,3,0)*VLOOKUP('Données projet'!$B$9,Paramètres!$A$1:$I$89,5,0)</f>
        <v>0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168.3568384507675</v>
      </c>
      <c r="T112" s="62">
        <f t="shared" si="88"/>
        <v>286.34130084594312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22.882817582912153</v>
      </c>
      <c r="AA112" s="23">
        <f>EXP(-LN(2)/25)*AA111+(1-EXP(-LN(2)/25))/(LN(2)/25)*Calculateur!V112*Calculateur!X112*VLOOKUP('Données projet'!$B$9,Paramètres!$A$1:$I$89,3,0)*0.475*44/12</f>
        <v>0.37401727877534968</v>
      </c>
      <c r="AB112" s="23">
        <f>EXP(-LN(2)/2)*AB111+(1-EXP(-LN(2)/2))/(LN(2)/2)*V112*Y112*VLOOKUP('Données projet'!$B$9,Paramètres!$A$1:$I$89,3,0)*0.475*44/12</f>
        <v>1.4167950194321646E-9</v>
      </c>
      <c r="AC112" s="24">
        <f t="shared" si="57"/>
        <v>23.256834863104295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3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97.812000000000168</v>
      </c>
      <c r="D113" s="12">
        <f t="shared" si="86"/>
        <v>26.440067470123306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959.1387664360409</v>
      </c>
      <c r="H113" s="70">
        <f t="shared" si="56"/>
        <v>473.0723508437984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0</v>
      </c>
      <c r="O113" s="14">
        <f>N113*VLOOKUP('Données projet'!$B$9,Paramètres!$A$1:$I$89,3,0)*VLOOKUP('Données projet'!$B$9,Paramètres!$A$1:$I$89,5,0)</f>
        <v>0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168.3568384507675</v>
      </c>
      <c r="T113" s="62">
        <f t="shared" si="88"/>
        <v>286.34130084594312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22.434099487251817</v>
      </c>
      <c r="AA113" s="23">
        <f>EXP(-LN(2)/25)*AA112+(1-EXP(-LN(2)/25))/(LN(2)/25)*Calculateur!V113*Calculateur!X113*VLOOKUP('Données projet'!$B$9,Paramètres!$A$1:$I$89,3,0)*0.475*44/12</f>
        <v>0.36378975661852386</v>
      </c>
      <c r="AB113" s="23">
        <f>EXP(-LN(2)/2)*AB112+(1-EXP(-LN(2)/2))/(LN(2)/2)*V113*Y113*VLOOKUP('Données projet'!$B$9,Paramètres!$A$1:$I$89,3,0)*0.475*44/12</f>
        <v>1.0018253657918099E-9</v>
      </c>
      <c r="AC113" s="24">
        <f t="shared" si="57"/>
        <v>22.797889244872167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3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98.701200000000171</v>
      </c>
      <c r="D114" s="12">
        <f t="shared" si="86"/>
        <v>26.65234132809799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967.64137165549471</v>
      </c>
      <c r="H114" s="70">
        <f t="shared" si="56"/>
        <v>474.99075114643767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0</v>
      </c>
      <c r="O114" s="14">
        <f>N114*VLOOKUP('Données projet'!$B$9,Paramètres!$A$1:$I$89,3,0)*VLOOKUP('Données projet'!$B$9,Paramètres!$A$1:$I$89,5,0)</f>
        <v>0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168.3568384507675</v>
      </c>
      <c r="T114" s="62">
        <f t="shared" si="88"/>
        <v>286.34130084594312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21.994180479756366</v>
      </c>
      <c r="AA114" s="23">
        <f>EXP(-LN(2)/25)*AA113+(1-EXP(-LN(2)/25))/(LN(2)/25)*Calculateur!V114*Calculateur!X114*VLOOKUP('Données projet'!$B$9,Paramètres!$A$1:$I$89,3,0)*0.475*44/12</f>
        <v>0.35384190659291848</v>
      </c>
      <c r="AB114" s="23">
        <f>EXP(-LN(2)/2)*AB113+(1-EXP(-LN(2)/2))/(LN(2)/2)*V114*Y114*VLOOKUP('Données projet'!$B$9,Paramètres!$A$1:$I$89,3,0)*0.475*44/12</f>
        <v>7.0839750971608228E-10</v>
      </c>
      <c r="AC114" s="24">
        <f t="shared" si="57"/>
        <v>22.348022387057682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3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99.590400000000173</v>
      </c>
      <c r="D115" s="12">
        <f t="shared" si="86"/>
        <v>26.864392698869374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976.14225942987014</v>
      </c>
      <c r="H115" s="70">
        <f t="shared" si="56"/>
        <v>476.90876395053112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0</v>
      </c>
      <c r="O115" s="14">
        <f>N115*VLOOKUP('Données projet'!$B$9,Paramètres!$A$1:$I$89,3,0)*VLOOKUP('Données projet'!$B$9,Paramètres!$A$1:$I$89,5,0)</f>
        <v>0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168.3568384507675</v>
      </c>
      <c r="T115" s="62">
        <f t="shared" si="88"/>
        <v>286.34130084594312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21.562888015673803</v>
      </c>
      <c r="AA115" s="23">
        <f>EXP(-LN(2)/25)*AA114+(1-EXP(-LN(2)/25))/(LN(2)/25)*Calculateur!V115*Calculateur!X115*VLOOKUP('Données projet'!$B$9,Paramètres!$A$1:$I$89,3,0)*0.475*44/12</f>
        <v>0.34416608104939794</v>
      </c>
      <c r="AB115" s="23">
        <f>EXP(-LN(2)/2)*AB114+(1-EXP(-LN(2)/2))/(LN(2)/2)*V115*Y115*VLOOKUP('Données projet'!$B$9,Paramètres!$A$1:$I$89,3,0)*0.475*44/12</f>
        <v>5.0091268289590496E-10</v>
      </c>
      <c r="AC115" s="24">
        <f t="shared" si="57"/>
        <v>21.907054097224112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3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100.47960000000018</v>
      </c>
      <c r="D116" s="12">
        <f t="shared" si="86"/>
        <v>27.076223799065254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984.64144686997872</v>
      </c>
      <c r="H116" s="70">
        <f t="shared" si="56"/>
        <v>478.82639311670562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0</v>
      </c>
      <c r="O116" s="14">
        <f>N116*VLOOKUP('Données projet'!$B$9,Paramètres!$A$1:$I$89,3,0)*VLOOKUP('Données projet'!$B$9,Paramètres!$A$1:$I$89,5,0)</f>
        <v>0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168.3568384507675</v>
      </c>
      <c r="T116" s="62">
        <f t="shared" si="88"/>
        <v>286.34130084594312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21.14005293374947</v>
      </c>
      <c r="AA116" s="23">
        <f>EXP(-LN(2)/25)*AA115+(1-EXP(-LN(2)/25))/(LN(2)/25)*Calculateur!V116*Calculateur!X116*VLOOKUP('Données projet'!$B$9,Paramètres!$A$1:$I$89,3,0)*0.475*44/12</f>
        <v>0.33475484146419454</v>
      </c>
      <c r="AB116" s="23">
        <f>EXP(-LN(2)/2)*AB115+(1-EXP(-LN(2)/2))/(LN(2)/2)*V116*Y116*VLOOKUP('Données projet'!$B$9,Paramètres!$A$1:$I$89,3,0)*0.475*44/12</f>
        <v>3.5419875485804114E-10</v>
      </c>
      <c r="AC116" s="24">
        <f t="shared" si="57"/>
        <v>21.474807775567861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3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101.36880000000018</v>
      </c>
      <c r="D117" s="12">
        <f t="shared" si="86"/>
        <v>27.287836803817498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993.13895076631172</v>
      </c>
      <c r="H117" s="70">
        <f t="shared" si="56"/>
        <v>480.74364243331581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0</v>
      </c>
      <c r="O117" s="14">
        <f>N117*VLOOKUP('Données projet'!$B$9,Paramètres!$A$1:$I$89,3,0)*VLOOKUP('Données projet'!$B$9,Paramètres!$A$1:$I$89,5,0)</f>
        <v>0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168.3568384507675</v>
      </c>
      <c r="T117" s="62">
        <f t="shared" si="88"/>
        <v>286.34130084594312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20.72550938987774</v>
      </c>
      <c r="AA117" s="23">
        <f>EXP(-LN(2)/25)*AA116+(1-EXP(-LN(2)/25))/(LN(2)/25)*Calculateur!V117*Calculateur!X117*VLOOKUP('Données projet'!$B$9,Paramètres!$A$1:$I$89,3,0)*0.475*44/12</f>
        <v>0.3256009527203641</v>
      </c>
      <c r="AB117" s="23">
        <f>EXP(-LN(2)/2)*AB116+(1-EXP(-LN(2)/2))/(LN(2)/2)*V117*Y117*VLOOKUP('Données projet'!$B$9,Paramètres!$A$1:$I$89,3,0)*0.475*44/12</f>
        <v>2.5045634144795248E-10</v>
      </c>
      <c r="AC117" s="24">
        <f t="shared" si="57"/>
        <v>21.05111034284856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3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102.25800000000018</v>
      </c>
      <c r="D118" s="12">
        <f t="shared" si="86"/>
        <v>27.499233847895908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1001.6347875977945</v>
      </c>
      <c r="H118" s="70">
        <f t="shared" si="56"/>
        <v>482.66051561841903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0</v>
      </c>
      <c r="O118" s="14">
        <f>N118*VLOOKUP('Données projet'!$B$9,Paramètres!$A$1:$I$89,3,0)*VLOOKUP('Données projet'!$B$9,Paramètres!$A$1:$I$89,5,0)</f>
        <v>0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168.3568384507675</v>
      </c>
      <c r="T118" s="62">
        <f t="shared" si="88"/>
        <v>286.34130084594312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20.319094792054738</v>
      </c>
      <c r="AA118" s="23">
        <f>EXP(-LN(2)/25)*AA117+(1-EXP(-LN(2)/25))/(LN(2)/25)*Calculateur!V118*Calculateur!X118*VLOOKUP('Données projet'!$B$9,Paramètres!$A$1:$I$89,3,0)*0.475*44/12</f>
        <v>0.31669737754561583</v>
      </c>
      <c r="AB118" s="23">
        <f>EXP(-LN(2)/2)*AB117+(1-EXP(-LN(2)/2))/(LN(2)/2)*V118*Y118*VLOOKUP('Données projet'!$B$9,Paramètres!$A$1:$I$89,3,0)*0.475*44/12</f>
        <v>1.7709937742902057E-10</v>
      </c>
      <c r="AC118" s="24">
        <f t="shared" si="57"/>
        <v>20.635792169777453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3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103.14720000000018</v>
      </c>
      <c r="D119" s="12">
        <f t="shared" si="86"/>
        <v>27.710417026801501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1010.1289735402235</v>
      </c>
      <c r="H119" s="70">
        <f t="shared" si="56"/>
        <v>484.57701632167959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0</v>
      </c>
      <c r="O119" s="14">
        <f>N119*VLOOKUP('Données projet'!$B$9,Paramètres!$A$1:$I$89,3,0)*VLOOKUP('Données projet'!$B$9,Paramètres!$A$1:$I$89,5,0)</f>
        <v>0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168.3568384507675</v>
      </c>
      <c r="T119" s="62">
        <f t="shared" si="88"/>
        <v>286.34130084594312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19.92064973660662</v>
      </c>
      <c r="AA119" s="23">
        <f>EXP(-LN(2)/25)*AA118+(1-EXP(-LN(2)/25))/(LN(2)/25)*Calculateur!V119*Calculateur!X119*VLOOKUP('Données projet'!$B$9,Paramètres!$A$1:$I$89,3,0)*0.475*44/12</f>
        <v>0.30803727110223972</v>
      </c>
      <c r="AB119" s="23">
        <f>EXP(-LN(2)/2)*AB118+(1-EXP(-LN(2)/2))/(LN(2)/2)*V119*Y119*VLOOKUP('Données projet'!$B$9,Paramètres!$A$1:$I$89,3,0)*0.475*44/12</f>
        <v>1.2522817072397624E-10</v>
      </c>
      <c r="AC119" s="24">
        <f t="shared" si="57"/>
        <v>20.22868700783409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3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104.03640000000019</v>
      </c>
      <c r="D120" s="12">
        <f t="shared" si="86"/>
        <v>27.921388397821048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1018.6215244744094</v>
      </c>
      <c r="H120" s="70">
        <f t="shared" si="56"/>
        <v>486.49314812620531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0</v>
      </c>
      <c r="O120" s="14">
        <f>N120*VLOOKUP('Données projet'!$B$9,Paramètres!$A$1:$I$89,3,0)*VLOOKUP('Données projet'!$B$9,Paramètres!$A$1:$I$89,5,0)</f>
        <v>0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168.3568384507675</v>
      </c>
      <c r="T120" s="62">
        <f t="shared" si="88"/>
        <v>286.34130084594312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19.530017945668352</v>
      </c>
      <c r="AA120" s="23">
        <f>EXP(-LN(2)/25)*AA119+(1-EXP(-LN(2)/25))/(LN(2)/25)*Calculateur!V120*Calculateur!X120*VLOOKUP('Données projet'!$B$9,Paramètres!$A$1:$I$89,3,0)*0.475*44/12</f>
        <v>0.29961397572497289</v>
      </c>
      <c r="AB120" s="23">
        <f>EXP(-LN(2)/2)*AB119+(1-EXP(-LN(2)/2))/(LN(2)/2)*V120*Y120*VLOOKUP('Données projet'!$B$9,Paramètres!$A$1:$I$89,3,0)*0.475*44/12</f>
        <v>8.8549688714510285E-11</v>
      </c>
      <c r="AC120" s="24">
        <f t="shared" si="57"/>
        <v>19.829631921481877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3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104.92560000000019</v>
      </c>
      <c r="D121" s="12">
        <f t="shared" si="86"/>
        <v>28.132149981044396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1027.1124559940286</v>
      </c>
      <c r="H121" s="70">
        <f t="shared" si="56"/>
        <v>488.40891455031931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0</v>
      </c>
      <c r="O121" s="14">
        <f>N121*VLOOKUP('Données projet'!$B$9,Paramètres!$A$1:$I$89,3,0)*VLOOKUP('Données projet'!$B$9,Paramètres!$A$1:$I$89,5,0)</f>
        <v>0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168.3568384507675</v>
      </c>
      <c r="T121" s="62">
        <f t="shared" si="88"/>
        <v>286.34130084594312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19.147046205888515</v>
      </c>
      <c r="AA121" s="23">
        <f>EXP(-LN(2)/25)*AA120+(1-EXP(-LN(2)/25))/(LN(2)/25)*Calculateur!V121*Calculateur!X121*VLOOKUP('Données projet'!$B$9,Paramètres!$A$1:$I$89,3,0)*0.475*44/12</f>
        <v>0.29142101580275931</v>
      </c>
      <c r="AB121" s="23">
        <f>EXP(-LN(2)/2)*AB120+(1-EXP(-LN(2)/2))/(LN(2)/2)*V121*Y121*VLOOKUP('Données projet'!$B$9,Paramètres!$A$1:$I$89,3,0)*0.475*44/12</f>
        <v>6.2614085361988121E-11</v>
      </c>
      <c r="AC121" s="24">
        <f t="shared" si="57"/>
        <v>19.438467221753886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3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105.81480000000019</v>
      </c>
      <c r="D122" s="12">
        <f t="shared" si="86"/>
        <v>28.342703760346538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1035.6017834132028</v>
      </c>
      <c r="H122" s="70">
        <f t="shared" si="56"/>
        <v>490.32431904927057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0</v>
      </c>
      <c r="O122" s="14">
        <f>N122*VLOOKUP('Données projet'!$B$9,Paramètres!$A$1:$I$89,3,0)*VLOOKUP('Données projet'!$B$9,Paramètres!$A$1:$I$89,5,0)</f>
        <v>0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168.3568384507675</v>
      </c>
      <c r="T122" s="62">
        <f t="shared" si="88"/>
        <v>286.34130084594312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18.771584308336067</v>
      </c>
      <c r="AA122" s="23">
        <f>EXP(-LN(2)/25)*AA121+(1-EXP(-LN(2)/25))/(LN(2)/25)*Calculateur!V122*Calculateur!X122*VLOOKUP('Données projet'!$B$9,Paramètres!$A$1:$I$89,3,0)*0.475*44/12</f>
        <v>0.28345209280046768</v>
      </c>
      <c r="AB122" s="23">
        <f>EXP(-LN(2)/2)*AB121+(1-EXP(-LN(2)/2))/(LN(2)/2)*V122*Y122*VLOOKUP('Données projet'!$B$9,Paramètres!$A$1:$I$89,3,0)*0.475*44/12</f>
        <v>4.4274844357255142E-11</v>
      </c>
      <c r="AC122" s="24">
        <f t="shared" si="57"/>
        <v>19.055036401180807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3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106.70400000000019</v>
      </c>
      <c r="D123" s="12">
        <f t="shared" si="86"/>
        <v>28.553051684335379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1044.0895217738187</v>
      </c>
      <c r="H123" s="70">
        <f t="shared" si="56"/>
        <v>492.23936501688451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0</v>
      </c>
      <c r="O123" s="14">
        <f>N123*VLOOKUP('Données projet'!$B$9,Paramètres!$A$1:$I$89,3,0)*VLOOKUP('Données projet'!$B$9,Paramètres!$A$1:$I$89,5,0)</f>
        <v>0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168.3568384507675</v>
      </c>
      <c r="T123" s="62">
        <f t="shared" si="88"/>
        <v>286.34130084594312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18.403484989585476</v>
      </c>
      <c r="AA123" s="23">
        <f>EXP(-LN(2)/25)*AA122+(1-EXP(-LN(2)/25))/(LN(2)/25)*Calculateur!V123*Calculateur!X123*VLOOKUP('Données projet'!$B$9,Paramètres!$A$1:$I$89,3,0)*0.475*44/12</f>
        <v>0.27570108041674118</v>
      </c>
      <c r="AB123" s="23">
        <f>EXP(-LN(2)/2)*AB122+(1-EXP(-LN(2)/2))/(LN(2)/2)*V123*Y123*VLOOKUP('Données projet'!$B$9,Paramètres!$A$1:$I$89,3,0)*0.475*44/12</f>
        <v>3.130704268099406E-11</v>
      </c>
      <c r="AC123" s="24">
        <f t="shared" si="57"/>
        <v>18.679186070033523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3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107.59320000000019</v>
      </c>
      <c r="D124" s="12">
        <f t="shared" si="86"/>
        <v>28.763195667267546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1052.5756858525931</v>
      </c>
      <c r="H124" s="70">
        <f t="shared" si="56"/>
        <v>494.15405578715797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0</v>
      </c>
      <c r="O124" s="14">
        <f>N124*VLOOKUP('Données projet'!$B$9,Paramètres!$A$1:$I$89,3,0)*VLOOKUP('Données projet'!$B$9,Paramètres!$A$1:$I$89,5,0)</f>
        <v>0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168.3568384507675</v>
      </c>
      <c r="T124" s="62">
        <f t="shared" si="88"/>
        <v>286.34130084594312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18.042603873957169</v>
      </c>
      <c r="AA124" s="23">
        <f>EXP(-LN(2)/25)*AA123+(1-EXP(-LN(2)/25))/(LN(2)/25)*Calculateur!V124*Calculateur!X124*VLOOKUP('Données projet'!$B$9,Paramètres!$A$1:$I$89,3,0)*0.475*44/12</f>
        <v>0.2681620198742557</v>
      </c>
      <c r="AB124" s="23">
        <f>EXP(-LN(2)/2)*AB123+(1-EXP(-LN(2)/2))/(LN(2)/2)*V124*Y124*VLOOKUP('Données projet'!$B$9,Paramètres!$A$1:$I$89,3,0)*0.475*44/12</f>
        <v>2.2137422178627571E-11</v>
      </c>
      <c r="AC124" s="24">
        <f t="shared" si="57"/>
        <v>18.310765893853564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3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108.4824000000002</v>
      </c>
      <c r="D125" s="12">
        <f t="shared" si="86"/>
        <v>28.973137589932421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1061.060290167901</v>
      </c>
      <c r="H125" s="70">
        <f t="shared" si="56"/>
        <v>496.06839463579934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0</v>
      </c>
      <c r="O125" s="14">
        <f>N125*VLOOKUP('Données projet'!$B$9,Paramètres!$A$1:$I$89,3,0)*VLOOKUP('Données projet'!$B$9,Paramètres!$A$1:$I$89,5,0)</f>
        <v>0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168.3568384507675</v>
      </c>
      <c r="T125" s="62">
        <f t="shared" si="88"/>
        <v>286.34130084594312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17.688799416890589</v>
      </c>
      <c r="AA125" s="23">
        <f>EXP(-LN(2)/25)*AA124+(1-EXP(-LN(2)/25))/(LN(2)/25)*Calculateur!V125*Calculateur!X125*VLOOKUP('Données projet'!$B$9,Paramètres!$A$1:$I$89,3,0)*0.475*44/12</f>
        <v>0.26082911533876646</v>
      </c>
      <c r="AB125" s="23">
        <f>EXP(-LN(2)/2)*AB124+(1-EXP(-LN(2)/2))/(LN(2)/2)*V125*Y125*VLOOKUP('Données projet'!$B$9,Paramètres!$A$1:$I$89,3,0)*0.475*44/12</f>
        <v>1.565352134049703E-11</v>
      </c>
      <c r="AC125" s="24">
        <f t="shared" si="57"/>
        <v>17.949628532245008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3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109.3716000000002</v>
      </c>
      <c r="D126" s="12">
        <f t="shared" si="86"/>
        <v>29.182879300506769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1069.5433489863697</v>
      </c>
      <c r="H126" s="70">
        <f t="shared" si="56"/>
        <v>497.98238478171629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0</v>
      </c>
      <c r="O126" s="14">
        <f>N126*VLOOKUP('Données projet'!$B$9,Paramètres!$A$1:$I$89,3,0)*VLOOKUP('Données projet'!$B$9,Paramètres!$A$1:$I$89,5,0)</f>
        <v>0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168.3568384507675</v>
      </c>
      <c r="T126" s="62">
        <f t="shared" si="88"/>
        <v>286.34130084594312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17.341932849427675</v>
      </c>
      <c r="AA126" s="23">
        <f>EXP(-LN(2)/25)*AA125+(1-EXP(-LN(2)/25))/(LN(2)/25)*Calculateur!V126*Calculateur!X126*VLOOKUP('Données projet'!$B$9,Paramètres!$A$1:$I$89,3,0)*0.475*44/12</f>
        <v>0.25369672946342087</v>
      </c>
      <c r="AB126" s="23">
        <f>EXP(-LN(2)/2)*AB125+(1-EXP(-LN(2)/2))/(LN(2)/2)*V126*Y126*VLOOKUP('Données projet'!$B$9,Paramètres!$A$1:$I$89,3,0)*0.475*44/12</f>
        <v>1.1068711089313786E-11</v>
      </c>
      <c r="AC126" s="24">
        <f t="shared" si="57"/>
        <v>17.595629578902166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3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110.2608000000002</v>
      </c>
      <c r="D127" s="12">
        <f t="shared" si="86"/>
        <v>29.392422615380852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1078.0248763292573</v>
      </c>
      <c r="H127" s="70">
        <f t="shared" si="56"/>
        <v>499.89602938845536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0</v>
      </c>
      <c r="O127" s="14">
        <f>N127*VLOOKUP('Données projet'!$B$9,Paramètres!$A$1:$I$89,3,0)*VLOOKUP('Données projet'!$B$9,Paramètres!$A$1:$I$89,5,0)</f>
        <v>0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168.3568384507675</v>
      </c>
      <c r="T127" s="62">
        <f t="shared" si="88"/>
        <v>286.34130084594312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17.001868123784991</v>
      </c>
      <c r="AA127" s="23">
        <f>EXP(-LN(2)/25)*AA126+(1-EXP(-LN(2)/25))/(LN(2)/25)*Calculateur!V127*Calculateur!X127*VLOOKUP('Données projet'!$B$9,Paramètres!$A$1:$I$89,3,0)*0.475*44/12</f>
        <v>0.24675937905491246</v>
      </c>
      <c r="AB127" s="23">
        <f>EXP(-LN(2)/2)*AB126+(1-EXP(-LN(2)/2))/(LN(2)/2)*V127*Y127*VLOOKUP('Données projet'!$B$9,Paramètres!$A$1:$I$89,3,0)*0.475*44/12</f>
        <v>7.8267606702485151E-12</v>
      </c>
      <c r="AC127" s="24">
        <f t="shared" si="57"/>
        <v>17.248627502847729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3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111.1500000000002</v>
      </c>
      <c r="D128" s="12">
        <f t="shared" si="86"/>
        <v>29.601769319956595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1086.5048859786139</v>
      </c>
      <c r="H128" s="70">
        <f t="shared" si="56"/>
        <v>501.80933156559138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0</v>
      </c>
      <c r="O128" s="14">
        <f>N128*VLOOKUP('Données projet'!$B$9,Paramètres!$A$1:$I$89,3,0)*VLOOKUP('Données projet'!$B$9,Paramètres!$A$1:$I$89,5,0)</f>
        <v>0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168.3568384507675</v>
      </c>
      <c r="T128" s="62">
        <f t="shared" si="88"/>
        <v>286.34130084594312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16.668471859993158</v>
      </c>
      <c r="AA128" s="23">
        <f>EXP(-LN(2)/25)*AA127+(1-EXP(-LN(2)/25))/(LN(2)/25)*Calculateur!V128*Calculateur!X128*VLOOKUP('Données projet'!$B$9,Paramètres!$A$1:$I$89,3,0)*0.475*44/12</f>
        <v>0.24001173085814412</v>
      </c>
      <c r="AB128" s="23">
        <f>EXP(-LN(2)/2)*AB127+(1-EXP(-LN(2)/2))/(LN(2)/2)*V128*Y128*VLOOKUP('Données projet'!$B$9,Paramètres!$A$1:$I$89,3,0)*0.475*44/12</f>
        <v>5.5343555446568928E-12</v>
      </c>
      <c r="AC128" s="24">
        <f t="shared" si="57"/>
        <v>16.908483590856836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3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112.03920000000021</v>
      </c>
      <c r="D129" s="12">
        <f t="shared" si="86"/>
        <v>29.810921169420254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1094.9833914832457</v>
      </c>
      <c r="H129" s="70">
        <f t="shared" si="56"/>
        <v>503.72229437007394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0</v>
      </c>
      <c r="O129" s="14">
        <f>N129*VLOOKUP('Données projet'!$B$9,Paramètres!$A$1:$I$89,3,0)*VLOOKUP('Données projet'!$B$9,Paramètres!$A$1:$I$89,5,0)</f>
        <v>0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168.3568384507675</v>
      </c>
      <c r="T129" s="62">
        <f t="shared" si="88"/>
        <v>286.34130084594312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16.341613293582643</v>
      </c>
      <c r="AA129" s="23">
        <f>EXP(-LN(2)/25)*AA128+(1-EXP(-LN(2)/25))/(LN(2)/25)*Calculateur!V129*Calculateur!X129*VLOOKUP('Données projet'!$B$9,Paramètres!$A$1:$I$89,3,0)*0.475*44/12</f>
        <v>0.23344859745615978</v>
      </c>
      <c r="AB129" s="23">
        <f>EXP(-LN(2)/2)*AB128+(1-EXP(-LN(2)/2))/(LN(2)/2)*V129*Y129*VLOOKUP('Données projet'!$B$9,Paramètres!$A$1:$I$89,3,0)*0.475*44/12</f>
        <v>3.9133803351242575E-12</v>
      </c>
      <c r="AC129" s="24">
        <f t="shared" si="57"/>
        <v>16.575061891042719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3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112.92840000000021</v>
      </c>
      <c r="D130" s="12">
        <f t="shared" si="86"/>
        <v>30.019879889489037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1103.4604061644784</v>
      </c>
      <c r="H130" s="70">
        <f t="shared" si="56"/>
        <v>505.63492080752712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0</v>
      </c>
      <c r="O130" s="14">
        <f>N130*VLOOKUP('Données projet'!$B$9,Paramètres!$A$1:$I$89,3,0)*VLOOKUP('Données projet'!$B$9,Paramètres!$A$1:$I$89,5,0)</f>
        <v>0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168.3568384507675</v>
      </c>
      <c r="T130" s="62">
        <f t="shared" si="88"/>
        <v>286.34130084594312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16.021164224295397</v>
      </c>
      <c r="AA130" s="23">
        <f>EXP(-LN(2)/25)*AA129+(1-EXP(-LN(2)/25))/(LN(2)/25)*Calculateur!V130*Calculateur!X130*VLOOKUP('Données projet'!$B$9,Paramètres!$A$1:$I$89,3,0)*0.475*44/12</f>
        <v>0.2270649332821929</v>
      </c>
      <c r="AB130" s="23">
        <f>EXP(-LN(2)/2)*AB129+(1-EXP(-LN(2)/2))/(LN(2)/2)*V130*Y130*VLOOKUP('Données projet'!$B$9,Paramètres!$A$1:$I$89,3,0)*0.475*44/12</f>
        <v>2.7671777723284464E-12</v>
      </c>
      <c r="AC130" s="24">
        <f t="shared" si="57"/>
        <v>16.248229157580358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3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113.81760000000021</v>
      </c>
      <c r="D131" s="12">
        <f t="shared" si="86"/>
        <v>30.228647177134249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1111.9359431217397</v>
      </c>
      <c r="H131" s="70">
        <f t="shared" si="56"/>
        <v>507.5472138335092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0</v>
      </c>
      <c r="O131" s="14">
        <f>N131*VLOOKUP('Données projet'!$B$9,Paramètres!$A$1:$I$89,3,0)*VLOOKUP('Données projet'!$B$9,Paramètres!$A$1:$I$89,5,0)</f>
        <v>0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168.3568384507675</v>
      </c>
      <c r="T131" s="62">
        <f t="shared" si="88"/>
        <v>286.34130084594312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15.706998965802242</v>
      </c>
      <c r="AA131" s="23">
        <f>EXP(-LN(2)/25)*AA130+(1-EXP(-LN(2)/25))/(LN(2)/25)*Calculateur!V131*Calculateur!X131*VLOOKUP('Données projet'!$B$9,Paramètres!$A$1:$I$89,3,0)*0.475*44/12</f>
        <v>0.22085583074076545</v>
      </c>
      <c r="AB131" s="23">
        <f>EXP(-LN(2)/2)*AB130+(1-EXP(-LN(2)/2))/(LN(2)/2)*V131*Y131*VLOOKUP('Données projet'!$B$9,Paramètres!$A$1:$I$89,3,0)*0.475*44/12</f>
        <v>1.9566901675621288E-12</v>
      </c>
      <c r="AC131" s="24">
        <f t="shared" si="57"/>
        <v>15.927854796544965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3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114.70680000000021</v>
      </c>
      <c r="D132" s="12">
        <f t="shared" si="86"/>
        <v>30.437224701280673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1120.4100152379581</v>
      </c>
      <c r="H132" s="70">
        <f t="shared" ref="H132:H195" si="110">(B132+E132+F132)*44/12+(C132+D132)*0.475*44/12</f>
        <v>509.45917635473086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0</v>
      </c>
      <c r="O132" s="14">
        <f>N132*VLOOKUP('Données projet'!$B$9,Paramètres!$A$1:$I$89,3,0)*VLOOKUP('Données projet'!$B$9,Paramètres!$A$1:$I$89,5,0)</f>
        <v>0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168.3568384507675</v>
      </c>
      <c r="T132" s="62">
        <f t="shared" si="88"/>
        <v>286.34130084594312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15.398994296406251</v>
      </c>
      <c r="AA132" s="23">
        <f>EXP(-LN(2)/25)*AA131+(1-EXP(-LN(2)/25))/(LN(2)/25)*Calculateur!V132*Calculateur!X132*VLOOKUP('Données projet'!$B$9,Paramètres!$A$1:$I$89,3,0)*0.475*44/12</f>
        <v>0.21481651643485586</v>
      </c>
      <c r="AB132" s="23">
        <f>EXP(-LN(2)/2)*AB131+(1-EXP(-LN(2)/2))/(LN(2)/2)*V132*Y132*VLOOKUP('Données projet'!$B$9,Paramètres!$A$1:$I$89,3,0)*0.475*44/12</f>
        <v>1.3835888861642232E-12</v>
      </c>
      <c r="AC132" s="24">
        <f t="shared" ref="AC132:AC153" si="111">SUM(Z132:AB132)</f>
        <v>15.613810812842491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3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115.59600000000022</v>
      </c>
      <c r="D133" s="12">
        <f t="shared" ref="D133:D196" si="140">IFERROR(EXP(-1.0587+0.8836*LN(C133)+0.284),0)</f>
        <v>30.645614103483904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1128.8826351847899</v>
      </c>
      <c r="H133" s="70">
        <f t="shared" si="110"/>
        <v>511.37081123023484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0</v>
      </c>
      <c r="O133" s="14">
        <f>N133*VLOOKUP('Données projet'!$B$9,Paramètres!$A$1:$I$89,3,0)*VLOOKUP('Données projet'!$B$9,Paramètres!$A$1:$I$89,5,0)</f>
        <v>0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168.3568384507675</v>
      </c>
      <c r="T133" s="62">
        <f t="shared" ref="T133:T196" si="142">$T$3</f>
        <v>286.34130084594312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15.097029410712816</v>
      </c>
      <c r="AA133" s="23">
        <f>EXP(-LN(2)/25)*AA132+(1-EXP(-LN(2)/25))/(LN(2)/25)*Calculateur!V133*Calculateur!X133*VLOOKUP('Données projet'!$B$9,Paramètres!$A$1:$I$89,3,0)*0.475*44/12</f>
        <v>0.20894234749623511</v>
      </c>
      <c r="AB133" s="23">
        <f>EXP(-LN(2)/2)*AB132+(1-EXP(-LN(2)/2))/(LN(2)/2)*V133*Y133*VLOOKUP('Données projet'!$B$9,Paramètres!$A$1:$I$89,3,0)*0.475*44/12</f>
        <v>9.7834508378106438E-13</v>
      </c>
      <c r="AC133" s="24">
        <f t="shared" si="111"/>
        <v>15.305971758210029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3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116.48520000000022</v>
      </c>
      <c r="D134" s="12">
        <f t="shared" si="140"/>
        <v>30.853816998586289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1137.3538154276855</v>
      </c>
      <c r="H134" s="70">
        <f t="shared" si="110"/>
        <v>513.28212127253823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0</v>
      </c>
      <c r="O134" s="14">
        <f>N134*VLOOKUP('Données projet'!$B$9,Paramètres!$A$1:$I$89,3,0)*VLOOKUP('Données projet'!$B$9,Paramètres!$A$1:$I$89,5,0)</f>
        <v>0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168.3568384507675</v>
      </c>
      <c r="T134" s="62">
        <f t="shared" si="142"/>
        <v>286.34130084594312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14.800985872247436</v>
      </c>
      <c r="AA134" s="23">
        <f>EXP(-LN(2)/25)*AA133+(1-EXP(-LN(2)/25))/(LN(2)/25)*Calculateur!V134*Calculateur!X134*VLOOKUP('Données projet'!$B$9,Paramètres!$A$1:$I$89,3,0)*0.475*44/12</f>
        <v>0.20322880801615004</v>
      </c>
      <c r="AB134" s="23">
        <f>EXP(-LN(2)/2)*AB133+(1-EXP(-LN(2)/2))/(LN(2)/2)*V134*Y134*VLOOKUP('Données projet'!$B$9,Paramètres!$A$1:$I$89,3,0)*0.475*44/12</f>
        <v>6.917944430821116E-13</v>
      </c>
      <c r="AC134" s="24">
        <f t="shared" si="111"/>
        <v>15.004214680264276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3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117.37440000000022</v>
      </c>
      <c r="D135" s="12">
        <f t="shared" si="140"/>
        <v>31.061834975351932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1145.8235682307889</v>
      </c>
      <c r="H135" s="70">
        <f t="shared" si="110"/>
        <v>515.19310924873832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0</v>
      </c>
      <c r="O135" s="14">
        <f>N135*VLOOKUP('Données projet'!$B$9,Paramètres!$A$1:$I$89,3,0)*VLOOKUP('Données projet'!$B$9,Paramètres!$A$1:$I$89,5,0)</f>
        <v>0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168.3568384507675</v>
      </c>
      <c r="T135" s="62">
        <f t="shared" si="142"/>
        <v>286.34130084594312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14.510747567002634</v>
      </c>
      <c r="AA135" s="23">
        <f>EXP(-LN(2)/25)*AA134+(1-EXP(-LN(2)/25))/(LN(2)/25)*Calculateur!V135*Calculateur!X135*VLOOKUP('Données projet'!$B$9,Paramètres!$A$1:$I$89,3,0)*0.475*44/12</f>
        <v>0.19767150557360988</v>
      </c>
      <c r="AB135" s="23">
        <f>EXP(-LN(2)/2)*AB134+(1-EXP(-LN(2)/2))/(LN(2)/2)*V135*Y135*VLOOKUP('Données projet'!$B$9,Paramètres!$A$1:$I$89,3,0)*0.475*44/12</f>
        <v>4.8917254189053219E-13</v>
      </c>
      <c r="AC135" s="24">
        <f t="shared" si="111"/>
        <v>14.708419072576731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3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118.26360000000022</v>
      </c>
      <c r="D136" s="12">
        <f t="shared" si="140"/>
        <v>31.26966959708238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1154.2919056616904</v>
      </c>
      <c r="H136" s="70">
        <f t="shared" si="110"/>
        <v>517.10377788158553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0</v>
      </c>
      <c r="O136" s="14">
        <f>N136*VLOOKUP('Données projet'!$B$9,Paramètres!$A$1:$I$89,3,0)*VLOOKUP('Données projet'!$B$9,Paramètres!$A$1:$I$89,5,0)</f>
        <v>0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168.3568384507675</v>
      </c>
      <c r="T136" s="62">
        <f t="shared" si="142"/>
        <v>286.34130084594312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14.226200657895795</v>
      </c>
      <c r="AA136" s="23">
        <f>EXP(-LN(2)/25)*AA135+(1-EXP(-LN(2)/25))/(LN(2)/25)*Calculateur!V136*Calculateur!X136*VLOOKUP('Données projet'!$B$9,Paramètres!$A$1:$I$89,3,0)*0.475*44/12</f>
        <v>0.19226616785860681</v>
      </c>
      <c r="AB136" s="23">
        <f>EXP(-LN(2)/2)*AB135+(1-EXP(-LN(2)/2))/(LN(2)/2)*V136*Y136*VLOOKUP('Données projet'!$B$9,Paramètres!$A$1:$I$89,3,0)*0.475*44/12</f>
        <v>3.458972215410558E-13</v>
      </c>
      <c r="AC136" s="24">
        <f t="shared" si="111"/>
        <v>14.418466825754749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3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119.15280000000023</v>
      </c>
      <c r="D137" s="12">
        <f t="shared" si="140"/>
        <v>31.477322402212781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1162.7588395960302</v>
      </c>
      <c r="H137" s="70">
        <f t="shared" si="110"/>
        <v>519.01412985052093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0</v>
      </c>
      <c r="O137" s="14">
        <f>N137*VLOOKUP('Données projet'!$B$9,Paramètres!$A$1:$I$89,3,0)*VLOOKUP('Données projet'!$B$9,Paramètres!$A$1:$I$89,5,0)</f>
        <v>0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168.3568384507675</v>
      </c>
      <c r="T137" s="62">
        <f t="shared" si="142"/>
        <v>286.34130084594312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13.947233540120065</v>
      </c>
      <c r="AA137" s="23">
        <f>EXP(-LN(2)/25)*AA136+(1-EXP(-LN(2)/25))/(LN(2)/25)*Calculateur!V137*Calculateur!X137*VLOOKUP('Données projet'!$B$9,Paramètres!$A$1:$I$89,3,0)*0.475*44/12</f>
        <v>0.18700863938767487</v>
      </c>
      <c r="AB137" s="23">
        <f>EXP(-LN(2)/2)*AB136+(1-EXP(-LN(2)/2))/(LN(2)/2)*V137*Y137*VLOOKUP('Données projet'!$B$9,Paramètres!$A$1:$I$89,3,0)*0.475*44/12</f>
        <v>2.445862709452661E-13</v>
      </c>
      <c r="AC137" s="24">
        <f t="shared" si="111"/>
        <v>14.134242179507986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3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120.04200000000023</v>
      </c>
      <c r="D138" s="12">
        <f t="shared" si="140"/>
        <v>31.68479490489014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1171.2243817219608</v>
      </c>
      <c r="H138" s="70">
        <f t="shared" si="110"/>
        <v>520.9241677926841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0</v>
      </c>
      <c r="O138" s="14">
        <f>N138*VLOOKUP('Données projet'!$B$9,Paramètres!$A$1:$I$89,3,0)*VLOOKUP('Données projet'!$B$9,Paramètres!$A$1:$I$89,5,0)</f>
        <v>0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168.3568384507675</v>
      </c>
      <c r="T138" s="62">
        <f t="shared" si="142"/>
        <v>286.34130084594312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13.673736797370776</v>
      </c>
      <c r="AA138" s="23">
        <f>EXP(-LN(2)/25)*AA137+(1-EXP(-LN(2)/25))/(LN(2)/25)*Calculateur!V138*Calculateur!X138*VLOOKUP('Données projet'!$B$9,Paramètres!$A$1:$I$89,3,0)*0.475*44/12</f>
        <v>0.18189487830926196</v>
      </c>
      <c r="AB138" s="23">
        <f>EXP(-LN(2)/2)*AB137+(1-EXP(-LN(2)/2))/(LN(2)/2)*V138*Y138*VLOOKUP('Données projet'!$B$9,Paramètres!$A$1:$I$89,3,0)*0.475*44/12</f>
        <v>1.729486107705279E-13</v>
      </c>
      <c r="AC138" s="24">
        <f t="shared" si="111"/>
        <v>13.855631675680209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3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120.93120000000023</v>
      </c>
      <c r="D139" s="12">
        <f t="shared" si="140"/>
        <v>31.892088595533707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1179.6885435444726</v>
      </c>
      <c r="H139" s="70">
        <f t="shared" si="110"/>
        <v>522.83389430388831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0</v>
      </c>
      <c r="O139" s="14">
        <f>N139*VLOOKUP('Données projet'!$B$9,Paramètres!$A$1:$I$89,3,0)*VLOOKUP('Données projet'!$B$9,Paramètres!$A$1:$I$89,5,0)</f>
        <v>0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168.3568384507675</v>
      </c>
      <c r="T139" s="62">
        <f t="shared" si="142"/>
        <v>286.34130084594312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13.405603158930258</v>
      </c>
      <c r="AA139" s="23">
        <f>EXP(-LN(2)/25)*AA138+(1-EXP(-LN(2)/25))/(LN(2)/25)*Calculateur!V139*Calculateur!X139*VLOOKUP('Données projet'!$B$9,Paramètres!$A$1:$I$89,3,0)*0.475*44/12</f>
        <v>0.17692095329645927</v>
      </c>
      <c r="AB139" s="23">
        <f>EXP(-LN(2)/2)*AB138+(1-EXP(-LN(2)/2))/(LN(2)/2)*V139*Y139*VLOOKUP('Données projet'!$B$9,Paramètres!$A$1:$I$89,3,0)*0.475*44/12</f>
        <v>1.2229313547263305E-13</v>
      </c>
      <c r="AC139" s="24">
        <f t="shared" si="111"/>
        <v>13.582524112226841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3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121.82040000000023</v>
      </c>
      <c r="D140" s="12">
        <f t="shared" si="140"/>
        <v>32.09920494137846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1188.1513363895899</v>
      </c>
      <c r="H140" s="70">
        <f t="shared" si="110"/>
        <v>524.74331193956789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0</v>
      </c>
      <c r="O140" s="14">
        <f>N140*VLOOKUP('Données projet'!$B$9,Paramètres!$A$1:$I$89,3,0)*VLOOKUP('Données projet'!$B$9,Paramètres!$A$1:$I$89,5,0)</f>
        <v>0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168.3568384507675</v>
      </c>
      <c r="T140" s="62">
        <f t="shared" si="142"/>
        <v>286.34130084594312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13.142727457594189</v>
      </c>
      <c r="AA140" s="23">
        <f>EXP(-LN(2)/25)*AA139+(1-EXP(-LN(2)/25))/(LN(2)/25)*Calculateur!V140*Calculateur!X140*VLOOKUP('Données projet'!$B$9,Paramètres!$A$1:$I$89,3,0)*0.475*44/12</f>
        <v>0.172083040524699</v>
      </c>
      <c r="AB140" s="23">
        <f>EXP(-LN(2)/2)*AB139+(1-EXP(-LN(2)/2))/(LN(2)/2)*V140*Y140*VLOOKUP('Données projet'!$B$9,Paramètres!$A$1:$I$89,3,0)*0.475*44/12</f>
        <v>8.647430538526395E-14</v>
      </c>
      <c r="AC140" s="24">
        <f t="shared" si="111"/>
        <v>13.314810498118975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3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122.70960000000024</v>
      </c>
      <c r="D141" s="12">
        <f t="shared" si="140"/>
        <v>32.306145387002346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1196.6127714084412</v>
      </c>
      <c r="H141" s="70">
        <f t="shared" si="110"/>
        <v>526.65242321569622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0</v>
      </c>
      <c r="O141" s="14">
        <f>N141*VLOOKUP('Données projet'!$B$9,Paramètres!$A$1:$I$89,3,0)*VLOOKUP('Données projet'!$B$9,Paramètres!$A$1:$I$89,5,0)</f>
        <v>0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168.3568384507675</v>
      </c>
      <c r="T141" s="62">
        <f t="shared" si="142"/>
        <v>286.34130084594312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12.885006588422975</v>
      </c>
      <c r="AA141" s="23">
        <f>EXP(-LN(2)/25)*AA140+(1-EXP(-LN(2)/25))/(LN(2)/25)*Calculateur!V141*Calculateur!X141*VLOOKUP('Données projet'!$B$9,Paramètres!$A$1:$I$89,3,0)*0.475*44/12</f>
        <v>0.1673774207320973</v>
      </c>
      <c r="AB141" s="23">
        <f>EXP(-LN(2)/2)*AB140+(1-EXP(-LN(2)/2))/(LN(2)/2)*V141*Y141*VLOOKUP('Données projet'!$B$9,Paramètres!$A$1:$I$89,3,0)*0.475*44/12</f>
        <v>6.1146567736316524E-14</v>
      </c>
      <c r="AC141" s="24">
        <f t="shared" si="111"/>
        <v>13.052384009155134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3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123.59880000000024</v>
      </c>
      <c r="D142" s="12">
        <f t="shared" si="140"/>
        <v>32.512911354837613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1205.0728595812045</v>
      </c>
      <c r="H142" s="70">
        <f t="shared" si="110"/>
        <v>528.56123060967593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0</v>
      </c>
      <c r="O142" s="14">
        <f>N142*VLOOKUP('Données projet'!$B$9,Paramètres!$A$1:$I$89,3,0)*VLOOKUP('Données projet'!$B$9,Paramètres!$A$1:$I$89,5,0)</f>
        <v>0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168.3568384507675</v>
      </c>
      <c r="T142" s="62">
        <f t="shared" si="142"/>
        <v>286.34130084594312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12.632339468302</v>
      </c>
      <c r="AA142" s="23">
        <f>EXP(-LN(2)/25)*AA141+(1-EXP(-LN(2)/25))/(LN(2)/25)*Calculateur!V142*Calculateur!X142*VLOOKUP('Données projet'!$B$9,Paramètres!$A$1:$I$89,3,0)*0.475*44/12</f>
        <v>0.16280047636018208</v>
      </c>
      <c r="AB142" s="23">
        <f>EXP(-LN(2)/2)*AB141+(1-EXP(-LN(2)/2))/(LN(2)/2)*V142*Y142*VLOOKUP('Données projet'!$B$9,Paramètres!$A$1:$I$89,3,0)*0.475*44/12</f>
        <v>4.3237152692631975E-14</v>
      </c>
      <c r="AC142" s="24">
        <f t="shared" si="111"/>
        <v>12.795139944662225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3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124.48800000000024</v>
      </c>
      <c r="D143" s="12">
        <f t="shared" si="140"/>
        <v>32.719504245667331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1213.5316117209427</v>
      </c>
      <c r="H143" s="70">
        <f t="shared" si="110"/>
        <v>530.4697365612044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0</v>
      </c>
      <c r="O143" s="14">
        <f>N143*VLOOKUP('Données projet'!$B$9,Paramètres!$A$1:$I$89,3,0)*VLOOKUP('Données projet'!$B$9,Paramètres!$A$1:$I$89,5,0)</f>
        <v>0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168.3568384507675</v>
      </c>
      <c r="T143" s="62">
        <f t="shared" si="142"/>
        <v>286.34130084594312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12.384626996294871</v>
      </c>
      <c r="AA143" s="23">
        <f>EXP(-LN(2)/25)*AA142+(1-EXP(-LN(2)/25))/(LN(2)/25)*Calculateur!V143*Calculateur!X143*VLOOKUP('Données projet'!$B$9,Paramètres!$A$1:$I$89,3,0)*0.475*44/12</f>
        <v>0.15834868877280794</v>
      </c>
      <c r="AB143" s="23">
        <f>EXP(-LN(2)/2)*AB142+(1-EXP(-LN(2)/2))/(LN(2)/2)*V143*Y143*VLOOKUP('Données projet'!$B$9,Paramètres!$A$1:$I$89,3,0)*0.475*44/12</f>
        <v>3.0573283868158262E-14</v>
      </c>
      <c r="AC143" s="24">
        <f t="shared" si="111"/>
        <v>12.542975685067709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3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125.37720000000024</v>
      </c>
      <c r="D144" s="12">
        <f t="shared" si="140"/>
        <v>32.925925439106905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1221.9890384773182</v>
      </c>
      <c r="H144" s="70">
        <f t="shared" si="110"/>
        <v>532.3779434731116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0</v>
      </c>
      <c r="O144" s="14">
        <f>N144*VLOOKUP('Données projet'!$B$9,Paramètres!$A$1:$I$89,3,0)*VLOOKUP('Données projet'!$B$9,Paramètres!$A$1:$I$89,5,0)</f>
        <v>0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168.3568384507675</v>
      </c>
      <c r="T144" s="62">
        <f t="shared" si="142"/>
        <v>286.34130084594312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12.141772014774114</v>
      </c>
      <c r="AA144" s="23">
        <f>EXP(-LN(2)/25)*AA143+(1-EXP(-LN(2)/25))/(LN(2)/25)*Calculateur!V144*Calculateur!X144*VLOOKUP('Données projet'!$B$9,Paramètres!$A$1:$I$89,3,0)*0.475*44/12</f>
        <v>0.15401863555111989</v>
      </c>
      <c r="AB144" s="23">
        <f>EXP(-LN(2)/2)*AB143+(1-EXP(-LN(2)/2))/(LN(2)/2)*V144*Y144*VLOOKUP('Données projet'!$B$9,Paramètres!$A$1:$I$89,3,0)*0.475*44/12</f>
        <v>2.1618576346315987E-14</v>
      </c>
      <c r="AC144" s="24">
        <f t="shared" si="111"/>
        <v>12.295790650325255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3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126.26640000000025</v>
      </c>
      <c r="D145" s="12">
        <f t="shared" si="140"/>
        <v>33.132176294071868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1230.4451503402058</v>
      </c>
      <c r="H145" s="70">
        <f t="shared" si="110"/>
        <v>534.28585371217559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0</v>
      </c>
      <c r="O145" s="14">
        <f>N145*VLOOKUP('Données projet'!$B$9,Paramètres!$A$1:$I$89,3,0)*VLOOKUP('Données projet'!$B$9,Paramètres!$A$1:$I$89,5,0)</f>
        <v>0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168.3568384507675</v>
      </c>
      <c r="T145" s="62">
        <f t="shared" si="142"/>
        <v>286.34130084594312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11.903679271314065</v>
      </c>
      <c r="AA145" s="23">
        <f>EXP(-LN(2)/25)*AA144+(1-EXP(-LN(2)/25))/(LN(2)/25)*Calculateur!V145*Calculateur!X145*VLOOKUP('Données projet'!$B$9,Paramètres!$A$1:$I$89,3,0)*0.475*44/12</f>
        <v>0.14980698786248647</v>
      </c>
      <c r="AB145" s="23">
        <f>EXP(-LN(2)/2)*AB144+(1-EXP(-LN(2)/2))/(LN(2)/2)*V145*Y145*VLOOKUP('Données projet'!$B$9,Paramètres!$A$1:$I$89,3,0)*0.475*44/12</f>
        <v>1.5286641934079131E-14</v>
      </c>
      <c r="AC145" s="24">
        <f t="shared" si="111"/>
        <v>12.053486259176568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3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127.15560000000025</v>
      </c>
      <c r="D146" s="12">
        <f t="shared" si="140"/>
        <v>33.33825814923194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1238.8999576431959</v>
      </c>
      <c r="H146" s="70">
        <f t="shared" si="110"/>
        <v>536.19346960991265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0</v>
      </c>
      <c r="O146" s="14">
        <f>N146*VLOOKUP('Données projet'!$B$9,Paramètres!$A$1:$I$89,3,0)*VLOOKUP('Données projet'!$B$9,Paramètres!$A$1:$I$89,5,0)</f>
        <v>0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168.3568384507675</v>
      </c>
      <c r="T146" s="62">
        <f t="shared" si="142"/>
        <v>286.34130084594312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11.670255381331033</v>
      </c>
      <c r="AA146" s="23">
        <f>EXP(-LN(2)/25)*AA145+(1-EXP(-LN(2)/25))/(LN(2)/25)*Calculateur!V146*Calculateur!X146*VLOOKUP('Données projet'!$B$9,Paramètres!$A$1:$I$89,3,0)*0.475*44/12</f>
        <v>0.14571050790137968</v>
      </c>
      <c r="AB146" s="23">
        <f>EXP(-LN(2)/2)*AB145+(1-EXP(-LN(2)/2))/(LN(2)/2)*V146*Y146*VLOOKUP('Données projet'!$B$9,Paramètres!$A$1:$I$89,3,0)*0.475*44/12</f>
        <v>1.0809288173157994E-14</v>
      </c>
      <c r="AC146" s="24">
        <f t="shared" si="111"/>
        <v>11.815965889232423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3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128.04480000000024</v>
      </c>
      <c r="D147" s="12">
        <f t="shared" si="140"/>
        <v>33.544172323452237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1247.3534705670015</v>
      </c>
      <c r="H147" s="70">
        <f t="shared" si="110"/>
        <v>538.10079346334646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0</v>
      </c>
      <c r="O147" s="14">
        <f>N147*VLOOKUP('Données projet'!$B$9,Paramètres!$A$1:$I$89,3,0)*VLOOKUP('Données projet'!$B$9,Paramètres!$A$1:$I$89,5,0)</f>
        <v>0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168.3568384507675</v>
      </c>
      <c r="T147" s="62">
        <f t="shared" si="142"/>
        <v>286.34130084594312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11.441408791456055</v>
      </c>
      <c r="AA147" s="23">
        <f>EXP(-LN(2)/25)*AA146+(1-EXP(-LN(2)/25))/(LN(2)/25)*Calculateur!V147*Calculateur!X147*VLOOKUP('Données projet'!$B$9,Paramètres!$A$1:$I$89,3,0)*0.475*44/12</f>
        <v>0.14172604640023387</v>
      </c>
      <c r="AB147" s="23">
        <f>EXP(-LN(2)/2)*AB146+(1-EXP(-LN(2)/2))/(LN(2)/2)*V147*Y147*VLOOKUP('Données projet'!$B$9,Paramètres!$A$1:$I$89,3,0)*0.475*44/12</f>
        <v>7.6433209670395655E-15</v>
      </c>
      <c r="AC147" s="24">
        <f t="shared" si="111"/>
        <v>11.583134837856296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3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128.93400000000022</v>
      </c>
      <c r="D148" s="12">
        <f t="shared" si="140"/>
        <v>33.749920116221446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1255.8056991427636</v>
      </c>
      <c r="H148" s="70">
        <f t="shared" si="110"/>
        <v>540.00782753575277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0</v>
      </c>
      <c r="O148" s="14">
        <f>N148*VLOOKUP('Données projet'!$B$9,Paramètres!$A$1:$I$89,3,0)*VLOOKUP('Données projet'!$B$9,Paramètres!$A$1:$I$89,5,0)</f>
        <v>0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168.3568384507675</v>
      </c>
      <c r="T148" s="62">
        <f t="shared" si="142"/>
        <v>286.34130084594312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11.217049743625889</v>
      </c>
      <c r="AA148" s="23">
        <f>EXP(-LN(2)/25)*AA147+(1-EXP(-LN(2)/25))/(LN(2)/25)*Calculateur!V148*Calculateur!X148*VLOOKUP('Données projet'!$B$9,Paramètres!$A$1:$I$89,3,0)*0.475*44/12</f>
        <v>0.13785054020837062</v>
      </c>
      <c r="AB148" s="23">
        <f>EXP(-LN(2)/2)*AB147+(1-EXP(-LN(2)/2))/(LN(2)/2)*V148*Y148*VLOOKUP('Données projet'!$B$9,Paramètres!$A$1:$I$89,3,0)*0.475*44/12</f>
        <v>5.4046440865789969E-15</v>
      </c>
      <c r="AC148" s="24">
        <f t="shared" si="111"/>
        <v>11.354900283834265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3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129.82320000000021</v>
      </c>
      <c r="D149" s="12">
        <f t="shared" si="140"/>
        <v>33.955502808068339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1264.256653255266</v>
      </c>
      <c r="H149" s="70">
        <f t="shared" si="110"/>
        <v>541.91457405738606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0</v>
      </c>
      <c r="O149" s="14">
        <f>N149*VLOOKUP('Données projet'!$B$9,Paramètres!$A$1:$I$89,3,0)*VLOOKUP('Données projet'!$B$9,Paramètres!$A$1:$I$89,5,0)</f>
        <v>0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168.3568384507675</v>
      </c>
      <c r="T149" s="62">
        <f t="shared" si="142"/>
        <v>286.34130084594312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10.997090239878165</v>
      </c>
      <c r="AA149" s="23">
        <f>EXP(-LN(2)/25)*AA148+(1-EXP(-LN(2)/25))/(LN(2)/25)*Calculateur!V149*Calculateur!X149*VLOOKUP('Données projet'!$B$9,Paramètres!$A$1:$I$89,3,0)*0.475*44/12</f>
        <v>0.13408100993712788</v>
      </c>
      <c r="AB149" s="23">
        <f>EXP(-LN(2)/2)*AB148+(1-EXP(-LN(2)/2))/(LN(2)/2)*V149*Y149*VLOOKUP('Données projet'!$B$9,Paramètres!$A$1:$I$89,3,0)*0.475*44/12</f>
        <v>3.8216604835197828E-15</v>
      </c>
      <c r="AC149" s="24">
        <f t="shared" si="111"/>
        <v>11.131171249815297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3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130.7124000000002</v>
      </c>
      <c r="D150" s="12">
        <f t="shared" si="140"/>
        <v>34.160921660966174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1272.7063426460566</v>
      </c>
      <c r="H150" s="70">
        <f t="shared" si="110"/>
        <v>543.82103522618308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0</v>
      </c>
      <c r="O150" s="14">
        <f>N150*VLOOKUP('Données projet'!$B$9,Paramètres!$A$1:$I$89,3,0)*VLOOKUP('Données projet'!$B$9,Paramètres!$A$1:$I$89,5,0)</f>
        <v>0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168.3568384507675</v>
      </c>
      <c r="T150" s="62">
        <f t="shared" si="142"/>
        <v>286.34130084594312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10.781444007836884</v>
      </c>
      <c r="AA150" s="23">
        <f>EXP(-LN(2)/25)*AA149+(1-EXP(-LN(2)/25))/(LN(2)/25)*Calculateur!V150*Calculateur!X150*VLOOKUP('Données projet'!$B$9,Paramètres!$A$1:$I$89,3,0)*0.475*44/12</f>
        <v>0.13041455766938326</v>
      </c>
      <c r="AB150" s="23">
        <f>EXP(-LN(2)/2)*AB149+(1-EXP(-LN(2)/2))/(LN(2)/2)*V150*Y150*VLOOKUP('Données projet'!$B$9,Paramètres!$A$1:$I$89,3,0)*0.475*44/12</f>
        <v>2.7023220432894984E-15</v>
      </c>
      <c r="AC150" s="24">
        <f t="shared" si="111"/>
        <v>10.91185856550627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3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131.60160000000019</v>
      </c>
      <c r="D151" s="12">
        <f t="shared" si="140"/>
        <v>34.366177918726152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1281.1547769164843</v>
      </c>
      <c r="H151" s="70">
        <f t="shared" si="110"/>
        <v>545.72721320844835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0</v>
      </c>
      <c r="O151" s="14">
        <f>N151*VLOOKUP('Données projet'!$B$9,Paramètres!$A$1:$I$89,3,0)*VLOOKUP('Données projet'!$B$9,Paramètres!$A$1:$I$89,5,0)</f>
        <v>0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168.3568384507675</v>
      </c>
      <c r="T151" s="62">
        <f t="shared" si="142"/>
        <v>286.34130084594312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10.570026466874719</v>
      </c>
      <c r="AA151" s="23">
        <f>EXP(-LN(2)/25)*AA150+(1-EXP(-LN(2)/25))/(LN(2)/25)*Calculateur!V151*Calculateur!X151*VLOOKUP('Données projet'!$B$9,Paramètres!$A$1:$I$89,3,0)*0.475*44/12</f>
        <v>0.12684836473171046</v>
      </c>
      <c r="AB151" s="23">
        <f>EXP(-LN(2)/2)*AB150+(1-EXP(-LN(2)/2))/(LN(2)/2)*V151*Y151*VLOOKUP('Données projet'!$B$9,Paramètres!$A$1:$I$89,3,0)*0.475*44/12</f>
        <v>1.9108302417598914E-15</v>
      </c>
      <c r="AC151" s="24">
        <f t="shared" si="111"/>
        <v>10.696874831606431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3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132.49080000000018</v>
      </c>
      <c r="D152" s="12">
        <f t="shared" si="140"/>
        <v>34.571272807379401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1289.6019655306493</v>
      </c>
      <c r="H152" s="70">
        <f t="shared" si="110"/>
        <v>547.63311013951943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0</v>
      </c>
      <c r="O152" s="14">
        <f>N152*VLOOKUP('Données projet'!$B$9,Paramètres!$A$1:$I$89,3,0)*VLOOKUP('Données projet'!$B$9,Paramètres!$A$1:$I$89,5,0)</f>
        <v>0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168.3568384507675</v>
      </c>
      <c r="T152" s="62">
        <f t="shared" si="142"/>
        <v>286.34130084594312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10.362754694938854</v>
      </c>
      <c r="AA152" s="23">
        <f>EXP(-LN(2)/25)*AA151+(1-EXP(-LN(2)/25))/(LN(2)/25)*Calculateur!V152*Calculateur!X152*VLOOKUP('Données projet'!$B$9,Paramètres!$A$1:$I$89,3,0)*0.475*44/12</f>
        <v>0.12337968952745626</v>
      </c>
      <c r="AB152" s="23">
        <f>EXP(-LN(2)/2)*AB151+(1-EXP(-LN(2)/2))/(LN(2)/2)*V152*Y152*VLOOKUP('Données projet'!$B$9,Paramètres!$A$1:$I$89,3,0)*0.475*44/12</f>
        <v>1.3511610216447492E-15</v>
      </c>
      <c r="AC152" s="24">
        <f t="shared" si="111"/>
        <v>10.486134384466311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3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133.38000000000017</v>
      </c>
      <c r="D153" s="12">
        <f t="shared" si="140"/>
        <v>34.776207535549027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1298.0479178182745</v>
      </c>
      <c r="H153" s="70">
        <f t="shared" si="110"/>
        <v>549.53872812441477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0</v>
      </c>
      <c r="O153" s="14">
        <f>N153*VLOOKUP('Données projet'!$B$9,Paramètres!$A$1:$I$89,3,0)*VLOOKUP('Données projet'!$B$9,Paramètres!$A$1:$I$89,5,0)</f>
        <v>0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168.3568384507675</v>
      </c>
      <c r="T153" s="62">
        <f t="shared" si="142"/>
        <v>286.34130084594312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10.159547396027353</v>
      </c>
      <c r="AA153" s="23">
        <f>EXP(-LN(2)/25)*AA152+(1-EXP(-LN(2)/25))/(LN(2)/25)*Calculateur!V153*Calculateur!X153*VLOOKUP('Données projet'!$B$9,Paramètres!$A$1:$I$89,3,0)*0.475*44/12</f>
        <v>0.12000586542907209</v>
      </c>
      <c r="AB153" s="23">
        <f>EXP(-LN(2)/2)*AB152+(1-EXP(-LN(2)/2))/(LN(2)/2)*V153*Y153*VLOOKUP('Données projet'!$B$9,Paramètres!$A$1:$I$89,3,0)*0.475*44/12</f>
        <v>9.5541512087994569E-16</v>
      </c>
      <c r="AC153" s="24">
        <f t="shared" si="111"/>
        <v>10.279553261456426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3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134.26920000000015</v>
      </c>
      <c r="D154" s="12">
        <f t="shared" si="140"/>
        <v>34.980983294811438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1306.492642977493</v>
      </c>
      <c r="H154" s="70">
        <f t="shared" si="110"/>
        <v>551.4440692384635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0</v>
      </c>
      <c r="O154" s="14">
        <f>N154*VLOOKUP('Données projet'!$B$9,Paramètres!$A$1:$I$89,3,0)*VLOOKUP('Données projet'!$B$9,Paramètres!$A$1:$I$89,5,0)</f>
        <v>0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168.3568384507675</v>
      </c>
      <c r="T154" s="62">
        <f t="shared" si="142"/>
        <v>286.34130084594312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9.9603248683032941</v>
      </c>
      <c r="AA154" s="23">
        <f>EXP(-LN(2)/25)*AA153+(1-EXP(-LN(2)/25))/(LN(2)/25)*Calculateur!V154*Calculateur!X154*VLOOKUP('Données projet'!$B$9,Paramètres!$A$1:$I$89,3,0)*0.475*44/12</f>
        <v>0.11672429872807992</v>
      </c>
      <c r="AB154" s="23">
        <f>EXP(-LN(2)/2)*AB153+(1-EXP(-LN(2)/2))/(LN(2)/2)*V154*Y154*VLOOKUP('Données projet'!$B$9,Paramètres!$A$1:$I$89,3,0)*0.475*44/12</f>
        <v>6.7558051082237461E-16</v>
      </c>
      <c r="AC154" s="24">
        <f t="shared" ref="AC154:AC203" si="163">SUM(Z154:AB154)</f>
        <v>10.077049167031374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3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135.15840000000014</v>
      </c>
      <c r="D155" s="12">
        <f t="shared" si="140"/>
        <v>35.185601260048031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1314.9361500775651</v>
      </c>
      <c r="H155" s="70">
        <f t="shared" si="110"/>
        <v>553.34913552791727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0</v>
      </c>
      <c r="O155" s="14">
        <f>N155*VLOOKUP('Données projet'!$B$9,Paramètres!$A$1:$I$89,3,0)*VLOOKUP('Données projet'!$B$9,Paramètres!$A$1:$I$89,5,0)</f>
        <v>0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168.3568384507675</v>
      </c>
      <c r="T155" s="62">
        <f t="shared" si="142"/>
        <v>286.34130084594312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9.7650089728341598</v>
      </c>
      <c r="AA155" s="23">
        <f>EXP(-LN(2)/25)*AA154+(1-EXP(-LN(2)/25))/(LN(2)/25)*Calculateur!V155*Calculateur!X155*VLOOKUP('Données projet'!$B$9,Paramètres!$A$1:$I$89,3,0)*0.475*44/12</f>
        <v>0.11353246664109648</v>
      </c>
      <c r="AB155" s="23">
        <f>EXP(-LN(2)/2)*AB154+(1-EXP(-LN(2)/2))/(LN(2)/2)*V155*Y155*VLOOKUP('Données projet'!$B$9,Paramètres!$A$1:$I$89,3,0)*0.475*44/12</f>
        <v>4.7770756043997284E-16</v>
      </c>
      <c r="AC155" s="24">
        <f t="shared" si="163"/>
        <v>9.8785414394752564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3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136.04760000000013</v>
      </c>
      <c r="D156" s="12">
        <f t="shared" si="140"/>
        <v>35.390062589787611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1323.3784480615195</v>
      </c>
      <c r="H156" s="70">
        <f t="shared" si="110"/>
        <v>555.25392901054693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0</v>
      </c>
      <c r="O156" s="14">
        <f>N156*VLOOKUP('Données projet'!$B$9,Paramètres!$A$1:$I$89,3,0)*VLOOKUP('Données projet'!$B$9,Paramètres!$A$1:$I$89,5,0)</f>
        <v>0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168.3568384507675</v>
      </c>
      <c r="T156" s="62">
        <f t="shared" si="142"/>
        <v>286.34130084594312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9.5735231029442431</v>
      </c>
      <c r="AA156" s="23">
        <f>EXP(-LN(2)/25)*AA155+(1-EXP(-LN(2)/25))/(LN(2)/25)*Calculateur!V156*Calculateur!X156*VLOOKUP('Données projet'!$B$9,Paramètres!$A$1:$I$89,3,0)*0.475*44/12</f>
        <v>0.11042791537038275</v>
      </c>
      <c r="AB156" s="23">
        <f>EXP(-LN(2)/2)*AB155+(1-EXP(-LN(2)/2))/(LN(2)/2)*V156*Y156*VLOOKUP('Données projet'!$B$9,Paramètres!$A$1:$I$89,3,0)*0.475*44/12</f>
        <v>3.377902554111873E-16</v>
      </c>
      <c r="AC156" s="24">
        <f t="shared" si="163"/>
        <v>9.6839510183146267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3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136.93680000000012</v>
      </c>
      <c r="D157" s="12">
        <f t="shared" si="140"/>
        <v>35.594368426539035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1331.8195457487234</v>
      </c>
      <c r="H157" s="70">
        <f t="shared" si="110"/>
        <v>557.1584516762224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0</v>
      </c>
      <c r="O157" s="14">
        <f>N157*VLOOKUP('Données projet'!$B$9,Paramètres!$A$1:$I$89,3,0)*VLOOKUP('Données projet'!$B$9,Paramètres!$A$1:$I$89,5,0)</f>
        <v>0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168.3568384507675</v>
      </c>
      <c r="T157" s="62">
        <f t="shared" si="142"/>
        <v>286.34130084594312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9.3857921541680192</v>
      </c>
      <c r="AA157" s="23">
        <f>EXP(-LN(2)/25)*AA156+(1-EXP(-LN(2)/25))/(LN(2)/25)*Calculateur!V157*Calculateur!X157*VLOOKUP('Données projet'!$B$9,Paramètres!$A$1:$I$89,3,0)*0.475*44/12</f>
        <v>0.10740825821742796</v>
      </c>
      <c r="AB157" s="23">
        <f>EXP(-LN(2)/2)*AB156+(1-EXP(-LN(2)/2))/(LN(2)/2)*V157*Y157*VLOOKUP('Données projet'!$B$9,Paramètres!$A$1:$I$89,3,0)*0.475*44/12</f>
        <v>2.3885378021998642E-16</v>
      </c>
      <c r="AC157" s="24">
        <f t="shared" si="163"/>
        <v>9.4932004123854465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3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137.82600000000011</v>
      </c>
      <c r="D158" s="12">
        <f t="shared" si="140"/>
        <v>35.798519897115533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1340.2594518373839</v>
      </c>
      <c r="H158" s="70">
        <f t="shared" si="110"/>
        <v>559.06270548747648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0</v>
      </c>
      <c r="O158" s="14">
        <f>N158*VLOOKUP('Données projet'!$B$9,Paramètres!$A$1:$I$89,3,0)*VLOOKUP('Données projet'!$B$9,Paramètres!$A$1:$I$89,5,0)</f>
        <v>0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168.3568384507675</v>
      </c>
      <c r="T158" s="62">
        <f t="shared" si="142"/>
        <v>286.34130084594312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9.2017424947927253</v>
      </c>
      <c r="AA158" s="23">
        <f>EXP(-LN(2)/25)*AA157+(1-EXP(-LN(2)/25))/(LN(2)/25)*Calculateur!V158*Calculateur!X158*VLOOKUP('Données projet'!$B$9,Paramètres!$A$1:$I$89,3,0)*0.475*44/12</f>
        <v>0.10447117374811757</v>
      </c>
      <c r="AB158" s="23">
        <f>EXP(-LN(2)/2)*AB157+(1-EXP(-LN(2)/2))/(LN(2)/2)*V158*Y158*VLOOKUP('Données projet'!$B$9,Paramètres!$A$1:$I$89,3,0)*0.475*44/12</f>
        <v>1.6889512770559365E-16</v>
      </c>
      <c r="AC158" s="24">
        <f t="shared" si="163"/>
        <v>9.3062136685408436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3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138.7152000000001</v>
      </c>
      <c r="D159" s="12">
        <f t="shared" si="140"/>
        <v>36.002518112950014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1348.6981749069832</v>
      </c>
      <c r="H159" s="70">
        <f t="shared" si="110"/>
        <v>560.96669238005484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0</v>
      </c>
      <c r="O159" s="14">
        <f>N159*VLOOKUP('Données projet'!$B$9,Paramètres!$A$1:$I$89,3,0)*VLOOKUP('Données projet'!$B$9,Paramètres!$A$1:$I$89,5,0)</f>
        <v>0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168.3568384507675</v>
      </c>
      <c r="T159" s="62">
        <f t="shared" si="142"/>
        <v>286.34130084594312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9.0213019369785723</v>
      </c>
      <c r="AA159" s="23">
        <f>EXP(-LN(2)/25)*AA158+(1-EXP(-LN(2)/25))/(LN(2)/25)*Calculateur!V159*Calculateur!X159*VLOOKUP('Données projet'!$B$9,Paramètres!$A$1:$I$89,3,0)*0.475*44/12</f>
        <v>0.10161440400807503</v>
      </c>
      <c r="AB159" s="23">
        <f>EXP(-LN(2)/2)*AB158+(1-EXP(-LN(2)/2))/(LN(2)/2)*V159*Y159*VLOOKUP('Données projet'!$B$9,Paramètres!$A$1:$I$89,3,0)*0.475*44/12</f>
        <v>1.1942689010999321E-16</v>
      </c>
      <c r="AC159" s="24">
        <f t="shared" si="163"/>
        <v>9.1229163409866469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3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139.60440000000008</v>
      </c>
      <c r="D160" s="12">
        <f t="shared" si="140"/>
        <v>36.206364170402217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1357.1357234206496</v>
      </c>
      <c r="H160" s="70">
        <f t="shared" si="110"/>
        <v>562.8704142634507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0</v>
      </c>
      <c r="O160" s="14">
        <f>N160*VLOOKUP('Données projet'!$B$9,Paramètres!$A$1:$I$89,3,0)*VLOOKUP('Données projet'!$B$9,Paramètres!$A$1:$I$89,5,0)</f>
        <v>0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168.3568384507675</v>
      </c>
      <c r="T160" s="62">
        <f t="shared" si="142"/>
        <v>286.34130084594312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8.8443997084452821</v>
      </c>
      <c r="AA160" s="23">
        <f>EXP(-LN(2)/25)*AA159+(1-EXP(-LN(2)/25))/(LN(2)/25)*Calculateur!V160*Calculateur!X160*VLOOKUP('Données projet'!$B$9,Paramètres!$A$1:$I$89,3,0)*0.475*44/12</f>
        <v>9.8835752786804953E-2</v>
      </c>
      <c r="AB160" s="23">
        <f>EXP(-LN(2)/2)*AB159+(1-EXP(-LN(2)/2))/(LN(2)/2)*V160*Y160*VLOOKUP('Données projet'!$B$9,Paramètres!$A$1:$I$89,3,0)*0.475*44/12</f>
        <v>8.4447563852796826E-17</v>
      </c>
      <c r="AC160" s="24">
        <f t="shared" si="163"/>
        <v>8.9432354612320868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3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140.49360000000007</v>
      </c>
      <c r="D161" s="12">
        <f t="shared" si="140"/>
        <v>36.410059151057943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1365.5721057274657</v>
      </c>
      <c r="H161" s="70">
        <f t="shared" si="110"/>
        <v>564.77387302142597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0</v>
      </c>
      <c r="O161" s="14">
        <f>N161*VLOOKUP('Données projet'!$B$9,Paramètres!$A$1:$I$89,3,0)*VLOOKUP('Données projet'!$B$9,Paramètres!$A$1:$I$89,5,0)</f>
        <v>0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168.3568384507675</v>
      </c>
      <c r="T161" s="62">
        <f t="shared" si="142"/>
        <v>286.34130084594312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8.6709664247138249</v>
      </c>
      <c r="AA161" s="23">
        <f>EXP(-LN(2)/25)*AA160+(1-EXP(-LN(2)/25))/(LN(2)/25)*Calculateur!V161*Calculateur!X161*VLOOKUP('Données projet'!$B$9,Paramètres!$A$1:$I$89,3,0)*0.475*44/12</f>
        <v>9.613308392930342E-2</v>
      </c>
      <c r="AB161" s="23">
        <f>EXP(-LN(2)/2)*AB160+(1-EXP(-LN(2)/2))/(LN(2)/2)*V161*Y161*VLOOKUP('Données projet'!$B$9,Paramètres!$A$1:$I$89,3,0)*0.475*44/12</f>
        <v>5.9713445054996605E-17</v>
      </c>
      <c r="AC161" s="24">
        <f t="shared" si="163"/>
        <v>8.7670995086431276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3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141.38280000000006</v>
      </c>
      <c r="D162" s="12">
        <f t="shared" si="140"/>
        <v>36.613604122020263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1374.0073300647182</v>
      </c>
      <c r="H162" s="70">
        <f t="shared" si="110"/>
        <v>566.67707051251875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0</v>
      </c>
      <c r="O162" s="14">
        <f>N162*VLOOKUP('Données projet'!$B$9,Paramètres!$A$1:$I$89,3,0)*VLOOKUP('Données projet'!$B$9,Paramètres!$A$1:$I$89,5,0)</f>
        <v>0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168.3568384507675</v>
      </c>
      <c r="T162" s="62">
        <f t="shared" si="142"/>
        <v>286.34130084594312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8.5009340618924831</v>
      </c>
      <c r="AA162" s="23">
        <f>EXP(-LN(2)/25)*AA161+(1-EXP(-LN(2)/25))/(LN(2)/25)*Calculateur!V162*Calculateur!X162*VLOOKUP('Données projet'!$B$9,Paramètres!$A$1:$I$89,3,0)*0.475*44/12</f>
        <v>9.3504319693837448E-2</v>
      </c>
      <c r="AB162" s="23">
        <f>EXP(-LN(2)/2)*AB161+(1-EXP(-LN(2)/2))/(LN(2)/2)*V162*Y162*VLOOKUP('Données projet'!$B$9,Paramètres!$A$1:$I$89,3,0)*0.475*44/12</f>
        <v>4.2223781926398413E-17</v>
      </c>
      <c r="AC162" s="24">
        <f t="shared" si="163"/>
        <v>8.5944383815863201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3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142.27200000000005</v>
      </c>
      <c r="D163" s="12">
        <f t="shared" si="140"/>
        <v>36.817000136193258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1382.4414045600888</v>
      </c>
      <c r="H163" s="70">
        <f t="shared" si="110"/>
        <v>568.58000857053662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0</v>
      </c>
      <c r="O163" s="14">
        <f>N163*VLOOKUP('Données projet'!$B$9,Paramètres!$A$1:$I$89,3,0)*VLOOKUP('Données projet'!$B$9,Paramètres!$A$1:$I$89,5,0)</f>
        <v>0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168.3568384507675</v>
      </c>
      <c r="T163" s="62">
        <f t="shared" si="142"/>
        <v>286.34130084594312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8.3342359299965665</v>
      </c>
      <c r="AA163" s="23">
        <f>EXP(-LN(2)/25)*AA162+(1-EXP(-LN(2)/25))/(LN(2)/25)*Calculateur!V163*Calculateur!X163*VLOOKUP('Données projet'!$B$9,Paramètres!$A$1:$I$89,3,0)*0.475*44/12</f>
        <v>9.0947439154630993E-2</v>
      </c>
      <c r="AB163" s="23">
        <f>EXP(-LN(2)/2)*AB162+(1-EXP(-LN(2)/2))/(LN(2)/2)*V163*Y163*VLOOKUP('Données projet'!$B$9,Paramètres!$A$1:$I$89,3,0)*0.475*44/12</f>
        <v>2.9856722527498303E-17</v>
      </c>
      <c r="AC163" s="24">
        <f t="shared" si="163"/>
        <v>8.4251833691511973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3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143.16120000000004</v>
      </c>
      <c r="D164" s="12">
        <f t="shared" si="140"/>
        <v>37.020248232558458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1390.8743372337849</v>
      </c>
      <c r="H164" s="70">
        <f t="shared" si="110"/>
        <v>570.48268900503945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0</v>
      </c>
      <c r="O164" s="14">
        <f>N164*VLOOKUP('Données projet'!$B$9,Paramètres!$A$1:$I$89,3,0)*VLOOKUP('Données projet'!$B$9,Paramètres!$A$1:$I$89,5,0)</f>
        <v>0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168.3568384507675</v>
      </c>
      <c r="T164" s="62">
        <f t="shared" si="142"/>
        <v>286.34130084594312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8.1708066467913092</v>
      </c>
      <c r="AA164" s="23">
        <f>EXP(-LN(2)/25)*AA163+(1-EXP(-LN(2)/25))/(LN(2)/25)*Calculateur!V164*Calculateur!X164*VLOOKUP('Données projet'!$B$9,Paramètres!$A$1:$I$89,3,0)*0.475*44/12</f>
        <v>8.8460476648229647E-2</v>
      </c>
      <c r="AB164" s="23">
        <f>EXP(-LN(2)/2)*AB163+(1-EXP(-LN(2)/2))/(LN(2)/2)*V164*Y164*VLOOKUP('Données projet'!$B$9,Paramètres!$A$1:$I$89,3,0)*0.475*44/12</f>
        <v>2.1111890963199206E-17</v>
      </c>
      <c r="AC164" s="24">
        <f t="shared" si="163"/>
        <v>8.2592671234395389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3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144.05040000000002</v>
      </c>
      <c r="D165" s="12">
        <f t="shared" si="140"/>
        <v>37.223349436444416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1399.3061360006238</v>
      </c>
      <c r="H165" s="70">
        <f t="shared" si="110"/>
        <v>572.38511360180746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0</v>
      </c>
      <c r="O165" s="14">
        <f>N165*VLOOKUP('Données projet'!$B$9,Paramètres!$A$1:$I$89,3,0)*VLOOKUP('Données projet'!$B$9,Paramètres!$A$1:$I$89,5,0)</f>
        <v>0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168.3568384507675</v>
      </c>
      <c r="T165" s="62">
        <f t="shared" si="142"/>
        <v>286.34130084594312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8.0105821121476861</v>
      </c>
      <c r="AA165" s="23">
        <f>EXP(-LN(2)/25)*AA164+(1-EXP(-LN(2)/25))/(LN(2)/25)*Calculateur!V165*Calculateur!X165*VLOOKUP('Données projet'!$B$9,Paramètres!$A$1:$I$89,3,0)*0.475*44/12</f>
        <v>8.6041520262349513E-2</v>
      </c>
      <c r="AB165" s="23">
        <f>EXP(-LN(2)/2)*AB164+(1-EXP(-LN(2)/2))/(LN(2)/2)*V165*Y165*VLOOKUP('Données projet'!$B$9,Paramètres!$A$1:$I$89,3,0)*0.475*44/12</f>
        <v>1.4928361263749151E-17</v>
      </c>
      <c r="AC165" s="24">
        <f t="shared" si="163"/>
        <v>8.0966236324100365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3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144.93960000000001</v>
      </c>
      <c r="D166" s="12">
        <f t="shared" si="140"/>
        <v>37.426304759789126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1407.7368086720564</v>
      </c>
      <c r="H166" s="70">
        <f t="shared" si="110"/>
        <v>574.28728412329951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0</v>
      </c>
      <c r="O166" s="14">
        <f>N166*VLOOKUP('Données projet'!$B$9,Paramètres!$A$1:$I$89,3,0)*VLOOKUP('Données projet'!$B$9,Paramètres!$A$1:$I$89,5,0)</f>
        <v>0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168.3568384507675</v>
      </c>
      <c r="T166" s="62">
        <f t="shared" si="142"/>
        <v>286.34130084594312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7.8534994829011087</v>
      </c>
      <c r="AA166" s="23">
        <f>EXP(-LN(2)/25)*AA165+(1-EXP(-LN(2)/25))/(LN(2)/25)*Calculateur!V166*Calculateur!X166*VLOOKUP('Données projet'!$B$9,Paramètres!$A$1:$I$89,3,0)*0.475*44/12</f>
        <v>8.3688710366048663E-2</v>
      </c>
      <c r="AB166" s="23">
        <f>EXP(-LN(2)/2)*AB165+(1-EXP(-LN(2)/2))/(LN(2)/2)*V166*Y166*VLOOKUP('Données projet'!$B$9,Paramètres!$A$1:$I$89,3,0)*0.475*44/12</f>
        <v>1.0555945481599603E-17</v>
      </c>
      <c r="AC166" s="24">
        <f t="shared" si="163"/>
        <v>7.9371881932671577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3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145.8288</v>
      </c>
      <c r="D167" s="12">
        <f t="shared" si="140"/>
        <v>37.629115201395898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1416.1663629581437</v>
      </c>
      <c r="H167" s="70">
        <f t="shared" si="110"/>
        <v>576.18920230909794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0</v>
      </c>
      <c r="O167" s="14">
        <f>N167*VLOOKUP('Données projet'!$B$9,Paramètres!$A$1:$I$89,3,0)*VLOOKUP('Données projet'!$B$9,Paramètres!$A$1:$I$89,5,0)</f>
        <v>0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168.3568384507675</v>
      </c>
      <c r="T167" s="62">
        <f t="shared" si="142"/>
        <v>286.34130084594312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7.6994971482031129</v>
      </c>
      <c r="AA167" s="23">
        <f>EXP(-LN(2)/25)*AA166+(1-EXP(-LN(2)/25))/(LN(2)/25)*Calculateur!V167*Calculateur!X167*VLOOKUP('Données projet'!$B$9,Paramètres!$A$1:$I$89,3,0)*0.475*44/12</f>
        <v>8.1400238180091053E-2</v>
      </c>
      <c r="AB167" s="23">
        <f>EXP(-LN(2)/2)*AB166+(1-EXP(-LN(2)/2))/(LN(2)/2)*V167*Y167*VLOOKUP('Données projet'!$B$9,Paramètres!$A$1:$I$89,3,0)*0.475*44/12</f>
        <v>7.4641806318745757E-18</v>
      </c>
      <c r="AC167" s="24">
        <f t="shared" si="163"/>
        <v>7.7808973863832041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3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146.71799999999999</v>
      </c>
      <c r="D168" s="12">
        <f t="shared" si="140"/>
        <v>37.831781747183037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1424.594806469483</v>
      </c>
      <c r="H168" s="70">
        <f t="shared" si="110"/>
        <v>578.09086987634385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0</v>
      </c>
      <c r="O168" s="14">
        <f>N168*VLOOKUP('Données projet'!$B$9,Paramètres!$A$1:$I$89,3,0)*VLOOKUP('Données projet'!$B$9,Paramètres!$A$1:$I$89,5,0)</f>
        <v>0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168.3568384507675</v>
      </c>
      <c r="T168" s="62">
        <f t="shared" si="142"/>
        <v>286.34130084594312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7.5485147053563963</v>
      </c>
      <c r="AA168" s="23">
        <f>EXP(-LN(2)/25)*AA167+(1-EXP(-LN(2)/25))/(LN(2)/25)*Calculateur!V168*Calculateur!X168*VLOOKUP('Données projet'!$B$9,Paramètres!$A$1:$I$89,3,0)*0.475*44/12</f>
        <v>7.9174344386403986E-2</v>
      </c>
      <c r="AB168" s="23">
        <f>EXP(-LN(2)/2)*AB167+(1-EXP(-LN(2)/2))/(LN(2)/2)*V168*Y168*VLOOKUP('Données projet'!$B$9,Paramètres!$A$1:$I$89,3,0)*0.475*44/12</f>
        <v>5.2779727407998016E-18</v>
      </c>
      <c r="AC168" s="24">
        <f t="shared" si="163"/>
        <v>7.6276890497428003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3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147.60719999999998</v>
      </c>
      <c r="D169" s="12">
        <f t="shared" si="140"/>
        <v>38.034305370426985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1433.0221467190852</v>
      </c>
      <c r="H169" s="70">
        <f t="shared" si="110"/>
        <v>579.99228852016029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0</v>
      </c>
      <c r="O169" s="14">
        <f>N169*VLOOKUP('Données projet'!$B$9,Paramètres!$A$1:$I$89,3,0)*VLOOKUP('Données projet'!$B$9,Paramètres!$A$1:$I$89,5,0)</f>
        <v>0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168.3568384507675</v>
      </c>
      <c r="T169" s="62">
        <f t="shared" si="142"/>
        <v>286.34130084594312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7.4004929361237064</v>
      </c>
      <c r="AA169" s="23">
        <f>EXP(-LN(2)/25)*AA168+(1-EXP(-LN(2)/25))/(LN(2)/25)*Calculateur!V169*Calculateur!X169*VLOOKUP('Données projet'!$B$9,Paramètres!$A$1:$I$89,3,0)*0.475*44/12</f>
        <v>7.7009317775559957E-2</v>
      </c>
      <c r="AB169" s="23">
        <f>EXP(-LN(2)/2)*AB168+(1-EXP(-LN(2)/2))/(LN(2)/2)*V169*Y169*VLOOKUP('Données projet'!$B$9,Paramètres!$A$1:$I$89,3,0)*0.475*44/12</f>
        <v>3.7320903159372878E-18</v>
      </c>
      <c r="AC169" s="24">
        <f t="shared" si="163"/>
        <v>7.4775022538992664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3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148.49639999999997</v>
      </c>
      <c r="D170" s="12">
        <f t="shared" si="140"/>
        <v>38.23668703199958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1441.4483911242071</v>
      </c>
      <c r="H170" s="70">
        <f t="shared" si="110"/>
        <v>581.89345991406594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0</v>
      </c>
      <c r="O170" s="14">
        <f>N170*VLOOKUP('Données projet'!$B$9,Paramètres!$A$1:$I$89,3,0)*VLOOKUP('Données projet'!$B$9,Paramètres!$A$1:$I$89,5,0)</f>
        <v>0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168.3568384507675</v>
      </c>
      <c r="T170" s="62">
        <f t="shared" si="142"/>
        <v>286.34130084594312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7.2553737835013052</v>
      </c>
      <c r="AA170" s="23">
        <f>EXP(-LN(2)/25)*AA169+(1-EXP(-LN(2)/25))/(LN(2)/25)*Calculateur!V170*Calculateur!X170*VLOOKUP('Données projet'!$B$9,Paramètres!$A$1:$I$89,3,0)*0.475*44/12</f>
        <v>7.4903493931243251E-2</v>
      </c>
      <c r="AB170" s="23">
        <f>EXP(-LN(2)/2)*AB169+(1-EXP(-LN(2)/2))/(LN(2)/2)*V170*Y170*VLOOKUP('Données projet'!$B$9,Paramètres!$A$1:$I$89,3,0)*0.475*44/12</f>
        <v>2.6389863703999008E-18</v>
      </c>
      <c r="AC170" s="24">
        <f t="shared" si="163"/>
        <v>7.3302772774325486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3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149.38559999999995</v>
      </c>
      <c r="D171" s="12">
        <f t="shared" si="140"/>
        <v>38.438927680599591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1449.8735470081367</v>
      </c>
      <c r="H171" s="70">
        <f t="shared" si="110"/>
        <v>583.79438571037758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0</v>
      </c>
      <c r="O171" s="14">
        <f>N171*VLOOKUP('Données projet'!$B$9,Paramètres!$A$1:$I$89,3,0)*VLOOKUP('Données projet'!$B$9,Paramètres!$A$1:$I$89,5,0)</f>
        <v>0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168.3568384507675</v>
      </c>
      <c r="T171" s="62">
        <f t="shared" si="142"/>
        <v>286.34130084594312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7.113100328947886</v>
      </c>
      <c r="AA171" s="23">
        <f>EXP(-LN(2)/25)*AA170+(1-EXP(-LN(2)/25))/(LN(2)/25)*Calculateur!V171*Calculateur!X171*VLOOKUP('Données projet'!$B$9,Paramètres!$A$1:$I$89,3,0)*0.475*44/12</f>
        <v>7.2855253950689855E-2</v>
      </c>
      <c r="AB171" s="23">
        <f>EXP(-LN(2)/2)*AB170+(1-EXP(-LN(2)/2))/(LN(2)/2)*V171*Y171*VLOOKUP('Données projet'!$B$9,Paramètres!$A$1:$I$89,3,0)*0.475*44/12</f>
        <v>1.8660451579686439E-18</v>
      </c>
      <c r="AC171" s="24">
        <f t="shared" si="163"/>
        <v>7.1859555828985755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3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150.27479999999994</v>
      </c>
      <c r="D172" s="12">
        <f t="shared" si="140"/>
        <v>38.641028252978323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1458.2976216019376</v>
      </c>
      <c r="H172" s="70">
        <f t="shared" si="110"/>
        <v>585.69506754060376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0</v>
      </c>
      <c r="O172" s="14">
        <f>N172*VLOOKUP('Données projet'!$B$9,Paramètres!$A$1:$I$89,3,0)*VLOOKUP('Données projet'!$B$9,Paramètres!$A$1:$I$89,5,0)</f>
        <v>0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168.3568384507675</v>
      </c>
      <c r="T172" s="62">
        <f t="shared" si="142"/>
        <v>286.34130084594312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6.9736167700600209</v>
      </c>
      <c r="AA172" s="23">
        <f>EXP(-LN(2)/25)*AA171+(1-EXP(-LN(2)/25))/(LN(2)/25)*Calculateur!V172*Calculateur!X172*VLOOKUP('Données projet'!$B$9,Paramètres!$A$1:$I$89,3,0)*0.475*44/12</f>
        <v>7.0863023200116948E-2</v>
      </c>
      <c r="AB172" s="23">
        <f>EXP(-LN(2)/2)*AB171+(1-EXP(-LN(2)/2))/(LN(2)/2)*V172*Y172*VLOOKUP('Données projet'!$B$9,Paramètres!$A$1:$I$89,3,0)*0.475*44/12</f>
        <v>1.3194931851999504E-18</v>
      </c>
      <c r="AC172" s="24">
        <f t="shared" si="163"/>
        <v>7.0444797932601375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3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151.16399999999993</v>
      </c>
      <c r="D173" s="12">
        <f t="shared" si="140"/>
        <v>38.842989674159945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1466.7206220461464</v>
      </c>
      <c r="H173" s="70">
        <f t="shared" si="110"/>
        <v>587.5955070158285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0</v>
      </c>
      <c r="O173" s="14">
        <f>N173*VLOOKUP('Données projet'!$B$9,Paramètres!$A$1:$I$89,3,0)*VLOOKUP('Données projet'!$B$9,Paramètres!$A$1:$I$89,5,0)</f>
        <v>0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168.3568384507675</v>
      </c>
      <c r="T173" s="62">
        <f t="shared" si="142"/>
        <v>286.34130084594312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6.8368683986853771</v>
      </c>
      <c r="AA173" s="23">
        <f>EXP(-LN(2)/25)*AA172+(1-EXP(-LN(2)/25))/(LN(2)/25)*Calculateur!V173*Calculateur!X173*VLOOKUP('Données projet'!$B$9,Paramètres!$A$1:$I$89,3,0)*0.475*44/12</f>
        <v>6.8925270104185324E-2</v>
      </c>
      <c r="AB173" s="23">
        <f>EXP(-LN(2)/2)*AB172+(1-EXP(-LN(2)/2))/(LN(2)/2)*V173*Y173*VLOOKUP('Données projet'!$B$9,Paramètres!$A$1:$I$89,3,0)*0.475*44/12</f>
        <v>9.3302257898432196E-19</v>
      </c>
      <c r="AC173" s="24">
        <f t="shared" si="163"/>
        <v>6.9057936687895625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3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152.05319999999992</v>
      </c>
      <c r="D174" s="12">
        <f t="shared" si="140"/>
        <v>39.044812857656339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1475.1425553924346</v>
      </c>
      <c r="H174" s="70">
        <f t="shared" si="110"/>
        <v>589.49570572708467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0</v>
      </c>
      <c r="O174" s="14">
        <f>N174*VLOOKUP('Données projet'!$B$9,Paramètres!$A$1:$I$89,3,0)*VLOOKUP('Données projet'!$B$9,Paramètres!$A$1:$I$89,5,0)</f>
        <v>0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168.3568384507675</v>
      </c>
      <c r="T174" s="62">
        <f t="shared" si="142"/>
        <v>286.34130084594312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6.7028015794651195</v>
      </c>
      <c r="AA174" s="23">
        <f>EXP(-LN(2)/25)*AA173+(1-EXP(-LN(2)/25))/(LN(2)/25)*Calculateur!V174*Calculateur!X174*VLOOKUP('Données projet'!$B$9,Paramètres!$A$1:$I$89,3,0)*0.475*44/12</f>
        <v>6.7040504968563952E-2</v>
      </c>
      <c r="AB174" s="23">
        <f>EXP(-LN(2)/2)*AB173+(1-EXP(-LN(2)/2))/(LN(2)/2)*V174*Y174*VLOOKUP('Données projet'!$B$9,Paramètres!$A$1:$I$89,3,0)*0.475*44/12</f>
        <v>6.597465925999752E-19</v>
      </c>
      <c r="AC174" s="24">
        <f t="shared" si="163"/>
        <v>6.7698420844336837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3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152.94239999999991</v>
      </c>
      <c r="D175" s="12">
        <f t="shared" si="140"/>
        <v>39.246498705676842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1483.5634286052243</v>
      </c>
      <c r="H175" s="70">
        <f t="shared" si="110"/>
        <v>591.39566524572035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0</v>
      </c>
      <c r="O175" s="14">
        <f>N175*VLOOKUP('Données projet'!$B$9,Paramètres!$A$1:$I$89,3,0)*VLOOKUP('Données projet'!$B$9,Paramètres!$A$1:$I$89,5,0)</f>
        <v>0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168.3568384507675</v>
      </c>
      <c r="T175" s="62">
        <f t="shared" si="142"/>
        <v>286.34130084594312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6.5713637287970856</v>
      </c>
      <c r="AA175" s="23">
        <f>EXP(-LN(2)/25)*AA174+(1-EXP(-LN(2)/25))/(LN(2)/25)*Calculateur!V175*Calculateur!X175*VLOOKUP('Données projet'!$B$9,Paramètres!$A$1:$I$89,3,0)*0.475*44/12</f>
        <v>6.5207278834691643E-2</v>
      </c>
      <c r="AB175" s="23">
        <f>EXP(-LN(2)/2)*AB174+(1-EXP(-LN(2)/2))/(LN(2)/2)*V175*Y175*VLOOKUP('Données projet'!$B$9,Paramètres!$A$1:$I$89,3,0)*0.475*44/12</f>
        <v>4.6651128949216098E-19</v>
      </c>
      <c r="AC175" s="24">
        <f t="shared" si="163"/>
        <v>6.636571007631777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3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153.8315999999999</v>
      </c>
      <c r="D176" s="12">
        <f t="shared" si="140"/>
        <v>39.448048109333072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1491.9832485632724</v>
      </c>
      <c r="H176" s="70">
        <f t="shared" si="110"/>
        <v>593.29538712375495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0</v>
      </c>
      <c r="O176" s="14">
        <f>N176*VLOOKUP('Données projet'!$B$9,Paramètres!$A$1:$I$89,3,0)*VLOOKUP('Données projet'!$B$9,Paramètres!$A$1:$I$89,5,0)</f>
        <v>0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168.3568384507675</v>
      </c>
      <c r="T176" s="62">
        <f t="shared" si="142"/>
        <v>286.34130084594312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6.4425032942114786</v>
      </c>
      <c r="AA176" s="23">
        <f>EXP(-LN(2)/25)*AA175+(1-EXP(-LN(2)/25))/(LN(2)/25)*Calculateur!V176*Calculateur!X176*VLOOKUP('Données projet'!$B$9,Paramètres!$A$1:$I$89,3,0)*0.475*44/12</f>
        <v>6.3424182365855244E-2</v>
      </c>
      <c r="AB176" s="23">
        <f>EXP(-LN(2)/2)*AB175+(1-EXP(-LN(2)/2))/(LN(2)/2)*V176*Y176*VLOOKUP('Données projet'!$B$9,Paramètres!$A$1:$I$89,3,0)*0.475*44/12</f>
        <v>3.298732962999876E-19</v>
      </c>
      <c r="AC176" s="24">
        <f t="shared" si="163"/>
        <v>6.5059274765773338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3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154.72079999999988</v>
      </c>
      <c r="D177" s="12">
        <f t="shared" si="140"/>
        <v>39.649461948838557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1500.4020220612092</v>
      </c>
      <c r="H177" s="70">
        <f t="shared" si="110"/>
        <v>595.19487289422705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0</v>
      </c>
      <c r="O177" s="14">
        <f>N177*VLOOKUP('Données projet'!$B$9,Paramètres!$A$1:$I$89,3,0)*VLOOKUP('Données projet'!$B$9,Paramètres!$A$1:$I$89,5,0)</f>
        <v>0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168.3568384507675</v>
      </c>
      <c r="T177" s="62">
        <f t="shared" si="142"/>
        <v>286.34130084594312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6.316169734150991</v>
      </c>
      <c r="AA177" s="23">
        <f>EXP(-LN(2)/25)*AA176+(1-EXP(-LN(2)/25))/(LN(2)/25)*Calculateur!V177*Calculateur!X177*VLOOKUP('Données projet'!$B$9,Paramètres!$A$1:$I$89,3,0)*0.475*44/12</f>
        <v>6.1689844763728137E-2</v>
      </c>
      <c r="AB177" s="23">
        <f>EXP(-LN(2)/2)*AB176+(1-EXP(-LN(2)/2))/(LN(2)/2)*V177*Y177*VLOOKUP('Données projet'!$B$9,Paramètres!$A$1:$I$89,3,0)*0.475*44/12</f>
        <v>2.3325564474608049E-19</v>
      </c>
      <c r="AC177" s="24">
        <f t="shared" si="163"/>
        <v>6.3778595789147188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3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155.60999999999987</v>
      </c>
      <c r="D178" s="12">
        <f t="shared" si="140"/>
        <v>39.850741093704151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1508.8197558110487</v>
      </c>
      <c r="H178" s="70">
        <f t="shared" si="110"/>
        <v>597.09412407153457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0</v>
      </c>
      <c r="O178" s="14">
        <f>N178*VLOOKUP('Données projet'!$B$9,Paramètres!$A$1:$I$89,3,0)*VLOOKUP('Données projet'!$B$9,Paramètres!$A$1:$I$89,5,0)</f>
        <v>0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168.3568384507675</v>
      </c>
      <c r="T178" s="62">
        <f t="shared" si="142"/>
        <v>286.34130084594312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6.1923134981474268</v>
      </c>
      <c r="AA178" s="23">
        <f>EXP(-LN(2)/25)*AA177+(1-EXP(-LN(2)/25))/(LN(2)/25)*Calculateur!V178*Calculateur!X178*VLOOKUP('Données projet'!$B$9,Paramètres!$A$1:$I$89,3,0)*0.475*44/12</f>
        <v>6.000293271453605E-2</v>
      </c>
      <c r="AB178" s="23">
        <f>EXP(-LN(2)/2)*AB177+(1-EXP(-LN(2)/2))/(LN(2)/2)*V178*Y178*VLOOKUP('Données projet'!$B$9,Paramètres!$A$1:$I$89,3,0)*0.475*44/12</f>
        <v>1.649366481499938E-19</v>
      </c>
      <c r="AC178" s="24">
        <f t="shared" si="163"/>
        <v>6.2523164308619625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3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156.49919999999986</v>
      </c>
      <c r="D179" s="12">
        <f t="shared" si="140"/>
        <v>40.051886402928353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1517.2364564436564</v>
      </c>
      <c r="H179" s="70">
        <f t="shared" si="110"/>
        <v>598.99314215176662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0</v>
      </c>
      <c r="O179" s="14">
        <f>N179*VLOOKUP('Données projet'!$B$9,Paramètres!$A$1:$I$89,3,0)*VLOOKUP('Données projet'!$B$9,Paramètres!$A$1:$I$89,5,0)</f>
        <v>0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168.3568384507675</v>
      </c>
      <c r="T179" s="62">
        <f t="shared" si="142"/>
        <v>286.34130084594312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6.0708860073870481</v>
      </c>
      <c r="AA179" s="23">
        <f>EXP(-LN(2)/25)*AA178+(1-EXP(-LN(2)/25))/(LN(2)/25)*Calculateur!V179*Calculateur!X179*VLOOKUP('Données projet'!$B$9,Paramètres!$A$1:$I$89,3,0)*0.475*44/12</f>
        <v>5.8362149364039967E-2</v>
      </c>
      <c r="AB179" s="23">
        <f>EXP(-LN(2)/2)*AB178+(1-EXP(-LN(2)/2))/(LN(2)/2)*V179*Y179*VLOOKUP('Données projet'!$B$9,Paramètres!$A$1:$I$89,3,0)*0.475*44/12</f>
        <v>1.1662782237304025E-19</v>
      </c>
      <c r="AC179" s="24">
        <f t="shared" si="163"/>
        <v>6.1292481567510881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3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157.38839999999985</v>
      </c>
      <c r="D180" s="12">
        <f t="shared" si="140"/>
        <v>40.252898725183421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1525.6521305101869</v>
      </c>
      <c r="H180" s="70">
        <f t="shared" si="110"/>
        <v>600.89192861302752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0</v>
      </c>
      <c r="O180" s="14">
        <f>N180*VLOOKUP('Données projet'!$B$9,Paramètres!$A$1:$I$89,3,0)*VLOOKUP('Données projet'!$B$9,Paramètres!$A$1:$I$89,5,0)</f>
        <v>0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168.3568384507675</v>
      </c>
      <c r="T180" s="62">
        <f t="shared" si="142"/>
        <v>286.34130084594312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5.9518396356570245</v>
      </c>
      <c r="AA180" s="23">
        <f>EXP(-LN(2)/25)*AA179+(1-EXP(-LN(2)/25))/(LN(2)/25)*Calculateur!V180*Calculateur!X180*VLOOKUP('Données projet'!$B$9,Paramètres!$A$1:$I$89,3,0)*0.475*44/12</f>
        <v>5.6766233320548247E-2</v>
      </c>
      <c r="AB180" s="23">
        <f>EXP(-LN(2)/2)*AB179+(1-EXP(-LN(2)/2))/(LN(2)/2)*V180*Y180*VLOOKUP('Données projet'!$B$9,Paramètres!$A$1:$I$89,3,0)*0.475*44/12</f>
        <v>8.24683240749969E-20</v>
      </c>
      <c r="AC180" s="24">
        <f t="shared" si="163"/>
        <v>6.0086058689775728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3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158.27759999999984</v>
      </c>
      <c r="D181" s="12">
        <f t="shared" si="140"/>
        <v>40.45377889899725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1534.0667844834863</v>
      </c>
      <c r="H181" s="70">
        <f t="shared" si="110"/>
        <v>602.79048491575327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0</v>
      </c>
      <c r="O181" s="14">
        <f>N181*VLOOKUP('Données projet'!$B$9,Paramètres!$A$1:$I$89,3,0)*VLOOKUP('Données projet'!$B$9,Paramètres!$A$1:$I$89,5,0)</f>
        <v>0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168.3568384507675</v>
      </c>
      <c r="T181" s="62">
        <f t="shared" si="142"/>
        <v>286.34130084594312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5.8351276906655096</v>
      </c>
      <c r="AA181" s="23">
        <f>EXP(-LN(2)/25)*AA180+(1-EXP(-LN(2)/25))/(LN(2)/25)*Calculateur!V181*Calculateur!X181*VLOOKUP('Données projet'!$B$9,Paramètres!$A$1:$I$89,3,0)*0.475*44/12</f>
        <v>5.5213957685191384E-2</v>
      </c>
      <c r="AB181" s="23">
        <f>EXP(-LN(2)/2)*AB180+(1-EXP(-LN(2)/2))/(LN(2)/2)*V181*Y181*VLOOKUP('Données projet'!$B$9,Paramètres!$A$1:$I$89,3,0)*0.475*44/12</f>
        <v>5.8313911186520123E-20</v>
      </c>
      <c r="AC181" s="24">
        <f t="shared" si="163"/>
        <v>5.8903416483507014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3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159.16679999999982</v>
      </c>
      <c r="D182" s="12">
        <f t="shared" si="140"/>
        <v>40.654527752930711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1542.4804247594639</v>
      </c>
      <c r="H182" s="70">
        <f t="shared" si="110"/>
        <v>604.6888125030207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0</v>
      </c>
      <c r="O182" s="14">
        <f>N182*VLOOKUP('Données projet'!$B$9,Paramètres!$A$1:$I$89,3,0)*VLOOKUP('Données projet'!$B$9,Paramètres!$A$1:$I$89,5,0)</f>
        <v>0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168.3568384507675</v>
      </c>
      <c r="T182" s="62">
        <f t="shared" si="142"/>
        <v>286.34130084594312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5.7207043957280206</v>
      </c>
      <c r="AA182" s="23">
        <f>EXP(-LN(2)/25)*AA181+(1-EXP(-LN(2)/25))/(LN(2)/25)*Calculateur!V182*Calculateur!X182*VLOOKUP('Données projet'!$B$9,Paramètres!$A$1:$I$89,3,0)*0.475*44/12</f>
        <v>5.3704129108713985E-2</v>
      </c>
      <c r="AB182" s="23">
        <f>EXP(-LN(2)/2)*AB181+(1-EXP(-LN(2)/2))/(LN(2)/2)*V182*Y182*VLOOKUP('Données projet'!$B$9,Paramètres!$A$1:$I$89,3,0)*0.475*44/12</f>
        <v>4.123416203749845E-20</v>
      </c>
      <c r="AC182" s="24">
        <f t="shared" si="163"/>
        <v>5.7744085248367343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3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160.05599999999981</v>
      </c>
      <c r="D183" s="12">
        <f t="shared" si="140"/>
        <v>40.855146105751388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1550.8930576584305</v>
      </c>
      <c r="H183" s="70">
        <f t="shared" si="110"/>
        <v>606.58691280085009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0</v>
      </c>
      <c r="O183" s="14">
        <f>N183*VLOOKUP('Données projet'!$B$9,Paramètres!$A$1:$I$89,3,0)*VLOOKUP('Données projet'!$B$9,Paramètres!$A$1:$I$89,5,0)</f>
        <v>0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168.3568384507675</v>
      </c>
      <c r="T183" s="62">
        <f t="shared" si="142"/>
        <v>286.34130084594312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5.6085248718129375</v>
      </c>
      <c r="AA183" s="23">
        <f>EXP(-LN(2)/25)*AA182+(1-EXP(-LN(2)/25))/(LN(2)/25)*Calculateur!V183*Calculateur!X183*VLOOKUP('Données projet'!$B$9,Paramètres!$A$1:$I$89,3,0)*0.475*44/12</f>
        <v>5.2235586874058791E-2</v>
      </c>
      <c r="AB183" s="23">
        <f>EXP(-LN(2)/2)*AB182+(1-EXP(-LN(2)/2))/(LN(2)/2)*V183*Y183*VLOOKUP('Données projet'!$B$9,Paramètres!$A$1:$I$89,3,0)*0.475*44/12</f>
        <v>2.9156955593260061E-20</v>
      </c>
      <c r="AC183" s="24">
        <f t="shared" si="163"/>
        <v>5.6607604586869966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3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160.9451999999998</v>
      </c>
      <c r="D184" s="12">
        <f t="shared" si="140"/>
        <v>41.055634766602871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1559.3046894264069</v>
      </c>
      <c r="H184" s="70">
        <f t="shared" si="110"/>
        <v>608.48478721849972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0</v>
      </c>
      <c r="O184" s="14">
        <f>N184*VLOOKUP('Données projet'!$B$9,Paramètres!$A$1:$I$89,3,0)*VLOOKUP('Données projet'!$B$9,Paramètres!$A$1:$I$89,5,0)</f>
        <v>0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168.3568384507675</v>
      </c>
      <c r="T184" s="62">
        <f t="shared" si="142"/>
        <v>286.34130084594312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5.4985451199390756</v>
      </c>
      <c r="AA184" s="23">
        <f>EXP(-LN(2)/25)*AA183+(1-EXP(-LN(2)/25))/(LN(2)/25)*Calculateur!V184*Calculateur!X184*VLOOKUP('Données projet'!$B$9,Paramètres!$A$1:$I$89,3,0)*0.475*44/12</f>
        <v>5.0807202004037523E-2</v>
      </c>
      <c r="AB184" s="23">
        <f>EXP(-LN(2)/2)*AB183+(1-EXP(-LN(2)/2))/(LN(2)/2)*V184*Y184*VLOOKUP('Données projet'!$B$9,Paramètres!$A$1:$I$89,3,0)*0.475*44/12</f>
        <v>2.0617081018749225E-20</v>
      </c>
      <c r="AC184" s="24">
        <f t="shared" si="163"/>
        <v>5.5493523219431129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3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161.83439999999979</v>
      </c>
      <c r="D185" s="12">
        <f t="shared" si="140"/>
        <v>41.255994535170444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1567.7153262364018</v>
      </c>
      <c r="H185" s="70">
        <f t="shared" si="110"/>
        <v>610.38243714875489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0</v>
      </c>
      <c r="O185" s="14">
        <f>N185*VLOOKUP('Données projet'!$B$9,Paramètres!$A$1:$I$89,3,0)*VLOOKUP('Données projet'!$B$9,Paramètres!$A$1:$I$89,5,0)</f>
        <v>0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168.3568384507675</v>
      </c>
      <c r="T185" s="62">
        <f t="shared" si="142"/>
        <v>286.34130084594312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5.3907220039184347</v>
      </c>
      <c r="AA185" s="23">
        <f>EXP(-LN(2)/25)*AA184+(1-EXP(-LN(2)/25))/(LN(2)/25)*Calculateur!V185*Calculateur!X185*VLOOKUP('Données projet'!$B$9,Paramètres!$A$1:$I$89,3,0)*0.475*44/12</f>
        <v>4.9417876393402484E-2</v>
      </c>
      <c r="AB185" s="23">
        <f>EXP(-LN(2)/2)*AB184+(1-EXP(-LN(2)/2))/(LN(2)/2)*V185*Y185*VLOOKUP('Données projet'!$B$9,Paramètres!$A$1:$I$89,3,0)*0.475*44/12</f>
        <v>1.4578477796630031E-20</v>
      </c>
      <c r="AC185" s="24">
        <f t="shared" si="163"/>
        <v>5.440139880311837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3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162.72359999999978</v>
      </c>
      <c r="D186" s="12">
        <f t="shared" si="140"/>
        <v>41.456226201843137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1576.1249741896645</v>
      </c>
      <c r="H186" s="70">
        <f t="shared" si="110"/>
        <v>612.27986396820972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0</v>
      </c>
      <c r="O186" s="14">
        <f>N186*VLOOKUP('Données projet'!$B$9,Paramètres!$A$1:$I$89,3,0)*VLOOKUP('Données projet'!$B$9,Paramètres!$A$1:$I$89,5,0)</f>
        <v>0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168.3568384507675</v>
      </c>
      <c r="T186" s="62">
        <f t="shared" si="142"/>
        <v>286.34130084594312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5.2850132334373523</v>
      </c>
      <c r="AA186" s="23">
        <f>EXP(-LN(2)/25)*AA185+(1-EXP(-LN(2)/25))/(LN(2)/25)*Calculateur!V186*Calculateur!X186*VLOOKUP('Données projet'!$B$9,Paramètres!$A$1:$I$89,3,0)*0.475*44/12</f>
        <v>4.8066541964651717E-2</v>
      </c>
      <c r="AB186" s="23">
        <f>EXP(-LN(2)/2)*AB185+(1-EXP(-LN(2)/2))/(LN(2)/2)*V186*Y186*VLOOKUP('Données projet'!$B$9,Paramètres!$A$1:$I$89,3,0)*0.475*44/12</f>
        <v>1.0308540509374613E-20</v>
      </c>
      <c r="AC186" s="24">
        <f t="shared" si="163"/>
        <v>5.3330797754020036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3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163.61279999999977</v>
      </c>
      <c r="D187" s="12">
        <f t="shared" si="140"/>
        <v>41.656330547871768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1584.533639316903</v>
      </c>
      <c r="H187" s="70">
        <f t="shared" si="110"/>
        <v>614.17706903754288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0</v>
      </c>
      <c r="O187" s="14">
        <f>N187*VLOOKUP('Données projet'!$B$9,Paramètres!$A$1:$I$89,3,0)*VLOOKUP('Données projet'!$B$9,Paramètres!$A$1:$I$89,5,0)</f>
        <v>0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168.3568384507675</v>
      </c>
      <c r="T187" s="62">
        <f t="shared" si="142"/>
        <v>286.34130084594312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5.1813773474694198</v>
      </c>
      <c r="AA187" s="23">
        <f>EXP(-LN(2)/25)*AA186+(1-EXP(-LN(2)/25))/(LN(2)/25)*Calculateur!V187*Calculateur!X187*VLOOKUP('Données projet'!$B$9,Paramètres!$A$1:$I$89,3,0)*0.475*44/12</f>
        <v>4.6752159846918731E-2</v>
      </c>
      <c r="AB187" s="23">
        <f>EXP(-LN(2)/2)*AB186+(1-EXP(-LN(2)/2))/(LN(2)/2)*V187*Y187*VLOOKUP('Données projet'!$B$9,Paramètres!$A$1:$I$89,3,0)*0.475*44/12</f>
        <v>7.2892388983150153E-21</v>
      </c>
      <c r="AC187" s="24">
        <f t="shared" si="163"/>
        <v>5.2281295073163383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3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164.50199999999975</v>
      </c>
      <c r="D188" s="12">
        <f t="shared" si="140"/>
        <v>41.856308345523843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1592.9413275794805</v>
      </c>
      <c r="H188" s="70">
        <f t="shared" si="110"/>
        <v>616.07405370178697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0</v>
      </c>
      <c r="O188" s="14">
        <f>N188*VLOOKUP('Données projet'!$B$9,Paramètres!$A$1:$I$89,3,0)*VLOOKUP('Données projet'!$B$9,Paramètres!$A$1:$I$89,5,0)</f>
        <v>0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168.3568384507675</v>
      </c>
      <c r="T188" s="62">
        <f t="shared" si="142"/>
        <v>286.34130084594312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5.0797736980136703</v>
      </c>
      <c r="AA188" s="23">
        <f>EXP(-LN(2)/25)*AA187+(1-EXP(-LN(2)/25))/(LN(2)/25)*Calculateur!V188*Calculateur!X188*VLOOKUP('Données projet'!$B$9,Paramètres!$A$1:$I$89,3,0)*0.475*44/12</f>
        <v>4.5473719577315504E-2</v>
      </c>
      <c r="AB188" s="23">
        <f>EXP(-LN(2)/2)*AB187+(1-EXP(-LN(2)/2))/(LN(2)/2)*V188*Y188*VLOOKUP('Données projet'!$B$9,Paramètres!$A$1:$I$89,3,0)*0.475*44/12</f>
        <v>5.1542702546873063E-21</v>
      </c>
      <c r="AC188" s="24">
        <f t="shared" si="163"/>
        <v>5.1252474175909857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3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165.39119999999974</v>
      </c>
      <c r="D189" s="12">
        <f t="shared" si="140"/>
        <v>42.056160358234798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1601.3480448705823</v>
      </c>
      <c r="H189" s="70">
        <f t="shared" si="110"/>
        <v>617.97081929059186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0</v>
      </c>
      <c r="O189" s="14">
        <f>N189*VLOOKUP('Données projet'!$B$9,Paramètres!$A$1:$I$89,3,0)*VLOOKUP('Données projet'!$B$9,Paramètres!$A$1:$I$89,5,0)</f>
        <v>0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168.3568384507675</v>
      </c>
      <c r="T189" s="62">
        <f t="shared" si="142"/>
        <v>286.34130084594312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4.9801624341516408</v>
      </c>
      <c r="AA189" s="23">
        <f>EXP(-LN(2)/25)*AA188+(1-EXP(-LN(2)/25))/(LN(2)/25)*Calculateur!V189*Calculateur!X189*VLOOKUP('Données projet'!$B$9,Paramètres!$A$1:$I$89,3,0)*0.475*44/12</f>
        <v>4.423023832411483E-2</v>
      </c>
      <c r="AB189" s="23">
        <f>EXP(-LN(2)/2)*AB188+(1-EXP(-LN(2)/2))/(LN(2)/2)*V189*Y189*VLOOKUP('Données projet'!$B$9,Paramètres!$A$1:$I$89,3,0)*0.475*44/12</f>
        <v>3.6446194491575077E-21</v>
      </c>
      <c r="AC189" s="24">
        <f t="shared" si="163"/>
        <v>5.0243926724757557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3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166.28039999999973</v>
      </c>
      <c r="D190" s="12">
        <f t="shared" si="140"/>
        <v>42.255887340755834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1609.7537970163587</v>
      </c>
      <c r="H190" s="70">
        <f t="shared" si="110"/>
        <v>619.86736711848266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0</v>
      </c>
      <c r="O190" s="14">
        <f>N190*VLOOKUP('Données projet'!$B$9,Paramètres!$A$1:$I$89,3,0)*VLOOKUP('Données projet'!$B$9,Paramètres!$A$1:$I$89,5,0)</f>
        <v>0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168.3568384507675</v>
      </c>
      <c r="T190" s="62">
        <f t="shared" si="142"/>
        <v>286.34130084594312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4.8825044864170737</v>
      </c>
      <c r="AA190" s="23">
        <f>EXP(-LN(2)/25)*AA189+(1-EXP(-LN(2)/25))/(LN(2)/25)*Calculateur!V190*Calculateur!X190*VLOOKUP('Données projet'!$B$9,Paramètres!$A$1:$I$89,3,0)*0.475*44/12</f>
        <v>4.3020760131174764E-2</v>
      </c>
      <c r="AB190" s="23">
        <f>EXP(-LN(2)/2)*AB189+(1-EXP(-LN(2)/2))/(LN(2)/2)*V190*Y190*VLOOKUP('Données projet'!$B$9,Paramètres!$A$1:$I$89,3,0)*0.475*44/12</f>
        <v>2.5771351273436531E-21</v>
      </c>
      <c r="AC190" s="24">
        <f t="shared" si="163"/>
        <v>4.9255252465482489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3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167.16959999999972</v>
      </c>
      <c r="D191" s="12">
        <f t="shared" si="140"/>
        <v>42.455490039298816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1618.1585897770412</v>
      </c>
      <c r="H191" s="70">
        <f t="shared" si="110"/>
        <v>621.7636984851116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0</v>
      </c>
      <c r="O191" s="14">
        <f>N191*VLOOKUP('Données projet'!$B$9,Paramètres!$A$1:$I$89,3,0)*VLOOKUP('Données projet'!$B$9,Paramètres!$A$1:$I$89,5,0)</f>
        <v>0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168.3568384507675</v>
      </c>
      <c r="T191" s="62">
        <f t="shared" si="142"/>
        <v>286.34130084594312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4.7867615514721154</v>
      </c>
      <c r="AA191" s="23">
        <f>EXP(-LN(2)/25)*AA190+(1-EXP(-LN(2)/25))/(LN(2)/25)*Calculateur!V191*Calculateur!X191*VLOOKUP('Données projet'!$B$9,Paramètres!$A$1:$I$89,3,0)*0.475*44/12</f>
        <v>4.1844355183024338E-2</v>
      </c>
      <c r="AB191" s="23">
        <f>EXP(-LN(2)/2)*AB190+(1-EXP(-LN(2)/2))/(LN(2)/2)*V191*Y191*VLOOKUP('Données projet'!$B$9,Paramètres!$A$1:$I$89,3,0)*0.475*44/12</f>
        <v>1.8223097245787538E-21</v>
      </c>
      <c r="AC191" s="24">
        <f t="shared" si="163"/>
        <v>4.8286059066551399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3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168.05879999999971</v>
      </c>
      <c r="D192" s="12">
        <f t="shared" si="140"/>
        <v>42.65496919167748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1626.5624288480346</v>
      </c>
      <c r="H192" s="70">
        <f t="shared" si="110"/>
        <v>623.65981467550444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0</v>
      </c>
      <c r="O192" s="14">
        <f>N192*VLOOKUP('Données projet'!$B$9,Paramètres!$A$1:$I$89,3,0)*VLOOKUP('Données projet'!$B$9,Paramètres!$A$1:$I$89,5,0)</f>
        <v>0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168.3568384507675</v>
      </c>
      <c r="T192" s="62">
        <f t="shared" si="142"/>
        <v>286.34130084594312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4.6928960770840034</v>
      </c>
      <c r="AA192" s="23">
        <f>EXP(-LN(2)/25)*AA191+(1-EXP(-LN(2)/25))/(LN(2)/25)*Calculateur!V192*Calculateur!X192*VLOOKUP('Données projet'!$B$9,Paramètres!$A$1:$I$89,3,0)*0.475*44/12</f>
        <v>4.0700119090045533E-2</v>
      </c>
      <c r="AB192" s="23">
        <f>EXP(-LN(2)/2)*AB191+(1-EXP(-LN(2)/2))/(LN(2)/2)*V192*Y192*VLOOKUP('Données projet'!$B$9,Paramètres!$A$1:$I$89,3,0)*0.475*44/12</f>
        <v>1.2885675636718266E-21</v>
      </c>
      <c r="AC192" s="24">
        <f t="shared" si="163"/>
        <v>4.7335961961740489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3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168.94799999999969</v>
      </c>
      <c r="D193" s="12">
        <f t="shared" si="140"/>
        <v>42.8543255274462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1634.965319860986</v>
      </c>
      <c r="H193" s="70">
        <f t="shared" si="110"/>
        <v>625.55571696030165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0</v>
      </c>
      <c r="O193" s="14">
        <f>N193*VLOOKUP('Données projet'!$B$9,Paramètres!$A$1:$I$89,3,0)*VLOOKUP('Données projet'!$B$9,Paramètres!$A$1:$I$89,5,0)</f>
        <v>0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168.3568384507675</v>
      </c>
      <c r="T193" s="62">
        <f t="shared" si="142"/>
        <v>286.34130084594312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4.6008712473963564</v>
      </c>
      <c r="AA193" s="23">
        <f>EXP(-LN(2)/25)*AA192+(1-EXP(-LN(2)/25))/(LN(2)/25)*Calculateur!V193*Calculateur!X193*VLOOKUP('Données projet'!$B$9,Paramètres!$A$1:$I$89,3,0)*0.475*44/12</f>
        <v>3.9587172193202E-2</v>
      </c>
      <c r="AB193" s="23">
        <f>EXP(-LN(2)/2)*AB192+(1-EXP(-LN(2)/2))/(LN(2)/2)*V193*Y193*VLOOKUP('Données projet'!$B$9,Paramètres!$A$1:$I$89,3,0)*0.475*44/12</f>
        <v>9.1115486228937691E-22</v>
      </c>
      <c r="AC193" s="24">
        <f t="shared" si="163"/>
        <v>4.6404584195895584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3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169.83719999999968</v>
      </c>
      <c r="D194" s="12">
        <f t="shared" si="140"/>
        <v>43.053559768035143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1643.3672683848301</v>
      </c>
      <c r="H194" s="70">
        <f t="shared" si="110"/>
        <v>627.45140659599406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0</v>
      </c>
      <c r="O194" s="14">
        <f>N194*VLOOKUP('Données projet'!$B$9,Paramètres!$A$1:$I$89,3,0)*VLOOKUP('Données projet'!$B$9,Paramètres!$A$1:$I$89,5,0)</f>
        <v>0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168.3568384507675</v>
      </c>
      <c r="T194" s="62">
        <f t="shared" si="142"/>
        <v>286.34130084594312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4.5106509684892799</v>
      </c>
      <c r="AA194" s="23">
        <f>EXP(-LN(2)/25)*AA193+(1-EXP(-LN(2)/25))/(LN(2)/25)*Calculateur!V194*Calculateur!X194*VLOOKUP('Données projet'!$B$9,Paramètres!$A$1:$I$89,3,0)*0.475*44/12</f>
        <v>3.8504658887779986E-2</v>
      </c>
      <c r="AB194" s="23">
        <f>EXP(-LN(2)/2)*AB193+(1-EXP(-LN(2)/2))/(LN(2)/2)*V194*Y194*VLOOKUP('Données projet'!$B$9,Paramètres!$A$1:$I$89,3,0)*0.475*44/12</f>
        <v>6.4428378183591328E-22</v>
      </c>
      <c r="AC194" s="24">
        <f t="shared" si="163"/>
        <v>4.5491556273770595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3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170.72639999999967</v>
      </c>
      <c r="D195" s="12">
        <f t="shared" si="140"/>
        <v>43.252672626882983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1651.7682799268139</v>
      </c>
      <c r="H195" s="70">
        <f t="shared" si="110"/>
        <v>629.34688482515401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0</v>
      </c>
      <c r="O195" s="14">
        <f>N195*VLOOKUP('Données projet'!$B$9,Paramètres!$A$1:$I$89,3,0)*VLOOKUP('Données projet'!$B$9,Paramètres!$A$1:$I$89,5,0)</f>
        <v>0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168.3568384507675</v>
      </c>
      <c r="T195" s="62">
        <f t="shared" si="142"/>
        <v>286.34130084594312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4.4221998542226348</v>
      </c>
      <c r="AA195" s="23">
        <f>EXP(-LN(2)/25)*AA194+(1-EXP(-LN(2)/25))/(LN(2)/25)*Calculateur!V195*Calculateur!X195*VLOOKUP('Données projet'!$B$9,Paramètres!$A$1:$I$89,3,0)*0.475*44/12</f>
        <v>3.7451746965621632E-2</v>
      </c>
      <c r="AB195" s="23">
        <f>EXP(-LN(2)/2)*AB194+(1-EXP(-LN(2)/2))/(LN(2)/2)*V195*Y195*VLOOKUP('Données projet'!$B$9,Paramètres!$A$1:$I$89,3,0)*0.475*44/12</f>
        <v>4.5557743114468846E-22</v>
      </c>
      <c r="AC195" s="24">
        <f t="shared" si="163"/>
        <v>4.4596516011882565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3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171.61559999999966</v>
      </c>
      <c r="D196" s="12">
        <f t="shared" si="140"/>
        <v>43.451664809566452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1660.1683599334929</v>
      </c>
      <c r="H196" s="70">
        <f t="shared" ref="H196:H203" si="192">(B196+E196+F196)*44/12+(C196+D196)*0.475*44/12</f>
        <v>631.24215287666095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0</v>
      </c>
      <c r="O196" s="14">
        <f>N196*VLOOKUP('Données projet'!$B$9,Paramètres!$A$1:$I$89,3,0)*VLOOKUP('Données projet'!$B$9,Paramètres!$A$1:$I$89,5,0)</f>
        <v>0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168.3568384507675</v>
      </c>
      <c r="T196" s="62">
        <f t="shared" si="142"/>
        <v>286.34130084594312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4.3354832123569063</v>
      </c>
      <c r="AA196" s="23">
        <f>EXP(-LN(2)/25)*AA195+(1-EXP(-LN(2)/25))/(LN(2)/25)*Calculateur!V196*Calculateur!X196*VLOOKUP('Données projet'!$B$9,Paramètres!$A$1:$I$89,3,0)*0.475*44/12</f>
        <v>3.6427626975344934E-2</v>
      </c>
      <c r="AB196" s="23">
        <f>EXP(-LN(2)/2)*AB195+(1-EXP(-LN(2)/2))/(LN(2)/2)*V196*Y196*VLOOKUP('Données projet'!$B$9,Paramètres!$A$1:$I$89,3,0)*0.475*44/12</f>
        <v>3.2214189091795664E-22</v>
      </c>
      <c r="AC196" s="24">
        <f t="shared" si="163"/>
        <v>4.3719108393322514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3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172.50479999999965</v>
      </c>
      <c r="D197" s="12">
        <f t="shared" ref="D197:D203" si="202">IFERROR(EXP(-1.0587+0.8836*LN(C197)+0.284),0)</f>
        <v>43.650537013927277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1668.5675137917167</v>
      </c>
      <c r="H197" s="70">
        <f t="shared" si="192"/>
        <v>633.13721196592269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0</v>
      </c>
      <c r="O197" s="14">
        <f>N197*VLOOKUP('Données projet'!$B$9,Paramètres!$A$1:$I$89,3,0)*VLOOKUP('Données projet'!$B$9,Paramètres!$A$1:$I$89,5,0)</f>
        <v>0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168.3568384507675</v>
      </c>
      <c r="T197" s="62">
        <f t="shared" ref="T197:T203" si="204">$T$3</f>
        <v>286.34130084594312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4.2504670309462353</v>
      </c>
      <c r="AA197" s="23">
        <f>EXP(-LN(2)/25)*AA196+(1-EXP(-LN(2)/25))/(LN(2)/25)*Calculateur!V197*Calculateur!X197*VLOOKUP('Données projet'!$B$9,Paramètres!$A$1:$I$89,3,0)*0.475*44/12</f>
        <v>3.5431511600058481E-2</v>
      </c>
      <c r="AB197" s="23">
        <f>EXP(-LN(2)/2)*AB196+(1-EXP(-LN(2)/2))/(LN(2)/2)*V197*Y197*VLOOKUP('Données projet'!$B$9,Paramètres!$A$1:$I$89,3,0)*0.475*44/12</f>
        <v>2.2778871557234423E-22</v>
      </c>
      <c r="AC197" s="24">
        <f t="shared" si="163"/>
        <v>4.2858985425462937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3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173.39399999999964</v>
      </c>
      <c r="D198" s="12">
        <f t="shared" si="202"/>
        <v>43.849289930196555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1676.9657468295848</v>
      </c>
      <c r="H198" s="70">
        <f t="shared" si="192"/>
        <v>635.0320632950918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0</v>
      </c>
      <c r="O198" s="14">
        <f>N198*VLOOKUP('Données projet'!$B$9,Paramètres!$A$1:$I$89,3,0)*VLOOKUP('Données projet'!$B$9,Paramètres!$A$1:$I$89,5,0)</f>
        <v>0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168.3568384507675</v>
      </c>
      <c r="T198" s="62">
        <f t="shared" si="204"/>
        <v>286.34130084594312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4.1671179649982779</v>
      </c>
      <c r="AA198" s="23">
        <f>EXP(-LN(2)/25)*AA197+(1-EXP(-LN(2)/25))/(LN(2)/25)*Calculateur!V198*Calculateur!X198*VLOOKUP('Données projet'!$B$9,Paramètres!$A$1:$I$89,3,0)*0.475*44/12</f>
        <v>3.4462635052092669E-2</v>
      </c>
      <c r="AB198" s="23">
        <f>EXP(-LN(2)/2)*AB197+(1-EXP(-LN(2)/2))/(LN(2)/2)*V198*Y198*VLOOKUP('Données projet'!$B$9,Paramètres!$A$1:$I$89,3,0)*0.475*44/12</f>
        <v>1.6107094545897832E-22</v>
      </c>
      <c r="AC198" s="24">
        <f t="shared" si="163"/>
        <v>4.2015806000503702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3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174.28319999999962</v>
      </c>
      <c r="D199" s="12">
        <f t="shared" si="202"/>
        <v>44.047924241116036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1685.3630643173844</v>
      </c>
      <c r="H199" s="70">
        <f t="shared" si="192"/>
        <v>636.92670805327657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0</v>
      </c>
      <c r="O199" s="14">
        <f>N199*VLOOKUP('Données projet'!$B$9,Paramètres!$A$1:$I$89,3,0)*VLOOKUP('Données projet'!$B$9,Paramètres!$A$1:$I$89,5,0)</f>
        <v>0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168.3568384507675</v>
      </c>
      <c r="T199" s="62">
        <f t="shared" si="204"/>
        <v>286.34130084594312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4.0854033233956493</v>
      </c>
      <c r="AA199" s="23">
        <f>EXP(-LN(2)/25)*AA198+(1-EXP(-LN(2)/25))/(LN(2)/25)*Calculateur!V199*Calculateur!X199*VLOOKUP('Données projet'!$B$9,Paramètres!$A$1:$I$89,3,0)*0.475*44/12</f>
        <v>3.3520252484281983E-2</v>
      </c>
      <c r="AB199" s="23">
        <f>EXP(-LN(2)/2)*AB198+(1-EXP(-LN(2)/2))/(LN(2)/2)*V199*Y199*VLOOKUP('Données projet'!$B$9,Paramètres!$A$1:$I$89,3,0)*0.475*44/12</f>
        <v>1.1389435778617211E-22</v>
      </c>
      <c r="AC199" s="24">
        <f t="shared" si="163"/>
        <v>4.118923575879931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3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175.17239999999961</v>
      </c>
      <c r="D200" s="12">
        <f t="shared" si="202"/>
        <v>44.246440622057428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1693.7594714685104</v>
      </c>
      <c r="H200" s="70">
        <f t="shared" si="192"/>
        <v>638.82114741674945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0</v>
      </c>
      <c r="O200" s="14">
        <f>N200*VLOOKUP('Données projet'!$B$9,Paramètres!$A$1:$I$89,3,0)*VLOOKUP('Données projet'!$B$9,Paramètres!$A$1:$I$89,5,0)</f>
        <v>0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168.3568384507675</v>
      </c>
      <c r="T200" s="62">
        <f t="shared" si="204"/>
        <v>286.34130084594312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4.0052910560738377</v>
      </c>
      <c r="AA200" s="23">
        <f>EXP(-LN(2)/25)*AA199+(1-EXP(-LN(2)/25))/(LN(2)/25)*Calculateur!V200*Calculateur!X200*VLOOKUP('Données projet'!$B$9,Paramètres!$A$1:$I$89,3,0)*0.475*44/12</f>
        <v>3.2603639417345828E-2</v>
      </c>
      <c r="AB200" s="23">
        <f>EXP(-LN(2)/2)*AB199+(1-EXP(-LN(2)/2))/(LN(2)/2)*V200*Y200*VLOOKUP('Données projet'!$B$9,Paramètres!$A$1:$I$89,3,0)*0.475*44/12</f>
        <v>8.053547272948916E-23</v>
      </c>
      <c r="AC200" s="24">
        <f t="shared" si="163"/>
        <v>4.0378946954911834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3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176.0615999999996</v>
      </c>
      <c r="D201" s="12">
        <f t="shared" si="202"/>
        <v>44.44483974113885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1702.154973440367</v>
      </c>
      <c r="H201" s="70">
        <f t="shared" si="192"/>
        <v>640.71538254914947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0</v>
      </c>
      <c r="O201" s="14">
        <f>N201*VLOOKUP('Données projet'!$B$9,Paramètres!$A$1:$I$89,3,0)*VLOOKUP('Données projet'!$B$9,Paramètres!$A$1:$I$89,5,0)</f>
        <v>0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168.3568384507675</v>
      </c>
      <c r="T201" s="62">
        <f t="shared" si="204"/>
        <v>286.34130084594312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3.926749741450549</v>
      </c>
      <c r="AA201" s="23">
        <f>EXP(-LN(2)/25)*AA200+(1-EXP(-LN(2)/25))/(LN(2)/25)*Calculateur!V201*Calculateur!X201*VLOOKUP('Données projet'!$B$9,Paramètres!$A$1:$I$89,3,0)*0.475*44/12</f>
        <v>3.1712091182927629E-2</v>
      </c>
      <c r="AB201" s="23">
        <f>EXP(-LN(2)/2)*AB200+(1-EXP(-LN(2)/2))/(LN(2)/2)*V201*Y201*VLOOKUP('Données projet'!$B$9,Paramètres!$A$1:$I$89,3,0)*0.475*44/12</f>
        <v>5.6947178893086057E-23</v>
      </c>
      <c r="AC201" s="24">
        <f t="shared" si="163"/>
        <v>3.9584618326334766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3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176.95079999999959</v>
      </c>
      <c r="D202" s="12">
        <f t="shared" si="202"/>
        <v>44.643122259339037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1710.5495753352454</v>
      </c>
      <c r="H202" s="70">
        <f t="shared" si="192"/>
        <v>642.60941460168146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0</v>
      </c>
      <c r="O202" s="14">
        <f>N202*VLOOKUP('Données projet'!$B$9,Paramètres!$A$1:$I$89,3,0)*VLOOKUP('Données projet'!$B$9,Paramètres!$A$1:$I$89,5,0)</f>
        <v>0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168.3568384507675</v>
      </c>
      <c r="T202" s="62">
        <f t="shared" si="204"/>
        <v>286.34130084594312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3.8497485741015516</v>
      </c>
      <c r="AA202" s="23">
        <f>EXP(-LN(2)/25)*AA201+(1-EXP(-LN(2)/25))/(LN(2)/25)*Calculateur!V202*Calculateur!X202*VLOOKUP('Données projet'!$B$9,Paramètres!$A$1:$I$89,3,0)*0.475*44/12</f>
        <v>3.0844922381864075E-2</v>
      </c>
      <c r="AB202" s="23">
        <f>EXP(-LN(2)/2)*AB201+(1-EXP(-LN(2)/2))/(LN(2)/2)*V202*Y202*VLOOKUP('Données projet'!$B$9,Paramètres!$A$1:$I$89,3,0)*0.475*44/12</f>
        <v>4.026773636474458E-23</v>
      </c>
      <c r="AC202" s="24">
        <f t="shared" si="163"/>
        <v>3.8805934964834154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" thickBot="1" x14ac:dyDescent="0.35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177.83999999999958</v>
      </c>
      <c r="D203" s="12">
        <f t="shared" si="202"/>
        <v>44.841288830609059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1718.9432822011897</v>
      </c>
      <c r="H203" s="70">
        <f t="shared" si="192"/>
        <v>644.5032447133101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0</v>
      </c>
      <c r="O203" s="14">
        <f>N203*VLOOKUP('Données projet'!$B$9,Paramètres!$A$1:$I$89,3,0)*VLOOKUP('Données projet'!$B$9,Paramètres!$A$1:$I$89,5,0)</f>
        <v>0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168.3568384507675</v>
      </c>
      <c r="T203" s="62">
        <f t="shared" si="204"/>
        <v>286.34130084594312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3.7742573526781933</v>
      </c>
      <c r="AA203" s="23">
        <f>EXP(-LN(2)/25)*AA202+(1-EXP(-LN(2)/25))/(LN(2)/25)*Calculateur!V203*Calculateur!X203*VLOOKUP('Données projet'!$B$9,Paramètres!$A$1:$I$89,3,0)*0.475*44/12</f>
        <v>3.0001466357268032E-2</v>
      </c>
      <c r="AB203" s="23">
        <f>EXP(-LN(2)/2)*AB202+(1-EXP(-LN(2)/2))/(LN(2)/2)*V203*Y203*VLOOKUP('Données projet'!$B$9,Paramètres!$A$1:$I$89,3,0)*0.475*44/12</f>
        <v>2.8473589446543029E-23</v>
      </c>
      <c r="AC203" s="24">
        <f t="shared" si="163"/>
        <v>3.8042588190354611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" thickBot="1" x14ac:dyDescent="0.35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" thickBot="1" x14ac:dyDescent="0.35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1.4134877424514771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5" bestFit="1" customWidth="1"/>
    <col min="2" max="2" width="27.77734375" style="5" bestFit="1" customWidth="1"/>
    <col min="3" max="3" width="11.77734375" style="5" bestFit="1" customWidth="1"/>
    <col min="4" max="4" width="40" style="5" bestFit="1" customWidth="1"/>
    <col min="5" max="5" width="11.77734375" style="5" bestFit="1" customWidth="1"/>
    <col min="6" max="6" width="13.77734375" style="5" bestFit="1" customWidth="1"/>
    <col min="7" max="7" width="11.44140625" style="5" bestFit="1" customWidth="1"/>
    <col min="8" max="8" width="39" style="5" bestFit="1" customWidth="1"/>
    <col min="9" max="9" width="16.77734375" style="5" customWidth="1"/>
    <col min="10" max="14" width="11.44140625" style="5"/>
    <col min="15" max="15" width="23.44140625" style="5" bestFit="1" customWidth="1"/>
    <col min="16" max="16384" width="11.44140625" style="5"/>
  </cols>
  <sheetData>
    <row r="1" spans="1:16" ht="43.8" thickBot="1" x14ac:dyDescent="0.35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3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" thickBot="1" x14ac:dyDescent="0.35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" thickBot="1" x14ac:dyDescent="0.35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3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3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3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" thickBot="1" x14ac:dyDescent="0.35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" thickBot="1" x14ac:dyDescent="0.35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3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" thickBot="1" x14ac:dyDescent="0.35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3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3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3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3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3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3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3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3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3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3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3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3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3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3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3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3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3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3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3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3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3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3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3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3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3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3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3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3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3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3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3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3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3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3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3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3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3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3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3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3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3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3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3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3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3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3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3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3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3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3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3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3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3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3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3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3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3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3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3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3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3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3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3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3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3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3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3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3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3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3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3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3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3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3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3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3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3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" thickBot="1" x14ac:dyDescent="0.35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3">
      <c r="A93" s="131" t="s">
        <v>208</v>
      </c>
    </row>
    <row r="94" spans="1:14" x14ac:dyDescent="0.3">
      <c r="A94" s="131" t="s">
        <v>209</v>
      </c>
    </row>
    <row r="95" spans="1:14" x14ac:dyDescent="0.3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BJ357"/>
  <sheetViews>
    <sheetView tabSelected="1" workbookViewId="0">
      <selection activeCell="I8" sqref="I8"/>
    </sheetView>
  </sheetViews>
  <sheetFormatPr baseColWidth="10" defaultColWidth="11.44140625" defaultRowHeight="14.4" x14ac:dyDescent="0.3"/>
  <cols>
    <col min="1" max="1" width="22.777343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5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6.4" thickBot="1" x14ac:dyDescent="0.55000000000000004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3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" thickBot="1" x14ac:dyDescent="0.35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2.599999999999994" thickBot="1" x14ac:dyDescent="0.35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3">
      <c r="A6" s="154" t="str">
        <f>IF('Données projet'!$B$9="","",'Données projet'!$B$9)</f>
        <v>Pin maritime</v>
      </c>
      <c r="B6" s="155">
        <f>'Données projet'!D9</f>
        <v>15</v>
      </c>
      <c r="C6" s="156">
        <f ca="1">IF(OR('Données projet'!B9="",'Données projet'!C9="",'Données projet'!C9=0%),0,Calculateur!S3)</f>
        <v>168.3568384507675</v>
      </c>
      <c r="D6" s="156">
        <f>IF(OR('Données projet'!B9="",'Données projet'!C9="",'Données projet'!C9=0%),0,Calculateur!T3)</f>
        <v>286.34130084594312</v>
      </c>
      <c r="E6" s="156">
        <f ca="1">MIN(C6,D6)</f>
        <v>168.3568384507675</v>
      </c>
      <c r="F6" s="156">
        <f ca="1">E6*B6</f>
        <v>2525.3525767615124</v>
      </c>
      <c r="G6" s="156">
        <f ca="1">F6*(100%-'Données projet'!$C$24)*(100%-'Données projet'!$C$25)*(100%-'Données projet'!$C$26)*(100%-'Données projet'!$C$27)</f>
        <v>1636.4284697414603</v>
      </c>
      <c r="H6" s="157">
        <f>IF(OR('Données projet'!B9="",'Données projet'!C9="",'Données projet'!C9=0%),0,AVERAGE(Calculateur!$AC$3:$AC$33)*B6)</f>
        <v>122.80574514546119</v>
      </c>
      <c r="I6" s="158">
        <f>H6*(100%-'Données projet'!$C$24)*(100%-'Données projet'!$C$25)*(100%-'Données projet'!$C$26)*(100%-'Données projet'!$C$27)</f>
        <v>79.578122854258851</v>
      </c>
      <c r="J6" s="159">
        <f>IF(OR('Données projet'!B9="",'Données projet'!C9="",'Données projet'!C9=0%),0,SUM(Calculateur!$V$3:$V$33)*VLOOKUP('Données projet'!$B$9,Paramètres!$A$1:$I$89,9,0)*B6)</f>
        <v>964.65000000000009</v>
      </c>
      <c r="K6" s="160">
        <f>J6*(100%-'Données projet'!$C$24)*(100%-'Données projet'!$C$25)*(100%-'Données projet'!$C$26)*(100%-'Données projet'!$C$27)</f>
        <v>625.09320000000014</v>
      </c>
      <c r="L6" s="161">
        <f ca="1">G6+I6+K6</f>
        <v>2341.0997925957195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3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3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3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3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3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3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3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3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" thickBot="1" x14ac:dyDescent="0.35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" thickBot="1" x14ac:dyDescent="0.35">
      <c r="A16" s="226"/>
      <c r="B16" s="233"/>
      <c r="C16" s="234"/>
      <c r="D16" s="25"/>
      <c r="E16" s="25"/>
      <c r="F16" s="174">
        <f t="shared" ref="F16:L16" ca="1" si="3">SUM(F6:F15)</f>
        <v>2525.3525767615124</v>
      </c>
      <c r="G16" s="175">
        <f t="shared" ca="1" si="3"/>
        <v>1636.4284697414603</v>
      </c>
      <c r="H16" s="176">
        <f t="shared" si="3"/>
        <v>122.80574514546119</v>
      </c>
      <c r="I16" s="176">
        <f t="shared" si="3"/>
        <v>79.578122854258851</v>
      </c>
      <c r="J16" s="177">
        <f t="shared" si="3"/>
        <v>964.65000000000009</v>
      </c>
      <c r="K16" s="177">
        <f t="shared" si="3"/>
        <v>625.09320000000014</v>
      </c>
      <c r="L16" s="178">
        <f t="shared" ca="1" si="3"/>
        <v>2341.0997925957195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3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3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3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" thickBot="1" x14ac:dyDescent="0.35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" thickBot="1" x14ac:dyDescent="0.35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3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3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3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3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3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3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3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3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3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3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3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3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3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3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3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3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" thickBot="1" x14ac:dyDescent="0.35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" thickBot="1" x14ac:dyDescent="0.35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3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3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3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3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3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3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3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3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3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3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3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3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3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3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3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3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" thickBot="1" x14ac:dyDescent="0.35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" thickBot="1" x14ac:dyDescent="0.35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3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3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3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3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3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3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3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3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3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3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3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3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3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3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3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3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3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" thickBot="1" x14ac:dyDescent="0.35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" thickBot="1" x14ac:dyDescent="0.35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3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3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3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3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3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3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3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3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3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3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3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3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3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3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3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3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" thickBot="1" x14ac:dyDescent="0.35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" thickBot="1" x14ac:dyDescent="0.35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3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3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3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3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3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3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3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3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3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3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3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3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3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3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3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3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" thickBot="1" x14ac:dyDescent="0.35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" thickBot="1" x14ac:dyDescent="0.35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3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3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3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3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3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3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3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3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3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3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3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3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3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3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3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3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" thickBot="1" x14ac:dyDescent="0.35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" thickBot="1" x14ac:dyDescent="0.35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3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3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3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3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3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3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3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3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3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3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3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3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3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3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3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3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" thickBot="1" x14ac:dyDescent="0.35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" thickBot="1" x14ac:dyDescent="0.35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3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3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3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3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3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3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3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3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3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3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3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3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3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3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3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3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" thickBot="1" x14ac:dyDescent="0.35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" thickBot="1" x14ac:dyDescent="0.35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3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3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3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3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3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3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3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3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3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3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3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3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3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3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3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3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" thickBot="1" x14ac:dyDescent="0.35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" thickBot="1" x14ac:dyDescent="0.35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3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3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3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3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3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3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3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3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3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3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3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3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3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3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3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3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3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3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3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3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3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3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3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3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3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3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3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3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3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3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3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3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3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3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3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3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3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3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3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3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3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3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3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3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3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3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3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3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3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3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3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3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3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3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3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3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3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3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3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3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3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3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3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3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3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3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3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3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3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3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3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3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3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3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3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3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3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3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3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3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3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3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3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3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3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3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3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3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3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3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3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3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3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3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3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3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3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3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3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3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3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3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3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3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3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3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3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3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3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3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3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3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3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3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3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3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3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3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3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3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3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3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3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3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3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3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3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3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3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3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3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3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3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3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3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3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3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3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3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3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3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3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3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3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3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3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3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3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3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3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3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3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3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3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3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3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3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3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3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3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3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3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3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3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3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3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3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3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3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3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3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3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3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BL552"/>
  <sheetViews>
    <sheetView topLeftCell="D1" zoomScale="90" zoomScaleNormal="90" workbookViewId="0">
      <selection activeCell="N16" sqref="N16"/>
    </sheetView>
  </sheetViews>
  <sheetFormatPr baseColWidth="10" defaultColWidth="11.44140625" defaultRowHeight="14.4" x14ac:dyDescent="0.3"/>
  <cols>
    <col min="1" max="1" width="11.44140625" style="1"/>
    <col min="2" max="2" width="30.77734375" style="1" bestFit="1" customWidth="1"/>
    <col min="3" max="3" width="18.21875" style="1" bestFit="1" customWidth="1"/>
    <col min="4" max="5" width="11.44140625" style="1"/>
    <col min="6" max="6" width="14" style="3" customWidth="1"/>
    <col min="7" max="7" width="17.5546875" style="3" customWidth="1"/>
    <col min="8" max="8" width="21.77734375" style="1" customWidth="1"/>
    <col min="9" max="9" width="37" style="1" customWidth="1"/>
    <col min="10" max="10" width="11.44140625" style="1"/>
    <col min="11" max="11" width="8.777343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21875" style="1" customWidth="1"/>
    <col min="21" max="21" width="16.44140625" style="1" customWidth="1"/>
    <col min="22" max="22" width="17.77734375" style="1" customWidth="1"/>
    <col min="23" max="16384" width="11.44140625" style="1"/>
  </cols>
  <sheetData>
    <row r="1" spans="1:42" ht="15" thickBot="1" x14ac:dyDescent="0.35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6.4" thickBot="1" x14ac:dyDescent="0.55000000000000004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3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3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3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" thickBot="1" x14ac:dyDescent="0.35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55000000000000004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3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3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3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15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3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3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3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3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3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3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3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3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3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3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3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3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3">
      <c r="A23" s="192">
        <f>'Données projet'!A36</f>
        <v>11</v>
      </c>
      <c r="B23" s="193">
        <f>'Données projet'!D36</f>
        <v>0</v>
      </c>
      <c r="C23" s="206"/>
      <c r="D23" s="194">
        <f>B23*C23</f>
        <v>0</v>
      </c>
      <c r="E23" s="206"/>
      <c r="F23" s="261"/>
      <c r="H23" s="203"/>
      <c r="I23" s="204"/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3">
      <c r="A24" s="192">
        <f>'Données projet'!A37</f>
        <v>13</v>
      </c>
      <c r="B24" s="193">
        <f>'Données projet'!D37</f>
        <v>15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3">
      <c r="A25" s="192">
        <f>'Données projet'!A38</f>
        <v>15</v>
      </c>
      <c r="B25" s="193">
        <f>'Données projet'!D38</f>
        <v>0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36">
        <f ca="1">T23-T24</f>
        <v>0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3">
      <c r="A26" s="192">
        <f>'Données projet'!A39</f>
        <v>17</v>
      </c>
      <c r="B26" s="193">
        <f>'Données projet'!D39</f>
        <v>0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n'est pas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3">
      <c r="A27" s="192">
        <f>'Données projet'!A40</f>
        <v>19</v>
      </c>
      <c r="B27" s="193">
        <f>'Données projet'!D40</f>
        <v>40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3">
      <c r="A28" s="192">
        <f>'Données projet'!A41</f>
        <v>21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3">
      <c r="A29" s="192">
        <f>'Données projet'!A42</f>
        <v>23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3">
      <c r="A30" s="192">
        <f>'Données projet'!A43</f>
        <v>25</v>
      </c>
      <c r="B30" s="193">
        <f>'Données projet'!D43</f>
        <v>54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3">
      <c r="A31" s="192">
        <f>'Données projet'!A44</f>
        <v>27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3">
      <c r="A32" s="192">
        <f>'Données projet'!A45</f>
        <v>29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3">
      <c r="A33" s="192">
        <f>'Données projet'!A46</f>
        <v>30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3">
      <c r="A34" s="192">
        <f>'Données projet'!A47</f>
        <v>32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3">
      <c r="A35" s="192">
        <f>'Données projet'!A48</f>
        <v>34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3">
      <c r="A36" s="192">
        <f>'Données projet'!A49</f>
        <v>35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3">
      <c r="A37" s="192">
        <f>'Données projet'!A50</f>
        <v>37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3">
      <c r="A38" s="192">
        <f>'Données projet'!A51</f>
        <v>38</v>
      </c>
      <c r="B38" s="193">
        <f>'Données projet'!D51</f>
        <v>338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3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3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3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3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3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3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3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3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3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3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3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3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3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3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3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3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3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3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3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3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3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3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3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3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3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3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3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3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3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3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3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3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3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3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str">
        <f>IF(O71+1&lt;=MIN('Données projet'!$E$9:$E$18),O71+1,"STOP")</f>
        <v>STOP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3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3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3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3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3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3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3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3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3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3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3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3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3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3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3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3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3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3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3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3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3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3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3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3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3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3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3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3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3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3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3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3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3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3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3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3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3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3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3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3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3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3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3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3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3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3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3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3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3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3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3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3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3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3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3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3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3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3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3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3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3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3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3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3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3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3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3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3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3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3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3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3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3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3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3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3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3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3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3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3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3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3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3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3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3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3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3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3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3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3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3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3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3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3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3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3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3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3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3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3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3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3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3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3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3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3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3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3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3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3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3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3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3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3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3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3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3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3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3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3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3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3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3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3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3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3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3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3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3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3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3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3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3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3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3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3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3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3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3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3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3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3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3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3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3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3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3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3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3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3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3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3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3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3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3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3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3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3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3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3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3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3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3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3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3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3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3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3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3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3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3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3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3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3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3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3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3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3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3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3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3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3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3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3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3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3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3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3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3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3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3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3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3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3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3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3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3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3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3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3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3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3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3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3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3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3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3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3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3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3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3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3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3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3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3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3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3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3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3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3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3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3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3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3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3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3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3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3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3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3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3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3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3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3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3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3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3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3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3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3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3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3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3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3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3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3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3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3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3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3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3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3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3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3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3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3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3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3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3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3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3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3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3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3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3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3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3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3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3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3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3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3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3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3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3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3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3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3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3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3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3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3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3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3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3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3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3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3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3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3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3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3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3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3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3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3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3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3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3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3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3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3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3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3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3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3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3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3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3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3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3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3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3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3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3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3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3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3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3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3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3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3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3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3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3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3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3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3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3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3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3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3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3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3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3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3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3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3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3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3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3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3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3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3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3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3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3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3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3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3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3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3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3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3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3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3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3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3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3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3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3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3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3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3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3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3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3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3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3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3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3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3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3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3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3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3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3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3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3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3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3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3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3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3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3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3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3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3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3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3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3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3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3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3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3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3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3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3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3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3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3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3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3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3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3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3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3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3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3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3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3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3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3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3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3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3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3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3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3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3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3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3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3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3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3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3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3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3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3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3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3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3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3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3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3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3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3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3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3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3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3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3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3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3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3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3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3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3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3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3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3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3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3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3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3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3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3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3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3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3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3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3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3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3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3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3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3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3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3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3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3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3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3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3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3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3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3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3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3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3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Florence HEUSCHMIDT</cp:lastModifiedBy>
  <dcterms:created xsi:type="dcterms:W3CDTF">2021-02-01T08:22:39Z</dcterms:created>
  <dcterms:modified xsi:type="dcterms:W3CDTF">2022-03-28T15:46:08Z</dcterms:modified>
</cp:coreProperties>
</file>