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Forestarn\GRAMOND (12) - MORIO &amp; DELORT_XPB\Doc fin\"/>
    </mc:Choice>
  </mc:AlternateContent>
  <xr:revisionPtr revIDLastSave="0" documentId="13_ncr:1_{950CE95C-79BA-455A-9C79-D6FEA1627C9F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38" i="2" l="1" a="1"/>
  <c r="BC38" i="2" s="1"/>
  <c r="BC143" i="2" a="1"/>
  <c r="BC143" i="2" s="1"/>
  <c r="BC31" i="2" a="1"/>
  <c r="BC31" i="2" s="1"/>
  <c r="BC192" i="2" a="1"/>
  <c r="BC192" i="2" s="1"/>
  <c r="BC130" i="2" a="1"/>
  <c r="BC130" i="2" s="1"/>
  <c r="BC65" i="2" a="1"/>
  <c r="BC65" i="2" s="1"/>
  <c r="BC18" i="2" a="1"/>
  <c r="BC18" i="2" s="1"/>
  <c r="BC117" i="2" a="1"/>
  <c r="BC117" i="2" s="1"/>
  <c r="BC82" i="2" a="1"/>
  <c r="BC82" i="2" s="1"/>
  <c r="BC68" i="2" a="1"/>
  <c r="BC68" i="2" s="1"/>
  <c r="BC84" i="2" a="1"/>
  <c r="BC84" i="2" s="1"/>
  <c r="BC181" i="2" a="1"/>
  <c r="BC181" i="2" s="1"/>
  <c r="BC32" i="2" a="1"/>
  <c r="BC32" i="2" s="1"/>
  <c r="BC114" i="2" a="1"/>
  <c r="BC114" i="2" s="1"/>
  <c r="BC164" i="2" a="1"/>
  <c r="BC164" i="2" s="1"/>
  <c r="BC126" i="2" a="1"/>
  <c r="BC126" i="2" s="1"/>
  <c r="BC55" i="2" a="1"/>
  <c r="BC55" i="2" s="1"/>
  <c r="BC47" i="2" a="1"/>
  <c r="BC47" i="2" s="1"/>
  <c r="BC83" i="2" a="1"/>
  <c r="BC83" i="2" s="1"/>
  <c r="BC58" i="2" a="1"/>
  <c r="BC58" i="2" s="1"/>
  <c r="BC151" i="2" a="1"/>
  <c r="BC151" i="2" s="1"/>
  <c r="BC34" i="2" a="1"/>
  <c r="BC34" i="2" s="1"/>
  <c r="BC7" i="2" a="1"/>
  <c r="BC7" i="2" s="1"/>
  <c r="BC185" i="2" a="1"/>
  <c r="BC185" i="2" s="1"/>
  <c r="AH163" i="2" a="1"/>
  <c r="AH163" i="2" s="1"/>
  <c r="AH19" i="2" a="1"/>
  <c r="AH19" i="2" s="1"/>
  <c r="AH90" i="2" a="1"/>
  <c r="AH90" i="2" s="1"/>
  <c r="AH151" i="2" a="1"/>
  <c r="AH151" i="2" s="1"/>
  <c r="AH62" i="2" a="1"/>
  <c r="AH62" i="2" s="1"/>
  <c r="AH199" i="2" a="1"/>
  <c r="AH199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<sst xmlns="http://schemas.openxmlformats.org/spreadsheetml/2006/main" count="1172" uniqueCount="324">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</sst>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1.5412971892444229</c:v>
                </c:pt>
                <c:pt idx="2">
                  <c:v>1.9388926438146914</c:v>
                </c:pt>
                <c:pt idx="3">
                  <c:v>2.4394633772013945</c:v>
                </c:pt>
                <c:pt idx="4">
                  <c:v>3.069780168334288</c:v>
                </c:pt>
                <c:pt idx="5">
                  <c:v>3.8635980437489281</c:v>
                </c:pt>
                <c:pt idx="6">
                  <c:v>4.8634843767910576</c:v>
                </c:pt>
                <c:pt idx="7">
                  <c:v>6.1231269318386374</c:v>
                </c:pt>
                <c:pt idx="8">
                  <c:v>7.7102482067007854</c:v>
                </c:pt>
                <c:pt idx="9">
                  <c:v>9.7102857749689822</c:v>
                </c:pt>
                <c:pt idx="10">
                  <c:v>12.231040500672227</c:v>
                </c:pt>
                <c:pt idx="11">
                  <c:v>15.40854782870084</c:v>
                </c:pt>
                <c:pt idx="12">
                  <c:v>19.414494805769813</c:v>
                </c:pt>
                <c:pt idx="13">
                  <c:v>24.465590804149439</c:v>
                </c:pt>
                <c:pt idx="14">
                  <c:v>30.835407845497311</c:v>
                </c:pt>
                <c:pt idx="15">
                  <c:v>38.869342956925792</c:v>
                </c:pt>
                <c:pt idx="16">
                  <c:v>49.003527734161047</c:v>
                </c:pt>
                <c:pt idx="17">
                  <c:v>61.788728856850753</c:v>
                </c:pt>
                <c:pt idx="18">
                  <c:v>77.920559878164354</c:v>
                </c:pt>
                <c:pt idx="19">
                  <c:v>98.277674616254941</c:v>
                </c:pt>
                <c:pt idx="20">
                  <c:v>123.97005543664547</c:v>
                </c:pt>
                <c:pt idx="21">
                  <c:v>130.30991517841122</c:v>
                </c:pt>
                <c:pt idx="22">
                  <c:v>136.64231946228742</c:v>
                </c:pt>
                <c:pt idx="23">
                  <c:v>142.96766323806102</c:v>
                </c:pt>
                <c:pt idx="24">
                  <c:v>149.28630357695832</c:v>
                </c:pt>
                <c:pt idx="25">
                  <c:v>155.59856479059451</c:v>
                </c:pt>
                <c:pt idx="26">
                  <c:v>161.90474267390317</c:v>
                </c:pt>
                <c:pt idx="27">
                  <c:v>168.20510805098732</c:v>
                </c:pt>
                <c:pt idx="28">
                  <c:v>174.49990976080673</c:v>
                </c:pt>
                <c:pt idx="29">
                  <c:v>180.78937718864941</c:v>
                </c:pt>
                <c:pt idx="30">
                  <c:v>187.07372242622975</c:v>
                </c:pt>
                <c:pt idx="31">
                  <c:v>194.16304064471549</c:v>
                </c:pt>
                <c:pt idx="32">
                  <c:v>201.24634176616681</c:v>
                </c:pt>
                <c:pt idx="33">
                  <c:v>208.32386777264205</c:v>
                </c:pt>
                <c:pt idx="34">
                  <c:v>215.39584283593402</c:v>
                </c:pt>
                <c:pt idx="35">
                  <c:v>222.46247518327687</c:v>
                </c:pt>
                <c:pt idx="36">
                  <c:v>229.52395871325152</c:v>
                </c:pt>
                <c:pt idx="37">
                  <c:v>236.58047440215805</c:v>
                </c:pt>
                <c:pt idx="38">
                  <c:v>243.63219153359816</c:v>
                </c:pt>
                <c:pt idx="39">
                  <c:v>250.67926877807716</c:v>
                </c:pt>
                <c:pt idx="40">
                  <c:v>257.72185514470982</c:v>
                </c:pt>
                <c:pt idx="41">
                  <c:v>201.75206810765823</c:v>
                </c:pt>
                <c:pt idx="42">
                  <c:v>209.33448475693976</c:v>
                </c:pt>
                <c:pt idx="43">
                  <c:v>216.91056415068076</c:v>
                </c:pt>
                <c:pt idx="44">
                  <c:v>224.48055915021368</c:v>
                </c:pt>
                <c:pt idx="45">
                  <c:v>232.04470414666477</c:v>
                </c:pt>
                <c:pt idx="46">
                  <c:v>239.60321698163867</c:v>
                </c:pt>
                <c:pt idx="47">
                  <c:v>247.15630061256277</c:v>
                </c:pt>
                <c:pt idx="48">
                  <c:v>254.70414456356764</c:v>
                </c:pt>
                <c:pt idx="49">
                  <c:v>262.24692619519675</c:v>
                </c:pt>
                <c:pt idx="50">
                  <c:v>269.78481182023961</c:v>
                </c:pt>
                <c:pt idx="51">
                  <c:v>277.31795768820592</c:v>
                </c:pt>
                <c:pt idx="52">
                  <c:v>284.84651085713051</c:v>
                </c:pt>
                <c:pt idx="53">
                  <c:v>292.37060996830331</c:v>
                </c:pt>
                <c:pt idx="54">
                  <c:v>299.89038593700781</c:v>
                </c:pt>
                <c:pt idx="55">
                  <c:v>307.40596257029637</c:v>
                </c:pt>
                <c:pt idx="56">
                  <c:v>314.91745712114272</c:v>
                </c:pt>
                <c:pt idx="57">
                  <c:v>322.42498078691858</c:v>
                </c:pt>
                <c:pt idx="58">
                  <c:v>329.92863915898073</c:v>
                </c:pt>
                <c:pt idx="59">
                  <c:v>337.42853262919147</c:v>
                </c:pt>
                <c:pt idx="60">
                  <c:v>344.92475675838369</c:v>
                </c:pt>
                <c:pt idx="61">
                  <c:v>285.34825454721044</c:v>
                </c:pt>
                <c:pt idx="62">
                  <c:v>292.87206145774769</c:v>
                </c:pt>
                <c:pt idx="63">
                  <c:v>300.3915536943141</c:v>
                </c:pt>
                <c:pt idx="64">
                  <c:v>307.90685461043853</c:v>
                </c:pt>
                <c:pt idx="65">
                  <c:v>315.41808104045464</c:v>
                </c:pt>
                <c:pt idx="66">
                  <c:v>322.92534379451814</c:v>
                </c:pt>
                <c:pt idx="67">
                  <c:v>330.42874810515173</c:v>
                </c:pt>
                <c:pt idx="68">
                  <c:v>337.92839403108059</c:v>
                </c:pt>
                <c:pt idx="69">
                  <c:v>345.42437682332121</c:v>
                </c:pt>
                <c:pt idx="70">
                  <c:v>352.91678725781009</c:v>
                </c:pt>
                <c:pt idx="71">
                  <c:v>291.56824760988314</c:v>
                </c:pt>
                <c:pt idx="72">
                  <c:v>299.28895999218281</c:v>
                </c:pt>
                <c:pt idx="73">
                  <c:v>307.00523587874869</c:v>
                </c:pt>
                <c:pt idx="74">
                  <c:v>314.71720261424764</c:v>
                </c:pt>
                <c:pt idx="75">
                  <c:v>322.42498078691847</c:v>
                </c:pt>
                <c:pt idx="76">
                  <c:v>330.1286847435594</c:v>
                </c:pt>
                <c:pt idx="77">
                  <c:v>337.82842305389971</c:v>
                </c:pt>
                <c:pt idx="78">
                  <c:v>345.52429893039556</c:v>
                </c:pt>
                <c:pt idx="79">
                  <c:v>353.21641060864732</c:v>
                </c:pt>
                <c:pt idx="80">
                  <c:v>360.90485169292759</c:v>
                </c:pt>
                <c:pt idx="81">
                  <c:v>298.18627576151772</c:v>
                </c:pt>
                <c:pt idx="82">
                  <c:v>306.5043111615816</c:v>
                </c:pt>
                <c:pt idx="83">
                  <c:v>314.81733022074962</c:v>
                </c:pt>
                <c:pt idx="84">
                  <c:v>323.12548419477201</c:v>
                </c:pt>
                <c:pt idx="85">
                  <c:v>331.42891591987251</c:v>
                </c:pt>
                <c:pt idx="86">
                  <c:v>339.7277604852431</c:v>
                </c:pt>
                <c:pt idx="87">
                  <c:v>348.02214583635418</c:v>
                </c:pt>
                <c:pt idx="88">
                  <c:v>356.3121933177128</c:v>
                </c:pt>
                <c:pt idx="89">
                  <c:v>364.59801816244254</c:v>
                </c:pt>
                <c:pt idx="90">
                  <c:v>372.87972993501245</c:v>
                </c:pt>
                <c:pt idx="91">
                  <c:v>308.20738114119678</c:v>
                </c:pt>
                <c:pt idx="92">
                  <c:v>316.51939170560019</c:v>
                </c:pt>
                <c:pt idx="93">
                  <c:v>324.8265671030199</c:v>
                </c:pt>
                <c:pt idx="94">
                  <c:v>333.12904853057529</c:v>
                </c:pt>
                <c:pt idx="95">
                  <c:v>341.42696956725405</c:v>
                </c:pt>
                <c:pt idx="96">
                  <c:v>349.72045676416354</c:v>
                </c:pt>
                <c:pt idx="97">
                  <c:v>358.00963017583177</c:v>
                </c:pt>
                <c:pt idx="98">
                  <c:v>366.29460383970854</c:v>
                </c:pt>
                <c:pt idx="99">
                  <c:v>374.57548620999501</c:v>
                </c:pt>
                <c:pt idx="100">
                  <c:v>382.85238055108954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3.015643224062297</c:v>
                </c:pt>
                <c:pt idx="2">
                  <c:v>4.0722529948595438</c:v>
                </c:pt>
                <c:pt idx="3">
                  <c:v>5.5006018745362235</c:v>
                </c:pt>
                <c:pt idx="4">
                  <c:v>7.4319811827349751</c:v>
                </c:pt>
                <c:pt idx="5">
                  <c:v>10.044218170589504</c:v>
                </c:pt>
                <c:pt idx="6">
                  <c:v>13.578225113429147</c:v>
                </c:pt>
                <c:pt idx="7">
                  <c:v>18.360451404377937</c:v>
                </c:pt>
                <c:pt idx="8">
                  <c:v>24.83335003064289</c:v>
                </c:pt>
                <c:pt idx="9">
                  <c:v>33.596726896246878</c:v>
                </c:pt>
                <c:pt idx="10">
                  <c:v>45.463870615269634</c:v>
                </c:pt>
                <c:pt idx="11">
                  <c:v>61.537759614262761</c:v>
                </c:pt>
                <c:pt idx="12">
                  <c:v>83.314545972184078</c:v>
                </c:pt>
                <c:pt idx="13">
                  <c:v>112.82410282766058</c:v>
                </c:pt>
                <c:pt idx="14">
                  <c:v>152.8209413414541</c:v>
                </c:pt>
                <c:pt idx="15">
                  <c:v>207.04359025710687</c:v>
                </c:pt>
                <c:pt idx="16">
                  <c:v>173.3902523967221</c:v>
                </c:pt>
                <c:pt idx="17">
                  <c:v>204.02410382923904</c:v>
                </c:pt>
                <c:pt idx="18">
                  <c:v>234.55138491384039</c:v>
                </c:pt>
                <c:pt idx="19">
                  <c:v>264.98792439409294</c:v>
                </c:pt>
                <c:pt idx="20">
                  <c:v>295.34560890488154</c:v>
                </c:pt>
                <c:pt idx="21">
                  <c:v>231.16419524801108</c:v>
                </c:pt>
                <c:pt idx="22">
                  <c:v>260.85942671475175</c:v>
                </c:pt>
                <c:pt idx="23">
                  <c:v>290.47829302179076</c:v>
                </c:pt>
                <c:pt idx="24">
                  <c:v>320.0296714282502</c:v>
                </c:pt>
                <c:pt idx="25">
                  <c:v>349.52066488969609</c:v>
                </c:pt>
                <c:pt idx="26">
                  <c:v>279.98860279382774</c:v>
                </c:pt>
                <c:pt idx="27">
                  <c:v>307.69314288991126</c:v>
                </c:pt>
                <c:pt idx="28">
                  <c:v>335.34226803283252</c:v>
                </c:pt>
                <c:pt idx="29">
                  <c:v>362.94118566705487</c:v>
                </c:pt>
                <c:pt idx="30">
                  <c:v>390.4942467667251</c:v>
                </c:pt>
                <c:pt idx="31">
                  <c:v>320.77699701276782</c:v>
                </c:pt>
                <c:pt idx="32">
                  <c:v>346.16378539221347</c:v>
                </c:pt>
                <c:pt idx="33">
                  <c:v>371.50970211515977</c:v>
                </c:pt>
                <c:pt idx="34">
                  <c:v>396.81792522211208</c:v>
                </c:pt>
                <c:pt idx="35">
                  <c:v>422.09119450330428</c:v>
                </c:pt>
                <c:pt idx="36">
                  <c:v>353.99540526070876</c:v>
                </c:pt>
                <c:pt idx="37">
                  <c:v>377.09553671098365</c:v>
                </c:pt>
                <c:pt idx="38">
                  <c:v>400.16486874659694</c:v>
                </c:pt>
                <c:pt idx="39">
                  <c:v>423.20542522400024</c:v>
                </c:pt>
                <c:pt idx="40">
                  <c:v>446.21899178570402</c:v>
                </c:pt>
                <c:pt idx="41">
                  <c:v>383.05177541071242</c:v>
                </c:pt>
                <c:pt idx="42">
                  <c:v>403.51120632532326</c:v>
                </c:pt>
                <c:pt idx="43">
                  <c:v>423.9482106076091</c:v>
                </c:pt>
                <c:pt idx="44">
                  <c:v>444.36402075569362</c:v>
                </c:pt>
                <c:pt idx="45">
                  <c:v>464.75974684356021</c:v>
                </c:pt>
                <c:pt idx="46">
                  <c:v>406.48522456571527</c:v>
                </c:pt>
                <c:pt idx="47">
                  <c:v>424.31959279145235</c:v>
                </c:pt>
                <c:pt idx="48">
                  <c:v>442.1378364455868</c:v>
                </c:pt>
                <c:pt idx="49">
                  <c:v>459.94069650633202</c:v>
                </c:pt>
                <c:pt idx="50">
                  <c:v>477.72885193803239</c:v>
                </c:pt>
                <c:pt idx="51">
                  <c:v>425.06233617824211</c:v>
                </c:pt>
                <c:pt idx="52">
                  <c:v>441.02465426855338</c:v>
                </c:pt>
                <c:pt idx="53">
                  <c:v>456.97459194094745</c:v>
                </c:pt>
                <c:pt idx="54">
                  <c:v>472.91264200880101</c:v>
                </c:pt>
                <c:pt idx="55">
                  <c:v>488.83926137072331</c:v>
                </c:pt>
                <c:pt idx="56">
                  <c:v>1.4960899118586383E-12</c:v>
                </c:pt>
                <c:pt idx="57">
                  <c:v>1.4960899118586383E-12</c:v>
                </c:pt>
                <c:pt idx="58">
                  <c:v>1.4960899118586383E-12</c:v>
                </c:pt>
                <c:pt idx="59">
                  <c:v>1.4960899118586383E-12</c:v>
                </c:pt>
                <c:pt idx="60">
                  <c:v>1.4960899118586383E-12</c:v>
                </c:pt>
                <c:pt idx="61">
                  <c:v>1.4960899118586383E-12</c:v>
                </c:pt>
                <c:pt idx="62">
                  <c:v>1.4960899118586383E-12</c:v>
                </c:pt>
                <c:pt idx="63">
                  <c:v>1.4960899118586383E-12</c:v>
                </c:pt>
                <c:pt idx="64">
                  <c:v>1.4960899118586383E-12</c:v>
                </c:pt>
                <c:pt idx="65">
                  <c:v>1.4960899118586383E-12</c:v>
                </c:pt>
                <c:pt idx="66">
                  <c:v>1.4960899118586383E-12</c:v>
                </c:pt>
                <c:pt idx="67">
                  <c:v>1.4960899118586383E-12</c:v>
                </c:pt>
                <c:pt idx="68">
                  <c:v>1.4960899118586383E-12</c:v>
                </c:pt>
                <c:pt idx="69">
                  <c:v>1.4960899118586383E-12</c:v>
                </c:pt>
                <c:pt idx="70">
                  <c:v>1.4960899118586383E-12</c:v>
                </c:pt>
                <c:pt idx="71">
                  <c:v>1.4960899118586383E-12</c:v>
                </c:pt>
                <c:pt idx="72">
                  <c:v>1.4960899118586383E-12</c:v>
                </c:pt>
                <c:pt idx="73">
                  <c:v>1.4960899118586383E-12</c:v>
                </c:pt>
                <c:pt idx="74">
                  <c:v>1.4960899118586383E-12</c:v>
                </c:pt>
                <c:pt idx="75">
                  <c:v>1.4960899118586383E-12</c:v>
                </c:pt>
                <c:pt idx="76">
                  <c:v>1.4960899118586383E-12</c:v>
                </c:pt>
                <c:pt idx="77">
                  <c:v>1.4960899118586383E-12</c:v>
                </c:pt>
                <c:pt idx="78">
                  <c:v>1.4960899118586383E-12</c:v>
                </c:pt>
                <c:pt idx="79">
                  <c:v>1.4960899118586383E-12</c:v>
                </c:pt>
                <c:pt idx="80">
                  <c:v>1.4960899118586383E-12</c:v>
                </c:pt>
                <c:pt idx="81">
                  <c:v>1.4960899118586383E-12</c:v>
                </c:pt>
                <c:pt idx="82">
                  <c:v>1.4960899118586383E-12</c:v>
                </c:pt>
                <c:pt idx="83">
                  <c:v>1.4960899118586383E-12</c:v>
                </c:pt>
                <c:pt idx="84">
                  <c:v>1.4960899118586383E-12</c:v>
                </c:pt>
                <c:pt idx="85">
                  <c:v>1.4960899118586383E-12</c:v>
                </c:pt>
                <c:pt idx="86">
                  <c:v>1.4960899118586383E-12</c:v>
                </c:pt>
                <c:pt idx="87">
                  <c:v>1.4960899118586383E-12</c:v>
                </c:pt>
                <c:pt idx="88">
                  <c:v>1.4960899118586383E-12</c:v>
                </c:pt>
                <c:pt idx="89">
                  <c:v>1.4960899118586383E-12</c:v>
                </c:pt>
                <c:pt idx="90">
                  <c:v>1.4960899118586383E-12</c:v>
                </c:pt>
                <c:pt idx="91">
                  <c:v>1.4960899118586383E-12</c:v>
                </c:pt>
                <c:pt idx="92">
                  <c:v>1.4960899118586383E-12</c:v>
                </c:pt>
                <c:pt idx="93">
                  <c:v>1.4960899118586383E-12</c:v>
                </c:pt>
                <c:pt idx="94">
                  <c:v>1.4960899118586383E-12</c:v>
                </c:pt>
                <c:pt idx="95">
                  <c:v>1.4960899118586383E-12</c:v>
                </c:pt>
                <c:pt idx="96">
                  <c:v>1.4960899118586383E-12</c:v>
                </c:pt>
                <c:pt idx="97">
                  <c:v>1.4960899118586383E-12</c:v>
                </c:pt>
                <c:pt idx="98">
                  <c:v>1.4960899118586383E-12</c:v>
                </c:pt>
                <c:pt idx="99">
                  <c:v>1.4960899118586383E-12</c:v>
                </c:pt>
                <c:pt idx="100">
                  <c:v>1.4960899118586383E-12</c:v>
                </c:pt>
                <c:pt idx="101">
                  <c:v>1.4960899118586383E-12</c:v>
                </c:pt>
                <c:pt idx="102">
                  <c:v>1.4960899118586383E-12</c:v>
                </c:pt>
                <c:pt idx="103">
                  <c:v>1.4960899118586383E-12</c:v>
                </c:pt>
                <c:pt idx="104">
                  <c:v>1.4960899118586383E-12</c:v>
                </c:pt>
                <c:pt idx="105">
                  <c:v>1.4960899118586383E-12</c:v>
                </c:pt>
                <c:pt idx="106">
                  <c:v>1.4960899118586383E-12</c:v>
                </c:pt>
                <c:pt idx="107">
                  <c:v>1.4960899118586383E-12</c:v>
                </c:pt>
                <c:pt idx="108">
                  <c:v>1.4960899118586383E-12</c:v>
                </c:pt>
                <c:pt idx="109">
                  <c:v>1.4960899118586383E-12</c:v>
                </c:pt>
                <c:pt idx="110">
                  <c:v>1.4960899118586383E-12</c:v>
                </c:pt>
                <c:pt idx="111">
                  <c:v>1.4960899118586383E-12</c:v>
                </c:pt>
                <c:pt idx="112">
                  <c:v>1.4960899118586383E-12</c:v>
                </c:pt>
                <c:pt idx="113">
                  <c:v>1.4960899118586383E-12</c:v>
                </c:pt>
                <c:pt idx="114">
                  <c:v>1.4960899118586383E-12</c:v>
                </c:pt>
                <c:pt idx="115">
                  <c:v>1.4960899118586383E-12</c:v>
                </c:pt>
                <c:pt idx="116">
                  <c:v>1.4960899118586383E-12</c:v>
                </c:pt>
                <c:pt idx="117">
                  <c:v>1.4960899118586383E-12</c:v>
                </c:pt>
                <c:pt idx="118">
                  <c:v>1.4960899118586383E-12</c:v>
                </c:pt>
                <c:pt idx="119">
                  <c:v>1.4960899118586383E-12</c:v>
                </c:pt>
                <c:pt idx="120">
                  <c:v>1.4960899118586383E-12</c:v>
                </c:pt>
                <c:pt idx="121">
                  <c:v>1.4960899118586383E-12</c:v>
                </c:pt>
                <c:pt idx="122">
                  <c:v>1.4960899118586383E-12</c:v>
                </c:pt>
                <c:pt idx="123">
                  <c:v>1.4960899118586383E-12</c:v>
                </c:pt>
                <c:pt idx="124">
                  <c:v>1.4960899118586383E-12</c:v>
                </c:pt>
                <c:pt idx="125">
                  <c:v>1.4960899118586383E-12</c:v>
                </c:pt>
                <c:pt idx="126">
                  <c:v>1.4960899118586383E-12</c:v>
                </c:pt>
                <c:pt idx="127">
                  <c:v>1.4960899118586383E-12</c:v>
                </c:pt>
                <c:pt idx="128">
                  <c:v>1.4960899118586383E-12</c:v>
                </c:pt>
                <c:pt idx="129">
                  <c:v>1.4960899118586383E-12</c:v>
                </c:pt>
                <c:pt idx="130">
                  <c:v>1.4960899118586383E-12</c:v>
                </c:pt>
                <c:pt idx="131">
                  <c:v>1.4960899118586383E-12</c:v>
                </c:pt>
                <c:pt idx="132">
                  <c:v>1.4960899118586383E-12</c:v>
                </c:pt>
                <c:pt idx="133">
                  <c:v>1.4960899118586383E-12</c:v>
                </c:pt>
                <c:pt idx="134">
                  <c:v>1.4960899118586383E-12</c:v>
                </c:pt>
                <c:pt idx="135">
                  <c:v>1.4960899118586383E-12</c:v>
                </c:pt>
                <c:pt idx="136">
                  <c:v>1.4960899118586383E-12</c:v>
                </c:pt>
                <c:pt idx="137">
                  <c:v>1.4960899118586383E-12</c:v>
                </c:pt>
                <c:pt idx="138">
                  <c:v>1.4960899118586383E-12</c:v>
                </c:pt>
                <c:pt idx="139">
                  <c:v>1.4960899118586383E-12</c:v>
                </c:pt>
                <c:pt idx="140">
                  <c:v>1.4960899118586383E-12</c:v>
                </c:pt>
                <c:pt idx="141">
                  <c:v>1.4960899118586383E-12</c:v>
                </c:pt>
                <c:pt idx="142">
                  <c:v>1.4960899118586383E-12</c:v>
                </c:pt>
                <c:pt idx="143">
                  <c:v>1.4960899118586383E-12</c:v>
                </c:pt>
                <c:pt idx="144">
                  <c:v>1.4960899118586383E-12</c:v>
                </c:pt>
                <c:pt idx="145">
                  <c:v>1.4960899118586383E-12</c:v>
                </c:pt>
                <c:pt idx="146">
                  <c:v>1.4960899118586383E-12</c:v>
                </c:pt>
                <c:pt idx="147">
                  <c:v>1.4960899118586383E-12</c:v>
                </c:pt>
                <c:pt idx="148">
                  <c:v>1.4960899118586383E-12</c:v>
                </c:pt>
                <c:pt idx="149">
                  <c:v>1.4960899118586383E-12</c:v>
                </c:pt>
                <c:pt idx="150">
                  <c:v>1.4960899118586383E-12</c:v>
                </c:pt>
                <c:pt idx="151">
                  <c:v>1.4960899118586383E-12</c:v>
                </c:pt>
                <c:pt idx="152">
                  <c:v>1.4960899118586383E-12</c:v>
                </c:pt>
                <c:pt idx="153">
                  <c:v>1.4960899118586383E-12</c:v>
                </c:pt>
                <c:pt idx="154">
                  <c:v>1.4960899118586383E-12</c:v>
                </c:pt>
                <c:pt idx="155">
                  <c:v>1.4960899118586383E-12</c:v>
                </c:pt>
                <c:pt idx="156">
                  <c:v>1.4960899118586383E-12</c:v>
                </c:pt>
                <c:pt idx="157">
                  <c:v>1.4960899118586383E-12</c:v>
                </c:pt>
                <c:pt idx="158">
                  <c:v>1.4960899118586383E-12</c:v>
                </c:pt>
                <c:pt idx="159">
                  <c:v>1.4960899118586383E-12</c:v>
                </c:pt>
                <c:pt idx="160">
                  <c:v>1.4960899118586383E-12</c:v>
                </c:pt>
                <c:pt idx="161">
                  <c:v>1.4960899118586383E-12</c:v>
                </c:pt>
                <c:pt idx="162">
                  <c:v>1.4960899118586383E-12</c:v>
                </c:pt>
                <c:pt idx="163">
                  <c:v>1.4960899118586383E-12</c:v>
                </c:pt>
                <c:pt idx="164">
                  <c:v>1.4960899118586383E-12</c:v>
                </c:pt>
                <c:pt idx="165">
                  <c:v>1.4960899118586383E-12</c:v>
                </c:pt>
                <c:pt idx="166">
                  <c:v>1.4960899118586383E-12</c:v>
                </c:pt>
                <c:pt idx="167">
                  <c:v>1.4960899118586383E-12</c:v>
                </c:pt>
                <c:pt idx="168">
                  <c:v>1.4960899118586383E-12</c:v>
                </c:pt>
                <c:pt idx="169">
                  <c:v>1.4960899118586383E-12</c:v>
                </c:pt>
                <c:pt idx="170">
                  <c:v>1.4960899118586383E-12</c:v>
                </c:pt>
                <c:pt idx="171">
                  <c:v>1.4960899118586383E-12</c:v>
                </c:pt>
                <c:pt idx="172">
                  <c:v>1.4960899118586383E-12</c:v>
                </c:pt>
                <c:pt idx="173">
                  <c:v>1.4960899118586383E-12</c:v>
                </c:pt>
                <c:pt idx="174">
                  <c:v>1.4960899118586383E-12</c:v>
                </c:pt>
                <c:pt idx="175">
                  <c:v>1.4960899118586383E-12</c:v>
                </c:pt>
                <c:pt idx="176">
                  <c:v>1.4960899118586383E-12</c:v>
                </c:pt>
                <c:pt idx="177">
                  <c:v>1.4960899118586383E-12</c:v>
                </c:pt>
                <c:pt idx="178">
                  <c:v>1.4960899118586383E-12</c:v>
                </c:pt>
                <c:pt idx="179">
                  <c:v>1.4960899118586383E-12</c:v>
                </c:pt>
                <c:pt idx="180">
                  <c:v>1.4960899118586383E-12</c:v>
                </c:pt>
                <c:pt idx="181">
                  <c:v>1.4960899118586383E-12</c:v>
                </c:pt>
                <c:pt idx="182">
                  <c:v>1.4960899118586383E-12</c:v>
                </c:pt>
                <c:pt idx="183">
                  <c:v>1.4960899118586383E-12</c:v>
                </c:pt>
                <c:pt idx="184">
                  <c:v>1.4960899118586383E-12</c:v>
                </c:pt>
                <c:pt idx="185">
                  <c:v>1.4960899118586383E-12</c:v>
                </c:pt>
                <c:pt idx="186">
                  <c:v>1.4960899118586383E-12</c:v>
                </c:pt>
                <c:pt idx="187">
                  <c:v>1.4960899118586383E-12</c:v>
                </c:pt>
                <c:pt idx="188">
                  <c:v>1.4960899118586383E-12</c:v>
                </c:pt>
                <c:pt idx="189">
                  <c:v>1.4960899118586383E-12</c:v>
                </c:pt>
                <c:pt idx="190">
                  <c:v>1.4960899118586383E-12</c:v>
                </c:pt>
                <c:pt idx="191">
                  <c:v>1.4960899118586383E-12</c:v>
                </c:pt>
                <c:pt idx="192">
                  <c:v>1.4960899118586383E-12</c:v>
                </c:pt>
                <c:pt idx="193">
                  <c:v>1.4960899118586383E-12</c:v>
                </c:pt>
                <c:pt idx="194">
                  <c:v>1.4960899118586383E-12</c:v>
                </c:pt>
                <c:pt idx="195">
                  <c:v>1.4960899118586383E-12</c:v>
                </c:pt>
                <c:pt idx="196">
                  <c:v>1.4960899118586383E-12</c:v>
                </c:pt>
                <c:pt idx="197">
                  <c:v>1.4960899118586383E-12</c:v>
                </c:pt>
                <c:pt idx="198">
                  <c:v>1.4960899118586383E-12</c:v>
                </c:pt>
                <c:pt idx="199">
                  <c:v>1.4960899118586383E-12</c:v>
                </c:pt>
                <c:pt idx="200">
                  <c:v>1.4960899118586383E-12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1.8384859337570063</c:v>
                </c:pt>
                <c:pt idx="2">
                  <c:v>2.179328435244706</c:v>
                </c:pt>
                <c:pt idx="3">
                  <c:v>2.5835983685839596</c:v>
                </c:pt>
                <c:pt idx="4">
                  <c:v>3.0631408068451407</c:v>
                </c:pt>
                <c:pt idx="5">
                  <c:v>3.6320202351102231</c:v>
                </c:pt>
                <c:pt idx="6">
                  <c:v>4.3069376861440878</c:v>
                </c:pt>
                <c:pt idx="7">
                  <c:v>5.1077265000259793</c:v>
                </c:pt>
                <c:pt idx="8">
                  <c:v>6.0579415660975471</c:v>
                </c:pt>
                <c:pt idx="9">
                  <c:v>7.1855597202545356</c:v>
                </c:pt>
                <c:pt idx="10">
                  <c:v>8.5238123196371749</c:v>
                </c:pt>
                <c:pt idx="11">
                  <c:v>10.112175001806468</c:v>
                </c:pt>
                <c:pt idx="12">
                  <c:v>11.997544377547372</c:v>
                </c:pt>
                <c:pt idx="13">
                  <c:v>14.235637049599092</c:v>
                </c:pt>
                <c:pt idx="14">
                  <c:v>16.892653065433223</c:v>
                </c:pt>
                <c:pt idx="15">
                  <c:v>20.047253904954317</c:v>
                </c:pt>
                <c:pt idx="16">
                  <c:v>23.79291461692257</c:v>
                </c:pt>
                <c:pt idx="17">
                  <c:v>28.240721040642256</c:v>
                </c:pt>
                <c:pt idx="18">
                  <c:v>33.522696526948565</c:v>
                </c:pt>
                <c:pt idx="19">
                  <c:v>39.79575861552572</c:v>
                </c:pt>
                <c:pt idx="20">
                  <c:v>47.246425223300974</c:v>
                </c:pt>
                <c:pt idx="21">
                  <c:v>56.096412633700432</c:v>
                </c:pt>
                <c:pt idx="22">
                  <c:v>66.60929464284159</c:v>
                </c:pt>
                <c:pt idx="23">
                  <c:v>79.098424442762266</c:v>
                </c:pt>
                <c:pt idx="24">
                  <c:v>93.936359187985758</c:v>
                </c:pt>
                <c:pt idx="25">
                  <c:v>111.56607287269634</c:v>
                </c:pt>
                <c:pt idx="26">
                  <c:v>132.51429753832994</c:v>
                </c:pt>
                <c:pt idx="27">
                  <c:v>157.40739759934175</c:v>
                </c:pt>
                <c:pt idx="28">
                  <c:v>150.47080067026766</c:v>
                </c:pt>
                <c:pt idx="29">
                  <c:v>163.03802518757752</c:v>
                </c:pt>
                <c:pt idx="30">
                  <c:v>175.5823424815143</c:v>
                </c:pt>
                <c:pt idx="31">
                  <c:v>171.69161142115624</c:v>
                </c:pt>
                <c:pt idx="32">
                  <c:v>184.65292865116098</c:v>
                </c:pt>
                <c:pt idx="33">
                  <c:v>197.5929938437981</c:v>
                </c:pt>
                <c:pt idx="34">
                  <c:v>210.51339559418258</c:v>
                </c:pt>
                <c:pt idx="35">
                  <c:v>223.41551137926174</c:v>
                </c:pt>
                <c:pt idx="36">
                  <c:v>209.7386999787991</c:v>
                </c:pt>
                <c:pt idx="37">
                  <c:v>225.7360456637642</c:v>
                </c:pt>
                <c:pt idx="38">
                  <c:v>241.70742778160744</c:v>
                </c:pt>
                <c:pt idx="39">
                  <c:v>257.6548036297558</c:v>
                </c:pt>
                <c:pt idx="40">
                  <c:v>273.57986831240419</c:v>
                </c:pt>
                <c:pt idx="41">
                  <c:v>246.72563774429935</c:v>
                </c:pt>
                <c:pt idx="42">
                  <c:v>263.56500887269368</c:v>
                </c:pt>
                <c:pt idx="43">
                  <c:v>280.38011536928462</c:v>
                </c:pt>
                <c:pt idx="44">
                  <c:v>297.17261714760792</c:v>
                </c:pt>
                <c:pt idx="45">
                  <c:v>313.94397117822234</c:v>
                </c:pt>
                <c:pt idx="46">
                  <c:v>330.6954660452771</c:v>
                </c:pt>
                <c:pt idx="47">
                  <c:v>347.42824913031444</c:v>
                </c:pt>
                <c:pt idx="48">
                  <c:v>364.14334828281125</c:v>
                </c:pt>
                <c:pt idx="49">
                  <c:v>380.84168930245932</c:v>
                </c:pt>
                <c:pt idx="50">
                  <c:v>397.52411019447669</c:v>
                </c:pt>
                <c:pt idx="51">
                  <c:v>318.03772631875114</c:v>
                </c:pt>
                <c:pt idx="52">
                  <c:v>339.38345353834029</c:v>
                </c:pt>
                <c:pt idx="53">
                  <c:v>360.69965162293289</c:v>
                </c:pt>
                <c:pt idx="54">
                  <c:v>381.98831004710274</c:v>
                </c:pt>
                <c:pt idx="55">
                  <c:v>403.25117852574749</c:v>
                </c:pt>
                <c:pt idx="56">
                  <c:v>424.48980728723092</c:v>
                </c:pt>
                <c:pt idx="57">
                  <c:v>445.70557886452974</c:v>
                </c:pt>
                <c:pt idx="58">
                  <c:v>466.89973351747744</c:v>
                </c:pt>
                <c:pt idx="59">
                  <c:v>488.07338979889255</c:v>
                </c:pt>
                <c:pt idx="60">
                  <c:v>509.22756136675406</c:v>
                </c:pt>
                <c:pt idx="61">
                  <c:v>415.71741193017175</c:v>
                </c:pt>
                <c:pt idx="62">
                  <c:v>433.89355138573887</c:v>
                </c:pt>
                <c:pt idx="63">
                  <c:v>452.05334833358796</c:v>
                </c:pt>
                <c:pt idx="64">
                  <c:v>470.19755134133328</c:v>
                </c:pt>
                <c:pt idx="65">
                  <c:v>488.32684652200675</c:v>
                </c:pt>
                <c:pt idx="66">
                  <c:v>506.44186491750764</c:v>
                </c:pt>
                <c:pt idx="67">
                  <c:v>524.54318877098581</c:v>
                </c:pt>
                <c:pt idx="68">
                  <c:v>542.63135688868078</c:v>
                </c:pt>
                <c:pt idx="69">
                  <c:v>560.70686924994254</c:v>
                </c:pt>
                <c:pt idx="70">
                  <c:v>578.77019099216193</c:v>
                </c:pt>
                <c:pt idx="71">
                  <c:v>491.49482053067408</c:v>
                </c:pt>
                <c:pt idx="72">
                  <c:v>502.89596414017234</c:v>
                </c:pt>
                <c:pt idx="73">
                  <c:v>514.29164038230522</c:v>
                </c:pt>
                <c:pt idx="74">
                  <c:v>525.68198747118436</c:v>
                </c:pt>
                <c:pt idx="75">
                  <c:v>537.06713714333159</c:v>
                </c:pt>
                <c:pt idx="76">
                  <c:v>548.44721509505189</c:v>
                </c:pt>
                <c:pt idx="77">
                  <c:v>559.82234138161891</c:v>
                </c:pt>
                <c:pt idx="78">
                  <c:v>571.19263078233723</c:v>
                </c:pt>
                <c:pt idx="79">
                  <c:v>582.55819313503184</c:v>
                </c:pt>
                <c:pt idx="80">
                  <c:v>593.91913364308107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85" zoomScale="90" zoomScaleNormal="90" workbookViewId="0">
      <selection activeCell="D102" sqref="D102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3.25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164</v>
      </c>
      <c r="C9" s="35">
        <v>0.44</v>
      </c>
      <c r="D9" s="36">
        <f t="shared" ref="D9:D18" si="0">C9*$C$5</f>
        <v>1.43</v>
      </c>
      <c r="E9" s="37">
        <v>100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13</v>
      </c>
      <c r="C10" s="35">
        <v>0.12</v>
      </c>
      <c r="D10" s="36">
        <f t="shared" si="0"/>
        <v>0.39</v>
      </c>
      <c r="E10" s="37">
        <v>55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35</v>
      </c>
      <c r="C11" s="35">
        <v>0.44</v>
      </c>
      <c r="D11" s="36">
        <f t="shared" si="0"/>
        <v>1.43</v>
      </c>
      <c r="E11" s="37">
        <v>80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3.25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Cèdre de l'Atlas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118</v>
      </c>
      <c r="C36" s="63"/>
      <c r="D36" s="63"/>
      <c r="E36" s="54"/>
      <c r="F36" s="54"/>
      <c r="G36" s="54"/>
      <c r="H36" s="54"/>
      <c r="I36" s="52">
        <f>IFERROR(B36/A36,"")</f>
        <v>5.9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180</v>
      </c>
      <c r="C37" s="63"/>
      <c r="D37" s="63"/>
      <c r="E37" s="54"/>
      <c r="F37" s="54"/>
      <c r="G37" s="54"/>
      <c r="H37" s="54"/>
      <c r="I37" s="56">
        <f t="shared" ref="I37:I55" si="1">IF(A37&lt;&gt;0,(B37-(B36-D36))/(A37-A36),"")</f>
        <v>6.2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40</v>
      </c>
      <c r="B38" s="63">
        <v>250</v>
      </c>
      <c r="C38" s="63">
        <v>1</v>
      </c>
      <c r="D38" s="63">
        <v>63</v>
      </c>
      <c r="E38" s="54"/>
      <c r="F38" s="54"/>
      <c r="G38" s="54"/>
      <c r="H38" s="54">
        <v>1</v>
      </c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60</v>
      </c>
      <c r="B39" s="63">
        <v>337</v>
      </c>
      <c r="C39" s="63">
        <v>2</v>
      </c>
      <c r="D39" s="63">
        <v>67</v>
      </c>
      <c r="E39" s="54"/>
      <c r="F39" s="54"/>
      <c r="G39" s="54">
        <v>0.5</v>
      </c>
      <c r="H39" s="54">
        <v>0.5</v>
      </c>
      <c r="I39" s="52">
        <f t="shared" si="1"/>
        <v>7.5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70</v>
      </c>
      <c r="B40" s="63">
        <v>345</v>
      </c>
      <c r="C40" s="63">
        <v>3</v>
      </c>
      <c r="D40" s="63">
        <v>69</v>
      </c>
      <c r="E40" s="54">
        <v>0.25</v>
      </c>
      <c r="F40" s="54"/>
      <c r="G40" s="54">
        <v>0.75</v>
      </c>
      <c r="H40" s="54"/>
      <c r="I40" s="52">
        <f t="shared" si="1"/>
        <v>7.5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80</v>
      </c>
      <c r="B41" s="63">
        <v>353</v>
      </c>
      <c r="C41" s="63">
        <v>4</v>
      </c>
      <c r="D41" s="63">
        <v>71</v>
      </c>
      <c r="E41" s="54">
        <v>0.35</v>
      </c>
      <c r="F41" s="54"/>
      <c r="G41" s="54">
        <v>0.65</v>
      </c>
      <c r="H41" s="54"/>
      <c r="I41" s="56">
        <f t="shared" si="1"/>
        <v>7.7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90</v>
      </c>
      <c r="B42" s="63">
        <v>365</v>
      </c>
      <c r="C42" s="63">
        <v>5</v>
      </c>
      <c r="D42" s="63">
        <v>73</v>
      </c>
      <c r="E42" s="54">
        <v>0.5</v>
      </c>
      <c r="F42" s="54"/>
      <c r="G42" s="54">
        <v>0.5</v>
      </c>
      <c r="H42" s="54"/>
      <c r="I42" s="56">
        <f t="shared" si="1"/>
        <v>8.3000000000000007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53">
        <v>100</v>
      </c>
      <c r="B43" s="63">
        <v>375</v>
      </c>
      <c r="C43" s="63">
        <v>6</v>
      </c>
      <c r="D43" s="63">
        <v>375</v>
      </c>
      <c r="E43" s="54">
        <v>0.65</v>
      </c>
      <c r="F43" s="54"/>
      <c r="G43" s="54">
        <v>0.35</v>
      </c>
      <c r="H43" s="54"/>
      <c r="I43" s="52">
        <f t="shared" si="1"/>
        <v>8.3000000000000007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rouge d'Amérique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15</v>
      </c>
      <c r="B62" s="63">
        <v>107</v>
      </c>
      <c r="C62" s="63">
        <v>1</v>
      </c>
      <c r="D62" s="63">
        <v>34</v>
      </c>
      <c r="E62" s="54"/>
      <c r="F62" s="54"/>
      <c r="G62" s="54"/>
      <c r="H62" s="54">
        <v>1</v>
      </c>
      <c r="I62" s="56">
        <f>IFERROR(B62/A62,"")</f>
        <v>7.1333333333333337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20</v>
      </c>
      <c r="B63" s="63">
        <v>154</v>
      </c>
      <c r="C63" s="63">
        <v>2</v>
      </c>
      <c r="D63" s="63">
        <v>50</v>
      </c>
      <c r="E63" s="54"/>
      <c r="F63" s="54"/>
      <c r="G63" s="54"/>
      <c r="H63" s="54">
        <v>1</v>
      </c>
      <c r="I63" s="52">
        <f>IF(A63&lt;&gt;0,(B63-(B62-D62))/(A63-A62),"")</f>
        <v>16.2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25</v>
      </c>
      <c r="B64" s="63">
        <v>183</v>
      </c>
      <c r="C64" s="63">
        <v>3</v>
      </c>
      <c r="D64" s="63">
        <v>52</v>
      </c>
      <c r="E64" s="54"/>
      <c r="F64" s="54"/>
      <c r="G64" s="54"/>
      <c r="H64" s="54">
        <v>1</v>
      </c>
      <c r="I64" s="52">
        <f>IF(A64&lt;&gt;0,(B64-(B63-D63))/(A64-A63),"")</f>
        <v>15.8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3">
        <v>205</v>
      </c>
      <c r="C65" s="63">
        <v>4</v>
      </c>
      <c r="D65" s="63">
        <v>51</v>
      </c>
      <c r="E65" s="54"/>
      <c r="F65" s="54"/>
      <c r="G65" s="54"/>
      <c r="H65" s="54">
        <v>1</v>
      </c>
      <c r="I65" s="52">
        <f>IF(A65&lt;&gt;0,(B65-(B64-D64))/(A65-A64),"")</f>
        <v>14.8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35</v>
      </c>
      <c r="B66" s="63">
        <v>222</v>
      </c>
      <c r="C66" s="63">
        <v>5</v>
      </c>
      <c r="D66" s="63">
        <v>49</v>
      </c>
      <c r="E66" s="54">
        <v>0.2</v>
      </c>
      <c r="F66" s="54"/>
      <c r="G66" s="54"/>
      <c r="H66" s="54">
        <v>0.8</v>
      </c>
      <c r="I66" s="52">
        <f t="shared" ref="I66:I81" si="2">IF(A66&lt;&gt;0,(B66-(B65-D65))/(A66-A65),"")</f>
        <v>13.6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40</v>
      </c>
      <c r="B67" s="63">
        <v>235</v>
      </c>
      <c r="C67" s="63">
        <v>6</v>
      </c>
      <c r="D67" s="63">
        <v>45</v>
      </c>
      <c r="E67" s="54">
        <v>0.4</v>
      </c>
      <c r="F67" s="54"/>
      <c r="G67" s="54"/>
      <c r="H67" s="54">
        <v>0.6</v>
      </c>
      <c r="I67" s="52">
        <f t="shared" si="2"/>
        <v>12.4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45</v>
      </c>
      <c r="B68" s="63">
        <v>245</v>
      </c>
      <c r="C68" s="63">
        <v>7</v>
      </c>
      <c r="D68" s="63">
        <v>41</v>
      </c>
      <c r="E68" s="54">
        <v>0.5</v>
      </c>
      <c r="F68" s="54"/>
      <c r="G68" s="54"/>
      <c r="H68" s="54">
        <v>0.5</v>
      </c>
      <c r="I68" s="52">
        <f t="shared" si="2"/>
        <v>11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50</v>
      </c>
      <c r="B69" s="53">
        <v>252</v>
      </c>
      <c r="C69" s="53">
        <v>8</v>
      </c>
      <c r="D69" s="53">
        <v>37</v>
      </c>
      <c r="E69" s="54">
        <v>0.6</v>
      </c>
      <c r="F69" s="54"/>
      <c r="G69" s="54"/>
      <c r="H69" s="54">
        <v>0.4</v>
      </c>
      <c r="I69" s="52">
        <f t="shared" si="2"/>
        <v>9.6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55</v>
      </c>
      <c r="B70" s="53">
        <v>258</v>
      </c>
      <c r="C70" s="53">
        <v>9</v>
      </c>
      <c r="D70" s="53">
        <v>258</v>
      </c>
      <c r="E70" s="54">
        <v>0.7</v>
      </c>
      <c r="F70" s="54"/>
      <c r="G70" s="54"/>
      <c r="H70" s="54">
        <v>0.3</v>
      </c>
      <c r="I70" s="52">
        <f t="shared" si="2"/>
        <v>8.6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Pin laricio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27</v>
      </c>
      <c r="B88" s="63">
        <v>118</v>
      </c>
      <c r="C88" s="63">
        <v>1</v>
      </c>
      <c r="D88" s="63">
        <v>15</v>
      </c>
      <c r="E88" s="54"/>
      <c r="F88" s="54"/>
      <c r="G88" s="54"/>
      <c r="H88" s="93">
        <v>1</v>
      </c>
      <c r="I88" s="56">
        <f>IFERROR(B88/A88,"")</f>
        <v>4.3703703703703702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30</v>
      </c>
      <c r="B89" s="63">
        <v>132</v>
      </c>
      <c r="C89" s="63">
        <v>2</v>
      </c>
      <c r="D89" s="63">
        <v>13</v>
      </c>
      <c r="E89" s="54"/>
      <c r="F89" s="54"/>
      <c r="G89" s="54">
        <v>0.5</v>
      </c>
      <c r="H89" s="93">
        <v>0.5</v>
      </c>
      <c r="I89" s="56">
        <f t="shared" ref="I89:I107" si="3">IF(A89&lt;&gt;0,(B89-(B88-D88))/(A89-A88),"")</f>
        <v>9.6666666666666661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35</v>
      </c>
      <c r="B90" s="63">
        <v>169</v>
      </c>
      <c r="C90" s="63">
        <v>3</v>
      </c>
      <c r="D90" s="63">
        <v>23</v>
      </c>
      <c r="E90" s="93">
        <v>0.25</v>
      </c>
      <c r="F90" s="93"/>
      <c r="G90" s="93">
        <v>0.75</v>
      </c>
      <c r="H90" s="93"/>
      <c r="I90" s="56">
        <f t="shared" si="3"/>
        <v>10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40</v>
      </c>
      <c r="B91" s="63">
        <v>208</v>
      </c>
      <c r="C91" s="63">
        <v>4</v>
      </c>
      <c r="D91" s="63">
        <v>34</v>
      </c>
      <c r="E91" s="93">
        <v>0.35</v>
      </c>
      <c r="F91" s="93"/>
      <c r="G91" s="93">
        <v>0.65</v>
      </c>
      <c r="H91" s="93"/>
      <c r="I91" s="56">
        <f t="shared" si="3"/>
        <v>12.4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50</v>
      </c>
      <c r="B92" s="63">
        <v>305</v>
      </c>
      <c r="C92" s="63">
        <v>5</v>
      </c>
      <c r="D92" s="63">
        <v>79</v>
      </c>
      <c r="E92" s="93">
        <v>0.5</v>
      </c>
      <c r="F92" s="93"/>
      <c r="G92" s="93">
        <v>0.5</v>
      </c>
      <c r="H92" s="93"/>
      <c r="I92" s="56">
        <f t="shared" si="3"/>
        <v>13.1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60</v>
      </c>
      <c r="B93" s="63">
        <v>393</v>
      </c>
      <c r="C93" s="63">
        <v>6</v>
      </c>
      <c r="D93" s="63">
        <v>88</v>
      </c>
      <c r="E93" s="93">
        <v>0.65</v>
      </c>
      <c r="F93" s="93"/>
      <c r="G93" s="93">
        <v>0.35</v>
      </c>
      <c r="H93" s="93"/>
      <c r="I93" s="56">
        <f t="shared" si="3"/>
        <v>16.7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70</v>
      </c>
      <c r="B94" s="63">
        <v>448</v>
      </c>
      <c r="C94" s="63">
        <v>7</v>
      </c>
      <c r="D94" s="63">
        <v>78</v>
      </c>
      <c r="E94" s="93">
        <v>0.8</v>
      </c>
      <c r="F94" s="93"/>
      <c r="G94" s="93">
        <v>0.2</v>
      </c>
      <c r="H94" s="93"/>
      <c r="I94" s="56">
        <f t="shared" si="3"/>
        <v>14.3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80</v>
      </c>
      <c r="B95" s="63">
        <v>460</v>
      </c>
      <c r="C95" s="63">
        <v>8</v>
      </c>
      <c r="D95" s="63">
        <v>460</v>
      </c>
      <c r="E95" s="93">
        <v>0.9</v>
      </c>
      <c r="F95" s="93"/>
      <c r="G95" s="93">
        <v>0.1</v>
      </c>
      <c r="H95" s="93"/>
      <c r="I95" s="56">
        <f t="shared" si="3"/>
        <v>9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8" sqref="G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Cèdre de l'Atlas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rouge d'Amérique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Pin laricio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260.49759897936531</v>
      </c>
      <c r="T3" s="62">
        <f>IF('Données projet'!E9&gt;30,$R$33-$H$33,LOOKUP('Données projet'!$E$9,$A$3:$A$203,R3:R203)-LOOKUP('Données projet'!$E$9,$A$3:$A$203,$H$3:$H$203))</f>
        <v>223.74038909289635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304.32767345253382</v>
      </c>
      <c r="AO3" s="62">
        <f>IF('Données projet'!E10&gt;30,$AM$33-$H$33,LOOKUP('Données projet'!$E$10,$A$3:$A$203,AM3:AM203)-LOOKUP('Données projet'!$E$10,$A$3:$A$203,$H$3:$H$203))</f>
        <v>427.16091343339173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294.26495752303765</v>
      </c>
      <c r="BJ3" s="62">
        <f>IF('Données projet'!E11&gt;30,$BH$33-$H$33,LOOKUP('Données projet'!$E$11,$A$3:$A$203,BH3:BH203)-LOOKUP('Données projet'!$E$11,$A$3:$A$203,$H$3:$H$203))</f>
        <v>212.24900914818096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5.9</v>
      </c>
      <c r="N4" s="14">
        <f>IF('Données projet'!$A$36&gt;35,N3+M4-V3,IF(A4&lt;'Données projet'!$A$36,$K$205^A4,IF(A4='Données projet'!$A$36,'Données projet'!$B$36,N3+M4-V3)))</f>
        <v>1.2693871579679339</v>
      </c>
      <c r="O4" s="14">
        <f>N4*VLOOKUP('Données projet'!$B$9,Paramètres!$A$1:$I$89,3,0)*VLOOKUP('Données projet'!$B$9,Paramètres!$A$1:$I$89,5,0)</f>
        <v>0.59407318992899305</v>
      </c>
      <c r="P4" s="14">
        <f>EXP(-1.0587+0.8836*LN(O4)+0.284)</f>
        <v>0.2908821340390968</v>
      </c>
      <c r="Q4" s="22">
        <f t="shared" ref="Q4:Q34" si="2">(O4+P4)*0.475*44/12</f>
        <v>1.5412971892444229</v>
      </c>
      <c r="R4" s="62">
        <f t="shared" si="0"/>
        <v>259.43018607813326</v>
      </c>
      <c r="S4" s="62">
        <f ca="1">AVERAGE(OFFSET($R$3,0,0,'Données projet'!$E$9+1,1))-AVERAGE(OFFSET($H$3,0,0,'Données projet'!$E$9+1,1))</f>
        <v>260.49759897936531</v>
      </c>
      <c r="T4" s="62">
        <f>$T$3</f>
        <v>223.74038909289635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7.1333333333333337</v>
      </c>
      <c r="AI4" s="14">
        <f>IF('Données projet'!$A$62&gt;35,AI3+AH4-AQ3,IF(A4&lt;'Données projet'!$A$62,$AF$205^A4,IF(A4='Données projet'!$A$62,'Données projet'!$B$62,AI3+AH4-AQ3)))</f>
        <v>1.3655017210306359</v>
      </c>
      <c r="AJ4" s="14">
        <f>AI4*VLOOKUP('Données projet'!$B$10,Paramètres!$A$1:$I$89,3,0)*VLOOKUP('Données projet'!$B$10,Paramètres!$A$1:$I$89,5,0)</f>
        <v>1.1929023034923638</v>
      </c>
      <c r="AK4" s="14">
        <f>EXP(-1.0587+0.8836*LN(AJ4)+0.284)</f>
        <v>0.53856749022761552</v>
      </c>
      <c r="AL4" s="22">
        <f t="shared" ref="AL4:AL67" si="4">(AJ4+AK4)*0.475*44/12</f>
        <v>3.015643224062297</v>
      </c>
      <c r="AM4" s="62">
        <f t="shared" ref="AM4:AM67" si="5">AL4+(AD4+AE4)*44/12</f>
        <v>260.90453211295113</v>
      </c>
      <c r="AN4" s="62">
        <f ca="1">AVERAGE(OFFSET($AM$3,0,0,'Données projet'!$E$10+1,1))-AVERAGE(OFFSET($H$3,0,0,'Données projet'!$E$10+1,1))</f>
        <v>304.32767345253382</v>
      </c>
      <c r="AO4" s="62">
        <f>$AO$3</f>
        <v>427.16091343339173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4.3703703703703702</v>
      </c>
      <c r="BD4" s="13">
        <f>IF('Données projet'!$A$88&gt;35,BD3+BC4-BL3,IF(A4&lt;'Données projet'!$A$88,$BA$205^A4,IF(A4='Données projet'!$A$88,'Données projet'!$B$88,BD3+BC4-BL3)))</f>
        <v>1.1932635389591795</v>
      </c>
      <c r="BE4" s="14">
        <f>BD4*VLOOKUP('Données projet'!$B$11,Paramètres!$A$1:$I$89,3,0)*VLOOKUP('Données projet'!$B$11,Paramètres!$A$1:$I$89,5,0)</f>
        <v>0.71357159629758937</v>
      </c>
      <c r="BF4" s="14">
        <f>EXP(-1.0587+0.8836*LN(BE4)+0.284)</f>
        <v>0.34201841351504586</v>
      </c>
      <c r="BG4" s="22">
        <f t="shared" ref="BG4:BG67" si="7">(BE4+BF4)*0.475*44/12</f>
        <v>1.8384859337570063</v>
      </c>
      <c r="BH4" s="62">
        <f t="shared" ref="BH4:BH67" si="8">BG4+(AY4+AZ4)*44/12</f>
        <v>259.72737482264586</v>
      </c>
      <c r="BI4" s="62">
        <f ca="1">AVERAGE(OFFSET($BH$3,0,0,'Données projet'!$E$11+1,1))-AVERAGE(OFFSET($H$3,0,0,'Données projet'!$E$11+1,1))</f>
        <v>294.26495752303765</v>
      </c>
      <c r="BJ4" s="62">
        <f>$BJ$3</f>
        <v>212.24900914818096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5.9</v>
      </c>
      <c r="N5" s="14">
        <f>IF('Données projet'!$A$36&gt;35,N4+M5-V4,IF(A5&lt;'Données projet'!$A$36,$K$205^A5,IF(A5='Données projet'!$A$36,'Données projet'!$B$36,N4+M5-V4)))</f>
        <v>1.6113437568139084</v>
      </c>
      <c r="O5" s="14">
        <f>N5*VLOOKUP('Données projet'!$B$9,Paramètres!$A$1:$I$89,3,0)*VLOOKUP('Données projet'!$B$9,Paramètres!$A$1:$I$89,5,0)</f>
        <v>0.75410887818890915</v>
      </c>
      <c r="P5" s="14">
        <f t="shared" ref="P5:P68" si="33">EXP(-1.0587+0.8836*LN(O5)+0.284)</f>
        <v>0.35913091730277963</v>
      </c>
      <c r="Q5" s="22">
        <f t="shared" si="2"/>
        <v>1.9388926438146914</v>
      </c>
      <c r="R5" s="62">
        <f t="shared" si="0"/>
        <v>261.05000375492585</v>
      </c>
      <c r="S5" s="62">
        <f ca="1">AVERAGE(OFFSET($R$3,0,0,'Données projet'!$E$9+1,1))-AVERAGE(OFFSET($H$3,0,0,'Données projet'!$E$9+1,1))</f>
        <v>260.49759897936531</v>
      </c>
      <c r="T5" s="62">
        <f t="shared" ref="T5:T68" si="34">$T$3</f>
        <v>223.74038909289635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7.1333333333333337</v>
      </c>
      <c r="AI5" s="14">
        <f>IF('Données projet'!$A$62&gt;35,AI4+AH5-AQ4,IF(A5&lt;'Données projet'!$A$62,$AF$205^A5,IF(A5='Données projet'!$A$62,'Données projet'!$B$62,AI4+AH5-AQ4)))</f>
        <v>1.8645949501376287</v>
      </c>
      <c r="AJ5" s="14">
        <f>AI5*VLOOKUP('Données projet'!$B$10,Paramètres!$A$1:$I$89,3,0)*VLOOKUP('Données projet'!$B$10,Paramètres!$A$1:$I$89,5,0)</f>
        <v>1.6289101484402326</v>
      </c>
      <c r="AK5" s="14">
        <f t="shared" ref="AK5:AK68" si="35">EXP(-1.0587+0.8836*LN(AJ5)+0.284)</f>
        <v>0.70922554238821334</v>
      </c>
      <c r="AL5" s="22">
        <f t="shared" si="4"/>
        <v>4.0722529948595438</v>
      </c>
      <c r="AM5" s="62">
        <f t="shared" si="5"/>
        <v>263.18336410597067</v>
      </c>
      <c r="AN5" s="62">
        <f ca="1">AVERAGE(OFFSET($AM$3,0,0,'Données projet'!$E$10+1,1))-AVERAGE(OFFSET($H$3,0,0,'Données projet'!$E$10+1,1))</f>
        <v>304.32767345253382</v>
      </c>
      <c r="AO5" s="62">
        <f t="shared" ref="AO5:AO68" si="36">$AO$3</f>
        <v>427.16091343339173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4.3703703703703702</v>
      </c>
      <c r="BD5" s="13">
        <f>IF('Données projet'!$A$88&gt;35,BD4+BC5-BL4,IF(A5&lt;'Données projet'!$A$88,$BA$205^A5,IF(A5='Données projet'!$A$88,'Données projet'!$B$88,BD4+BC5-BL4)))</f>
        <v>1.4238778734093853</v>
      </c>
      <c r="BE5" s="14">
        <f>BD5*VLOOKUP('Données projet'!$B$11,Paramètres!$A$1:$I$89,3,0)*VLOOKUP('Données projet'!$B$11,Paramètres!$A$1:$I$89,5,0)</f>
        <v>0.85147896829881242</v>
      </c>
      <c r="BF5" s="14">
        <f t="shared" ref="BF5:BF68" si="37">EXP(-1.0587+0.8836*LN(BE5)+0.284)</f>
        <v>0.39981008543020569</v>
      </c>
      <c r="BG5" s="22">
        <f t="shared" si="7"/>
        <v>2.179328435244706</v>
      </c>
      <c r="BH5" s="62">
        <f t="shared" si="8"/>
        <v>261.29043954635586</v>
      </c>
      <c r="BI5" s="62">
        <f ca="1">AVERAGE(OFFSET($BH$3,0,0,'Données projet'!$E$11+1,1))-AVERAGE(OFFSET($H$3,0,0,'Données projet'!$E$11+1,1))</f>
        <v>294.26495752303765</v>
      </c>
      <c r="BJ5" s="62">
        <f t="shared" ref="BJ5:BJ68" si="38">$BJ$3</f>
        <v>212.24900914818096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5.9</v>
      </c>
      <c r="N6" s="14">
        <f>IF('Données projet'!$A$36&gt;35,N5+M6-V5,IF(A6&lt;'Données projet'!$A$36,$K$205^A6,IF(A6='Données projet'!$A$36,'Données projet'!$B$36,N5+M6-V5)))</f>
        <v>2.0454190719713807</v>
      </c>
      <c r="O6" s="14">
        <f>N6*VLOOKUP('Données projet'!$B$9,Paramètres!$A$1:$I$89,3,0)*VLOOKUP('Données projet'!$B$9,Paramètres!$A$1:$I$89,5,0)</f>
        <v>0.9572561256826061</v>
      </c>
      <c r="P6" s="14">
        <f t="shared" si="33"/>
        <v>0.44339270333254871</v>
      </c>
      <c r="Q6" s="22">
        <f t="shared" si="2"/>
        <v>2.4394633772013945</v>
      </c>
      <c r="R6" s="62">
        <f t="shared" si="0"/>
        <v>262.77279671053469</v>
      </c>
      <c r="S6" s="62">
        <f ca="1">AVERAGE(OFFSET($R$3,0,0,'Données projet'!$E$9+1,1))-AVERAGE(OFFSET($H$3,0,0,'Données projet'!$E$9+1,1))</f>
        <v>260.49759897936531</v>
      </c>
      <c r="T6" s="62">
        <f t="shared" si="34"/>
        <v>223.74038909289635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7.1333333333333337</v>
      </c>
      <c r="AI6" s="14">
        <f>IF('Données projet'!$A$62&gt;35,AI5+AH6-AQ5,IF(A6&lt;'Données projet'!$A$62,$AF$205^A6,IF(A6='Données projet'!$A$62,'Données projet'!$B$62,AI5+AH6-AQ5)))</f>
        <v>2.5461076134379645</v>
      </c>
      <c r="AJ6" s="14">
        <f>AI6*VLOOKUP('Données projet'!$B$10,Paramètres!$A$1:$I$89,3,0)*VLOOKUP('Données projet'!$B$10,Paramètres!$A$1:$I$89,5,0)</f>
        <v>2.2242796110994063</v>
      </c>
      <c r="AK6" s="14">
        <f t="shared" si="35"/>
        <v>0.93396069963909534</v>
      </c>
      <c r="AL6" s="22">
        <f t="shared" si="4"/>
        <v>5.5006018745362235</v>
      </c>
      <c r="AM6" s="62">
        <f t="shared" si="5"/>
        <v>265.83393520786956</v>
      </c>
      <c r="AN6" s="62">
        <f ca="1">AVERAGE(OFFSET($AM$3,0,0,'Données projet'!$E$10+1,1))-AVERAGE(OFFSET($H$3,0,0,'Données projet'!$E$10+1,1))</f>
        <v>304.32767345253382</v>
      </c>
      <c r="AO6" s="62">
        <f t="shared" si="36"/>
        <v>427.16091343339173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4.3703703703703702</v>
      </c>
      <c r="BD6" s="13">
        <f>IF('Données projet'!$A$88&gt;35,BD5+BC6-BL5,IF(A6&lt;'Données projet'!$A$88,$BA$205^A6,IF(A6='Données projet'!$A$88,'Données projet'!$B$88,BD5+BC6-BL5)))</f>
        <v>1.6990615502701536</v>
      </c>
      <c r="BE6" s="14">
        <f>BD6*VLOOKUP('Données projet'!$B$11,Paramètres!$A$1:$I$89,3,0)*VLOOKUP('Données projet'!$B$11,Paramètres!$A$1:$I$89,5,0)</f>
        <v>1.0160388070615518</v>
      </c>
      <c r="BF6" s="14">
        <f t="shared" si="37"/>
        <v>0.46736695480483653</v>
      </c>
      <c r="BG6" s="22">
        <f t="shared" si="7"/>
        <v>2.5835983685839596</v>
      </c>
      <c r="BH6" s="62">
        <f t="shared" si="8"/>
        <v>262.91693170191729</v>
      </c>
      <c r="BI6" s="62">
        <f ca="1">AVERAGE(OFFSET($BH$3,0,0,'Données projet'!$E$11+1,1))-AVERAGE(OFFSET($H$3,0,0,'Données projet'!$E$11+1,1))</f>
        <v>294.26495752303765</v>
      </c>
      <c r="BJ6" s="62">
        <f t="shared" si="38"/>
        <v>212.24900914818096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5.9</v>
      </c>
      <c r="N7" s="14">
        <f>IF('Données projet'!$A$36&gt;35,N6+M7-V6,IF(A7&lt;'Données projet'!$A$36,$K$205^A7,IF(A7='Données projet'!$A$36,'Données projet'!$B$36,N6+M7-V6)))</f>
        <v>2.5964287026231601</v>
      </c>
      <c r="O7" s="14">
        <f>N7*VLOOKUP('Données projet'!$B$9,Paramètres!$A$1:$I$89,3,0)*VLOOKUP('Données projet'!$B$9,Paramètres!$A$1:$I$89,5,0)</f>
        <v>1.2151286328276389</v>
      </c>
      <c r="P7" s="14">
        <f t="shared" si="33"/>
        <v>0.5474245738714737</v>
      </c>
      <c r="Q7" s="22">
        <f t="shared" si="2"/>
        <v>3.069780168334288</v>
      </c>
      <c r="R7" s="62">
        <f t="shared" si="0"/>
        <v>264.6253357238898</v>
      </c>
      <c r="S7" s="62">
        <f ca="1">AVERAGE(OFFSET($R$3,0,0,'Données projet'!$E$9+1,1))-AVERAGE(OFFSET($H$3,0,0,'Données projet'!$E$9+1,1))</f>
        <v>260.49759897936531</v>
      </c>
      <c r="T7" s="62">
        <f t="shared" si="34"/>
        <v>223.74038909289635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7.1333333333333337</v>
      </c>
      <c r="AI7" s="14">
        <f>IF('Données projet'!$A$62&gt;35,AI6+AH7-AQ6,IF(A7&lt;'Données projet'!$A$62,$AF$205^A7,IF(A7='Données projet'!$A$62,'Données projet'!$B$62,AI6+AH7-AQ6)))</f>
        <v>3.4767143280787458</v>
      </c>
      <c r="AJ7" s="14">
        <f>AI7*VLOOKUP('Données projet'!$B$10,Paramètres!$A$1:$I$89,3,0)*VLOOKUP('Données projet'!$B$10,Paramètres!$A$1:$I$89,5,0)</f>
        <v>3.0372576370095925</v>
      </c>
      <c r="AK7" s="14">
        <f t="shared" si="35"/>
        <v>1.2299085923119242</v>
      </c>
      <c r="AL7" s="22">
        <f t="shared" si="4"/>
        <v>7.4319811827349751</v>
      </c>
      <c r="AM7" s="62">
        <f t="shared" si="5"/>
        <v>268.98753673829054</v>
      </c>
      <c r="AN7" s="62">
        <f ca="1">AVERAGE(OFFSET($AM$3,0,0,'Données projet'!$E$10+1,1))-AVERAGE(OFFSET($H$3,0,0,'Données projet'!$E$10+1,1))</f>
        <v>304.32767345253382</v>
      </c>
      <c r="AO7" s="62">
        <f t="shared" si="36"/>
        <v>427.16091343339173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4.3703703703703702</v>
      </c>
      <c r="BD7" s="13">
        <f>IF('Données projet'!$A$88&gt;35,BD6+BC7-BL6,IF(A7&lt;'Données projet'!$A$88,$BA$205^A7,IF(A7='Données projet'!$A$88,'Données projet'!$B$88,BD6+BC7-BL6)))</f>
        <v>2.0274281983848335</v>
      </c>
      <c r="BE7" s="14">
        <f>BD7*VLOOKUP('Données projet'!$B$11,Paramètres!$A$1:$I$89,3,0)*VLOOKUP('Données projet'!$B$11,Paramètres!$A$1:$I$89,5,0)</f>
        <v>1.2124020626341305</v>
      </c>
      <c r="BF7" s="14">
        <f t="shared" si="37"/>
        <v>0.54633907048269681</v>
      </c>
      <c r="BG7" s="22">
        <f t="shared" si="7"/>
        <v>3.0631408068451407</v>
      </c>
      <c r="BH7" s="62">
        <f t="shared" si="8"/>
        <v>264.61869636240067</v>
      </c>
      <c r="BI7" s="62">
        <f ca="1">AVERAGE(OFFSET($BH$3,0,0,'Données projet'!$E$11+1,1))-AVERAGE(OFFSET($H$3,0,0,'Données projet'!$E$11+1,1))</f>
        <v>294.26495752303765</v>
      </c>
      <c r="BJ7" s="62">
        <f t="shared" si="38"/>
        <v>212.24900914818096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5.9</v>
      </c>
      <c r="N8" s="14">
        <f>IF('Données projet'!$A$36&gt;35,N7+M8-V7,IF(A8&lt;'Données projet'!$A$36,$K$205^A8,IF(A8='Données projet'!$A$36,'Données projet'!$B$36,N7+M8-V7)))</f>
        <v>3.2958732516891831</v>
      </c>
      <c r="O8" s="14">
        <f>N8*VLOOKUP('Données projet'!$B$9,Paramètres!$A$1:$I$89,3,0)*VLOOKUP('Données projet'!$B$9,Paramètres!$A$1:$I$89,5,0)</f>
        <v>1.5424686817905375</v>
      </c>
      <c r="P8" s="14">
        <f t="shared" si="33"/>
        <v>0.67586512323277081</v>
      </c>
      <c r="Q8" s="22">
        <f t="shared" si="2"/>
        <v>3.8635980437489281</v>
      </c>
      <c r="R8" s="62">
        <f t="shared" si="0"/>
        <v>266.64137582152671</v>
      </c>
      <c r="S8" s="62">
        <f ca="1">AVERAGE(OFFSET($R$3,0,0,'Données projet'!$E$9+1,1))-AVERAGE(OFFSET($H$3,0,0,'Données projet'!$E$9+1,1))</f>
        <v>260.49759897936531</v>
      </c>
      <c r="T8" s="62">
        <f t="shared" si="34"/>
        <v>223.74038909289635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7.1333333333333337</v>
      </c>
      <c r="AI8" s="14">
        <f>IF('Données projet'!$A$62&gt;35,AI7+AH8-AQ7,IF(A8&lt;'Données projet'!$A$62,$AF$205^A8,IF(A8='Données projet'!$A$62,'Données projet'!$B$62,AI7+AH8-AQ7)))</f>
        <v>4.7474593985233984</v>
      </c>
      <c r="AJ8" s="14">
        <f>AI8*VLOOKUP('Données projet'!$B$10,Paramètres!$A$1:$I$89,3,0)*VLOOKUP('Données projet'!$B$10,Paramètres!$A$1:$I$89,5,0)</f>
        <v>4.1473805305500413</v>
      </c>
      <c r="AK8" s="14">
        <f t="shared" si="35"/>
        <v>1.6196346870133109</v>
      </c>
      <c r="AL8" s="22">
        <f t="shared" si="4"/>
        <v>10.044218170589504</v>
      </c>
      <c r="AM8" s="62">
        <f t="shared" si="5"/>
        <v>272.82199594836726</v>
      </c>
      <c r="AN8" s="62">
        <f ca="1">AVERAGE(OFFSET($AM$3,0,0,'Données projet'!$E$10+1,1))-AVERAGE(OFFSET($H$3,0,0,'Données projet'!$E$10+1,1))</f>
        <v>304.32767345253382</v>
      </c>
      <c r="AO8" s="62">
        <f t="shared" si="36"/>
        <v>427.16091343339173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4.3703703703703702</v>
      </c>
      <c r="BD8" s="13">
        <f>IF('Données projet'!$A$88&gt;35,BD7+BC8-BL7,IF(A8&lt;'Données projet'!$A$88,$BA$205^A8,IF(A8='Données projet'!$A$88,'Données projet'!$B$88,BD7+BC8-BL7)))</f>
        <v>2.4192561469903198</v>
      </c>
      <c r="BE8" s="14">
        <f>BD8*VLOOKUP('Données projet'!$B$11,Paramètres!$A$1:$I$89,3,0)*VLOOKUP('Données projet'!$B$11,Paramètres!$A$1:$I$89,5,0)</f>
        <v>1.4467151759002115</v>
      </c>
      <c r="BF8" s="14">
        <f t="shared" si="37"/>
        <v>0.63865529401953391</v>
      </c>
      <c r="BG8" s="22">
        <f t="shared" si="7"/>
        <v>3.6320202351102231</v>
      </c>
      <c r="BH8" s="62">
        <f t="shared" si="8"/>
        <v>266.40979801288802</v>
      </c>
      <c r="BI8" s="62">
        <f ca="1">AVERAGE(OFFSET($BH$3,0,0,'Données projet'!$E$11+1,1))-AVERAGE(OFFSET($H$3,0,0,'Données projet'!$E$11+1,1))</f>
        <v>294.26495752303765</v>
      </c>
      <c r="BJ8" s="62">
        <f t="shared" si="38"/>
        <v>212.24900914818096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5.9</v>
      </c>
      <c r="N9" s="14">
        <f>IF('Données projet'!$A$36&gt;35,N8+M9-V8,IF(A9&lt;'Données projet'!$A$36,$K$205^A9,IF(A9='Données projet'!$A$36,'Données projet'!$B$36,N8+M9-V8)))</f>
        <v>4.1837391799842649</v>
      </c>
      <c r="O9" s="14">
        <f>N9*VLOOKUP('Données projet'!$B$9,Paramètres!$A$1:$I$89,3,0)*VLOOKUP('Données projet'!$B$9,Paramètres!$A$1:$I$89,5,0)</f>
        <v>1.9579899362326361</v>
      </c>
      <c r="P9" s="14">
        <f t="shared" si="33"/>
        <v>0.83444128489141656</v>
      </c>
      <c r="Q9" s="22">
        <f t="shared" si="2"/>
        <v>4.8634843767910576</v>
      </c>
      <c r="R9" s="62">
        <f t="shared" si="0"/>
        <v>268.86348437679106</v>
      </c>
      <c r="S9" s="62">
        <f ca="1">AVERAGE(OFFSET($R$3,0,0,'Données projet'!$E$9+1,1))-AVERAGE(OFFSET($H$3,0,0,'Données projet'!$E$9+1,1))</f>
        <v>260.49759897936531</v>
      </c>
      <c r="T9" s="62">
        <f t="shared" si="34"/>
        <v>223.74038909289635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7.1333333333333337</v>
      </c>
      <c r="AI9" s="14">
        <f>IF('Données projet'!$A$62&gt;35,AI8+AH9-AQ8,IF(A9&lt;'Données projet'!$A$62,$AF$205^A9,IF(A9='Données projet'!$A$62,'Données projet'!$B$62,AI8+AH9-AQ8)))</f>
        <v>6.4826639792067677</v>
      </c>
      <c r="AJ9" s="14">
        <f>AI9*VLOOKUP('Données projet'!$B$10,Paramètres!$A$1:$I$89,3,0)*VLOOKUP('Données projet'!$B$10,Paramètres!$A$1:$I$89,5,0)</f>
        <v>5.6632552522350332</v>
      </c>
      <c r="AK9" s="14">
        <f t="shared" si="35"/>
        <v>2.1328548607386395</v>
      </c>
      <c r="AL9" s="22">
        <f t="shared" si="4"/>
        <v>13.578225113429147</v>
      </c>
      <c r="AM9" s="62">
        <f t="shared" si="5"/>
        <v>277.57822511342914</v>
      </c>
      <c r="AN9" s="62">
        <f ca="1">AVERAGE(OFFSET($AM$3,0,0,'Données projet'!$E$10+1,1))-AVERAGE(OFFSET($H$3,0,0,'Données projet'!$E$10+1,1))</f>
        <v>304.32767345253382</v>
      </c>
      <c r="AO9" s="62">
        <f t="shared" si="36"/>
        <v>427.16091343339173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4.3703703703703702</v>
      </c>
      <c r="BD9" s="13">
        <f>IF('Données projet'!$A$88&gt;35,BD8+BC9-BL8,IF(A9&lt;'Données projet'!$A$88,$BA$205^A9,IF(A9='Données projet'!$A$88,'Données projet'!$B$88,BD8+BC9-BL8)))</f>
        <v>2.8868101516064182</v>
      </c>
      <c r="BE9" s="14">
        <f>BD9*VLOOKUP('Données projet'!$B$11,Paramètres!$A$1:$I$89,3,0)*VLOOKUP('Données projet'!$B$11,Paramètres!$A$1:$I$89,5,0)</f>
        <v>1.7263124706606381</v>
      </c>
      <c r="BF9" s="14">
        <f t="shared" si="37"/>
        <v>0.7465704113359678</v>
      </c>
      <c r="BG9" s="22">
        <f t="shared" si="7"/>
        <v>4.3069376861440878</v>
      </c>
      <c r="BH9" s="62">
        <f t="shared" si="8"/>
        <v>268.30693768614407</v>
      </c>
      <c r="BI9" s="62">
        <f ca="1">AVERAGE(OFFSET($BH$3,0,0,'Données projet'!$E$11+1,1))-AVERAGE(OFFSET($H$3,0,0,'Données projet'!$E$11+1,1))</f>
        <v>294.26495752303765</v>
      </c>
      <c r="BJ9" s="62">
        <f t="shared" si="38"/>
        <v>212.24900914818096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5.9</v>
      </c>
      <c r="N10" s="14">
        <f>IF('Données projet'!$A$36&gt;35,N9+M10-V9,IF(A10&lt;'Données projet'!$A$36,$K$205^A10,IF(A10='Données projet'!$A$36,'Données projet'!$B$36,N9+M10-V9)))</f>
        <v>5.3107847873593199</v>
      </c>
      <c r="O10" s="14">
        <f>N10*VLOOKUP('Données projet'!$B$9,Paramètres!$A$1:$I$89,3,0)*VLOOKUP('Données projet'!$B$9,Paramètres!$A$1:$I$89,5,0)</f>
        <v>2.4854472804841619</v>
      </c>
      <c r="P10" s="14">
        <f t="shared" si="33"/>
        <v>1.0302236851648165</v>
      </c>
      <c r="Q10" s="22">
        <f t="shared" si="2"/>
        <v>6.1231269318386374</v>
      </c>
      <c r="R10" s="62">
        <f t="shared" si="0"/>
        <v>271.34534915406084</v>
      </c>
      <c r="S10" s="62">
        <f ca="1">AVERAGE(OFFSET($R$3,0,0,'Données projet'!$E$9+1,1))-AVERAGE(OFFSET($H$3,0,0,'Données projet'!$E$9+1,1))</f>
        <v>260.49759897936531</v>
      </c>
      <c r="T10" s="62">
        <f t="shared" si="34"/>
        <v>223.74038909289635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7.1333333333333337</v>
      </c>
      <c r="AI10" s="14">
        <f>IF('Données projet'!$A$62&gt;35,AI9+AH10-AQ9,IF(A10&lt;'Données projet'!$A$62,$AF$205^A10,IF(A10='Données projet'!$A$62,'Données projet'!$B$62,AI9+AH10-AQ9)))</f>
        <v>8.8520888204701524</v>
      </c>
      <c r="AJ10" s="14">
        <f>AI10*VLOOKUP('Données projet'!$B$10,Paramètres!$A$1:$I$89,3,0)*VLOOKUP('Données projet'!$B$10,Paramètres!$A$1:$I$89,5,0)</f>
        <v>7.7331847935627263</v>
      </c>
      <c r="AK10" s="14">
        <f t="shared" si="35"/>
        <v>2.8087011802427866</v>
      </c>
      <c r="AL10" s="22">
        <f t="shared" si="4"/>
        <v>18.360451404377937</v>
      </c>
      <c r="AM10" s="62">
        <f t="shared" si="5"/>
        <v>283.58267362660018</v>
      </c>
      <c r="AN10" s="62">
        <f ca="1">AVERAGE(OFFSET($AM$3,0,0,'Données projet'!$E$10+1,1))-AVERAGE(OFFSET($H$3,0,0,'Données projet'!$E$10+1,1))</f>
        <v>304.32767345253382</v>
      </c>
      <c r="AO10" s="62">
        <f t="shared" si="36"/>
        <v>427.16091343339173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4.3703703703703702</v>
      </c>
      <c r="BD10" s="13">
        <f>IF('Données projet'!$A$88&gt;35,BD9+BC10-BL9,IF(A10&lt;'Données projet'!$A$88,$BA$205^A10,IF(A10='Données projet'!$A$88,'Données projet'!$B$88,BD9+BC10-BL9)))</f>
        <v>3.4447252978091596</v>
      </c>
      <c r="BE10" s="14">
        <f>BD10*VLOOKUP('Données projet'!$B$11,Paramètres!$A$1:$I$89,3,0)*VLOOKUP('Données projet'!$B$11,Paramètres!$A$1:$I$89,5,0)</f>
        <v>2.0599457280898776</v>
      </c>
      <c r="BF10" s="14">
        <f t="shared" si="37"/>
        <v>0.87272020493939328</v>
      </c>
      <c r="BG10" s="22">
        <f t="shared" si="7"/>
        <v>5.1077265000259793</v>
      </c>
      <c r="BH10" s="62">
        <f t="shared" si="8"/>
        <v>270.32994872224822</v>
      </c>
      <c r="BI10" s="62">
        <f ca="1">AVERAGE(OFFSET($BH$3,0,0,'Données projet'!$E$11+1,1))-AVERAGE(OFFSET($H$3,0,0,'Données projet'!$E$11+1,1))</f>
        <v>294.26495752303765</v>
      </c>
      <c r="BJ10" s="62">
        <f t="shared" si="38"/>
        <v>212.24900914818096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5.9</v>
      </c>
      <c r="N11" s="14">
        <f>IF('Données projet'!$A$36&gt;35,N10+M11-V10,IF(A11&lt;'Données projet'!$A$36,$K$205^A11,IF(A11='Données projet'!$A$36,'Données projet'!$B$36,N10+M11-V10)))</f>
        <v>6.7414420078053858</v>
      </c>
      <c r="O11" s="14">
        <f>N11*VLOOKUP('Données projet'!$B$9,Paramètres!$A$1:$I$89,3,0)*VLOOKUP('Données projet'!$B$9,Paramètres!$A$1:$I$89,5,0)</f>
        <v>3.1549948596529207</v>
      </c>
      <c r="P11" s="14">
        <f t="shared" si="33"/>
        <v>1.2719419097446589</v>
      </c>
      <c r="Q11" s="22">
        <f t="shared" si="2"/>
        <v>7.7102482067007854</v>
      </c>
      <c r="R11" s="62">
        <f t="shared" si="0"/>
        <v>274.15469265114524</v>
      </c>
      <c r="S11" s="62">
        <f ca="1">AVERAGE(OFFSET($R$3,0,0,'Données projet'!$E$9+1,1))-AVERAGE(OFFSET($H$3,0,0,'Données projet'!$E$9+1,1))</f>
        <v>260.49759897936531</v>
      </c>
      <c r="T11" s="62">
        <f t="shared" si="34"/>
        <v>223.74038909289635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7.1333333333333337</v>
      </c>
      <c r="AI11" s="14">
        <f>IF('Données projet'!$A$62&gt;35,AI10+AH11-AQ10,IF(A11&lt;'Données projet'!$A$62,$AF$205^A11,IF(A11='Données projet'!$A$62,'Données projet'!$B$62,AI10+AH11-AQ10)))</f>
        <v>12.087542519068045</v>
      </c>
      <c r="AJ11" s="14">
        <f>AI11*VLOOKUP('Données projet'!$B$10,Paramètres!$A$1:$I$89,3,0)*VLOOKUP('Données projet'!$B$10,Paramètres!$A$1:$I$89,5,0)</f>
        <v>10.559677144657845</v>
      </c>
      <c r="AK11" s="14">
        <f t="shared" si="35"/>
        <v>3.6987056480557761</v>
      </c>
      <c r="AL11" s="22">
        <f t="shared" si="4"/>
        <v>24.83335003064289</v>
      </c>
      <c r="AM11" s="62">
        <f t="shared" si="5"/>
        <v>291.27779447508738</v>
      </c>
      <c r="AN11" s="62">
        <f ca="1">AVERAGE(OFFSET($AM$3,0,0,'Données projet'!$E$10+1,1))-AVERAGE(OFFSET($H$3,0,0,'Données projet'!$E$10+1,1))</f>
        <v>304.32767345253382</v>
      </c>
      <c r="AO11" s="62">
        <f t="shared" si="36"/>
        <v>427.16091343339173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4.3703703703703702</v>
      </c>
      <c r="BD11" s="13">
        <f>IF('Données projet'!$A$88&gt;35,BD10+BC11-BL10,IF(A11&lt;'Données projet'!$A$88,$BA$205^A11,IF(A11='Données projet'!$A$88,'Données projet'!$B$88,BD10+BC11-BL10)))</f>
        <v>4.110465099605972</v>
      </c>
      <c r="BE11" s="14">
        <f>BD11*VLOOKUP('Données projet'!$B$11,Paramètres!$A$1:$I$89,3,0)*VLOOKUP('Données projet'!$B$11,Paramètres!$A$1:$I$89,5,0)</f>
        <v>2.4580581295643715</v>
      </c>
      <c r="BF11" s="14">
        <f t="shared" si="37"/>
        <v>1.0201858318313493</v>
      </c>
      <c r="BG11" s="22">
        <f t="shared" si="7"/>
        <v>6.0579415660975471</v>
      </c>
      <c r="BH11" s="62">
        <f t="shared" si="8"/>
        <v>272.50238601054201</v>
      </c>
      <c r="BI11" s="62">
        <f ca="1">AVERAGE(OFFSET($BH$3,0,0,'Données projet'!$E$11+1,1))-AVERAGE(OFFSET($H$3,0,0,'Données projet'!$E$11+1,1))</f>
        <v>294.26495752303765</v>
      </c>
      <c r="BJ11" s="62">
        <f t="shared" si="38"/>
        <v>212.24900914818096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5.9</v>
      </c>
      <c r="N12" s="14">
        <f>IF('Données projet'!$A$36&gt;35,N11+M12-V11,IF(A12&lt;'Données projet'!$A$36,$K$205^A12,IF(A12='Données projet'!$A$36,'Données projet'!$B$36,N11+M12-V11)))</f>
        <v>8.5574999108937213</v>
      </c>
      <c r="O12" s="14">
        <f>N12*VLOOKUP('Données projet'!$B$9,Paramètres!$A$1:$I$89,3,0)*VLOOKUP('Données projet'!$B$9,Paramètres!$A$1:$I$89,5,0)</f>
        <v>4.0049099582982617</v>
      </c>
      <c r="P12" s="14">
        <f t="shared" si="33"/>
        <v>1.5703737402485227</v>
      </c>
      <c r="Q12" s="22">
        <f t="shared" si="2"/>
        <v>9.7102857749689822</v>
      </c>
      <c r="R12" s="62">
        <f t="shared" si="0"/>
        <v>277.37695244163569</v>
      </c>
      <c r="S12" s="62">
        <f ca="1">AVERAGE(OFFSET($R$3,0,0,'Données projet'!$E$9+1,1))-AVERAGE(OFFSET($H$3,0,0,'Données projet'!$E$9+1,1))</f>
        <v>260.49759897936531</v>
      </c>
      <c r="T12" s="62">
        <f t="shared" si="34"/>
        <v>223.74038909289635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7.1333333333333337</v>
      </c>
      <c r="AI12" s="14">
        <f>IF('Données projet'!$A$62&gt;35,AI11+AH12-AQ11,IF(A12&lt;'Données projet'!$A$62,$AF$205^A12,IF(A12='Données projet'!$A$62,'Données projet'!$B$62,AI11+AH12-AQ11)))</f>
        <v>16.505560112818404</v>
      </c>
      <c r="AJ12" s="14">
        <f>AI12*VLOOKUP('Données projet'!$B$10,Paramètres!$A$1:$I$89,3,0)*VLOOKUP('Données projet'!$B$10,Paramètres!$A$1:$I$89,5,0)</f>
        <v>14.419257314558161</v>
      </c>
      <c r="AK12" s="14">
        <f t="shared" si="35"/>
        <v>4.870729420129039</v>
      </c>
      <c r="AL12" s="22">
        <f t="shared" si="4"/>
        <v>33.596726896246878</v>
      </c>
      <c r="AM12" s="62">
        <f t="shared" si="5"/>
        <v>301.26339356291356</v>
      </c>
      <c r="AN12" s="62">
        <f ca="1">AVERAGE(OFFSET($AM$3,0,0,'Données projet'!$E$10+1,1))-AVERAGE(OFFSET($H$3,0,0,'Données projet'!$E$10+1,1))</f>
        <v>304.32767345253382</v>
      </c>
      <c r="AO12" s="62">
        <f t="shared" si="36"/>
        <v>427.16091343339173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4.3703703703703702</v>
      </c>
      <c r="BD12" s="13">
        <f>IF('Données projet'!$A$88&gt;35,BD11+BC12-BL11,IF(A12&lt;'Données projet'!$A$88,$BA$205^A12,IF(A12='Données projet'!$A$88,'Données projet'!$B$88,BD11+BC12-BL11)))</f>
        <v>4.9048681315240179</v>
      </c>
      <c r="BE12" s="14">
        <f>BD12*VLOOKUP('Données projet'!$B$11,Paramètres!$A$1:$I$89,3,0)*VLOOKUP('Données projet'!$B$11,Paramètres!$A$1:$I$89,5,0)</f>
        <v>2.9331111426513625</v>
      </c>
      <c r="BF12" s="14">
        <f t="shared" si="37"/>
        <v>1.192569079504352</v>
      </c>
      <c r="BG12" s="22">
        <f t="shared" si="7"/>
        <v>7.1855597202545356</v>
      </c>
      <c r="BH12" s="62">
        <f t="shared" si="8"/>
        <v>274.85222638692125</v>
      </c>
      <c r="BI12" s="62">
        <f ca="1">AVERAGE(OFFSET($BH$3,0,0,'Données projet'!$E$11+1,1))-AVERAGE(OFFSET($H$3,0,0,'Données projet'!$E$11+1,1))</f>
        <v>294.26495752303765</v>
      </c>
      <c r="BJ12" s="62">
        <f t="shared" si="38"/>
        <v>212.24900914818096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5.9</v>
      </c>
      <c r="N13" s="14">
        <f>IF('Données projet'!$A$36&gt;35,N12+M13-V12,IF(A13&lt;'Données projet'!$A$36,$K$205^A13,IF(A13='Données projet'!$A$36,'Données projet'!$B$36,N12+M13-V12)))</f>
        <v>10.862780491200228</v>
      </c>
      <c r="O13" s="14">
        <f>N13*VLOOKUP('Données projet'!$B$9,Paramètres!$A$1:$I$89,3,0)*VLOOKUP('Données projet'!$B$9,Paramètres!$A$1:$I$89,5,0)</f>
        <v>5.0837812698817064</v>
      </c>
      <c r="P13" s="14">
        <f t="shared" si="33"/>
        <v>1.9388257161501949</v>
      </c>
      <c r="Q13" s="22">
        <f t="shared" si="2"/>
        <v>12.231040500672227</v>
      </c>
      <c r="R13" s="62">
        <f t="shared" si="0"/>
        <v>281.11992938956109</v>
      </c>
      <c r="S13" s="62">
        <f ca="1">AVERAGE(OFFSET($R$3,0,0,'Données projet'!$E$9+1,1))-AVERAGE(OFFSET($H$3,0,0,'Données projet'!$E$9+1,1))</f>
        <v>260.49759897936531</v>
      </c>
      <c r="T13" s="62">
        <f t="shared" si="34"/>
        <v>223.74038909289635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7.1333333333333337</v>
      </c>
      <c r="AI13" s="14">
        <f>IF('Données projet'!$A$62&gt;35,AI12+AH13-AQ12,IF(A13&lt;'Données projet'!$A$62,$AF$205^A13,IF(A13='Données projet'!$A$62,'Données projet'!$B$62,AI12+AH13-AQ12)))</f>
        <v>22.538370740628146</v>
      </c>
      <c r="AJ13" s="14">
        <f>AI13*VLOOKUP('Données projet'!$B$10,Paramètres!$A$1:$I$89,3,0)*VLOOKUP('Données projet'!$B$10,Paramètres!$A$1:$I$89,5,0)</f>
        <v>19.689520679012752</v>
      </c>
      <c r="AK13" s="14">
        <f t="shared" si="35"/>
        <v>6.414137090520053</v>
      </c>
      <c r="AL13" s="22">
        <f t="shared" si="4"/>
        <v>45.463870615269634</v>
      </c>
      <c r="AM13" s="62">
        <f t="shared" si="5"/>
        <v>314.35275950415848</v>
      </c>
      <c r="AN13" s="62">
        <f ca="1">AVERAGE(OFFSET($AM$3,0,0,'Données projet'!$E$10+1,1))-AVERAGE(OFFSET($H$3,0,0,'Données projet'!$E$10+1,1))</f>
        <v>304.32767345253382</v>
      </c>
      <c r="AO13" s="62">
        <f t="shared" si="36"/>
        <v>427.16091343339173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4.3703703703703702</v>
      </c>
      <c r="BD13" s="13">
        <f>IF('Données projet'!$A$88&gt;35,BD12+BC13-BL12,IF(A13&lt;'Données projet'!$A$88,$BA$205^A13,IF(A13='Données projet'!$A$88,'Données projet'!$B$88,BD12+BC13-BL12)))</f>
        <v>5.8528003047504482</v>
      </c>
      <c r="BE13" s="14">
        <f>BD13*VLOOKUP('Données projet'!$B$11,Paramètres!$A$1:$I$89,3,0)*VLOOKUP('Données projet'!$B$11,Paramètres!$A$1:$I$89,5,0)</f>
        <v>3.499974582240768</v>
      </c>
      <c r="BF13" s="14">
        <f t="shared" si="37"/>
        <v>1.3940803381250744</v>
      </c>
      <c r="BG13" s="22">
        <f t="shared" si="7"/>
        <v>8.5238123196371749</v>
      </c>
      <c r="BH13" s="62">
        <f t="shared" si="8"/>
        <v>277.41270120852602</v>
      </c>
      <c r="BI13" s="62">
        <f ca="1">AVERAGE(OFFSET($BH$3,0,0,'Données projet'!$E$11+1,1))-AVERAGE(OFFSET($H$3,0,0,'Données projet'!$E$11+1,1))</f>
        <v>294.26495752303765</v>
      </c>
      <c r="BJ13" s="62">
        <f t="shared" si="38"/>
        <v>212.24900914818096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5.9</v>
      </c>
      <c r="N14" s="14">
        <f>IF('Données projet'!$A$36&gt;35,N13+M14-V13,IF(A14&lt;'Données projet'!$A$36,$K$205^A14,IF(A14='Données projet'!$A$36,'Données projet'!$B$36,N13+M14-V13)))</f>
        <v>13.789074055354174</v>
      </c>
      <c r="O14" s="14">
        <f>N14*VLOOKUP('Données projet'!$B$9,Paramètres!$A$1:$I$89,3,0)*VLOOKUP('Données projet'!$B$9,Paramètres!$A$1:$I$89,5,0)</f>
        <v>6.4532866579057542</v>
      </c>
      <c r="P14" s="14">
        <f t="shared" si="33"/>
        <v>2.3937264494822883</v>
      </c>
      <c r="Q14" s="22">
        <f t="shared" si="2"/>
        <v>15.40854782870084</v>
      </c>
      <c r="R14" s="62">
        <f t="shared" si="0"/>
        <v>285.51965893981196</v>
      </c>
      <c r="S14" s="62">
        <f ca="1">AVERAGE(OFFSET($R$3,0,0,'Données projet'!$E$9+1,1))-AVERAGE(OFFSET($H$3,0,0,'Données projet'!$E$9+1,1))</f>
        <v>260.49759897936531</v>
      </c>
      <c r="T14" s="62">
        <f t="shared" si="34"/>
        <v>223.74038909289635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7.1333333333333337</v>
      </c>
      <c r="AI14" s="14">
        <f>IF('Données projet'!$A$62&gt;35,AI13+AH14-AQ13,IF(A14&lt;'Données projet'!$A$62,$AF$205^A14,IF(A14='Données projet'!$A$62,'Données projet'!$B$62,AI13+AH14-AQ13)))</f>
        <v>30.776184035554262</v>
      </c>
      <c r="AJ14" s="14">
        <f>AI14*VLOOKUP('Données projet'!$B$10,Paramètres!$A$1:$I$89,3,0)*VLOOKUP('Données projet'!$B$10,Paramètres!$A$1:$I$89,5,0)</f>
        <v>26.886074373460207</v>
      </c>
      <c r="AK14" s="14">
        <f t="shared" si="35"/>
        <v>8.4466105725279856</v>
      </c>
      <c r="AL14" s="22">
        <f t="shared" si="4"/>
        <v>61.537759614262761</v>
      </c>
      <c r="AM14" s="62">
        <f t="shared" si="5"/>
        <v>331.64887072537391</v>
      </c>
      <c r="AN14" s="62">
        <f ca="1">AVERAGE(OFFSET($AM$3,0,0,'Données projet'!$E$10+1,1))-AVERAGE(OFFSET($H$3,0,0,'Données projet'!$E$10+1,1))</f>
        <v>304.32767345253382</v>
      </c>
      <c r="AO14" s="62">
        <f t="shared" si="36"/>
        <v>427.16091343339173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4.3703703703703702</v>
      </c>
      <c r="BD14" s="13">
        <f>IF('Données projet'!$A$88&gt;35,BD13+BC14-BL13,IF(A14&lt;'Données projet'!$A$88,$BA$205^A14,IF(A14='Données projet'!$A$88,'Données projet'!$B$88,BD13+BC14-BL13)))</f>
        <v>6.9839332044678839</v>
      </c>
      <c r="BE14" s="14">
        <f>BD14*VLOOKUP('Données projet'!$B$11,Paramètres!$A$1:$I$89,3,0)*VLOOKUP('Données projet'!$B$11,Paramètres!$A$1:$I$89,5,0)</f>
        <v>4.1763920562717951</v>
      </c>
      <c r="BF14" s="14">
        <f t="shared" si="37"/>
        <v>1.629641437588379</v>
      </c>
      <c r="BG14" s="22">
        <f t="shared" si="7"/>
        <v>10.112175001806468</v>
      </c>
      <c r="BH14" s="62">
        <f t="shared" si="8"/>
        <v>280.22328611291761</v>
      </c>
      <c r="BI14" s="62">
        <f ca="1">AVERAGE(OFFSET($BH$3,0,0,'Données projet'!$E$11+1,1))-AVERAGE(OFFSET($H$3,0,0,'Données projet'!$E$11+1,1))</f>
        <v>294.26495752303765</v>
      </c>
      <c r="BJ14" s="62">
        <f t="shared" si="38"/>
        <v>212.24900914818096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5.9</v>
      </c>
      <c r="N15" s="14">
        <f>IF('Données projet'!$A$36&gt;35,N14+M15-V14,IF(A15&lt;'Données projet'!$A$36,$K$205^A15,IF(A15='Données projet'!$A$36,'Données projet'!$B$36,N14+M15-V14)))</f>
        <v>17.503673526135408</v>
      </c>
      <c r="O15" s="14">
        <f>N15*VLOOKUP('Données projet'!$B$9,Paramètres!$A$1:$I$89,3,0)*VLOOKUP('Données projet'!$B$9,Paramètres!$A$1:$I$89,5,0)</f>
        <v>8.191719210231371</v>
      </c>
      <c r="P15" s="14">
        <f t="shared" si="33"/>
        <v>2.9553591471484273</v>
      </c>
      <c r="Q15" s="22">
        <f t="shared" si="2"/>
        <v>19.414494805769813</v>
      </c>
      <c r="R15" s="62">
        <f t="shared" si="0"/>
        <v>290.74782813910315</v>
      </c>
      <c r="S15" s="62">
        <f ca="1">AVERAGE(OFFSET($R$3,0,0,'Données projet'!$E$9+1,1))-AVERAGE(OFFSET($H$3,0,0,'Données projet'!$E$9+1,1))</f>
        <v>260.49759897936531</v>
      </c>
      <c r="T15" s="62">
        <f t="shared" si="34"/>
        <v>223.74038909289635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7.1333333333333337</v>
      </c>
      <c r="AI15" s="14">
        <f>IF('Données projet'!$A$62&gt;35,AI14+AH15-AQ14,IF(A15&lt;'Données projet'!$A$62,$AF$205^A15,IF(A15='Données projet'!$A$62,'Données projet'!$B$62,AI14+AH15-AQ14)))</f>
        <v>42.024932267304926</v>
      </c>
      <c r="AJ15" s="14">
        <f>AI15*VLOOKUP('Données projet'!$B$10,Paramètres!$A$1:$I$89,3,0)*VLOOKUP('Données projet'!$B$10,Paramètres!$A$1:$I$89,5,0)</f>
        <v>36.71298082871759</v>
      </c>
      <c r="AK15" s="14">
        <f t="shared" si="35"/>
        <v>11.123122121818724</v>
      </c>
      <c r="AL15" s="22">
        <f t="shared" si="4"/>
        <v>83.314545972184078</v>
      </c>
      <c r="AM15" s="62">
        <f t="shared" si="5"/>
        <v>354.64787930551739</v>
      </c>
      <c r="AN15" s="62">
        <f ca="1">AVERAGE(OFFSET($AM$3,0,0,'Données projet'!$E$10+1,1))-AVERAGE(OFFSET($H$3,0,0,'Données projet'!$E$10+1,1))</f>
        <v>304.32767345253382</v>
      </c>
      <c r="AO15" s="62">
        <f t="shared" si="36"/>
        <v>427.16091343339173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4.3703703703703702</v>
      </c>
      <c r="BD15" s="13">
        <f>IF('Données projet'!$A$88&gt;35,BD14+BC15-BL14,IF(A15&lt;'Données projet'!$A$88,$BA$205^A15,IF(A15='Données projet'!$A$88,'Données projet'!$B$88,BD14+BC15-BL14)))</f>
        <v>8.3336728514178713</v>
      </c>
      <c r="BE15" s="14">
        <f>BD15*VLOOKUP('Données projet'!$B$11,Paramètres!$A$1:$I$89,3,0)*VLOOKUP('Données projet'!$B$11,Paramètres!$A$1:$I$89,5,0)</f>
        <v>4.983536365147887</v>
      </c>
      <c r="BF15" s="14">
        <f t="shared" si="37"/>
        <v>1.9050058611951031</v>
      </c>
      <c r="BG15" s="22">
        <f t="shared" si="7"/>
        <v>11.997544377547372</v>
      </c>
      <c r="BH15" s="62">
        <f t="shared" si="8"/>
        <v>283.33087771088071</v>
      </c>
      <c r="BI15" s="62">
        <f ca="1">AVERAGE(OFFSET($BH$3,0,0,'Données projet'!$E$11+1,1))-AVERAGE(OFFSET($H$3,0,0,'Données projet'!$E$11+1,1))</f>
        <v>294.26495752303765</v>
      </c>
      <c r="BJ15" s="62">
        <f t="shared" si="38"/>
        <v>212.24900914818096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5.9</v>
      </c>
      <c r="N16" s="14">
        <f>IF('Données projet'!$A$36&gt;35,N15+M16-V15,IF(A16&lt;'Données projet'!$A$36,$K$205^A16,IF(A16='Données projet'!$A$36,'Données projet'!$B$36,N15+M16-V15)))</f>
        <v>22.218938391339591</v>
      </c>
      <c r="O16" s="14">
        <f>N16*VLOOKUP('Données projet'!$B$9,Paramètres!$A$1:$I$89,3,0)*VLOOKUP('Données projet'!$B$9,Paramètres!$A$1:$I$89,5,0)</f>
        <v>10.398463167146929</v>
      </c>
      <c r="P16" s="14">
        <f t="shared" si="33"/>
        <v>3.6487660026996376</v>
      </c>
      <c r="Q16" s="22">
        <f t="shared" si="2"/>
        <v>24.465590804149439</v>
      </c>
      <c r="R16" s="62">
        <f t="shared" si="0"/>
        <v>297.02114635970497</v>
      </c>
      <c r="S16" s="62">
        <f ca="1">AVERAGE(OFFSET($R$3,0,0,'Données projet'!$E$9+1,1))-AVERAGE(OFFSET($H$3,0,0,'Données projet'!$E$9+1,1))</f>
        <v>260.49759897936531</v>
      </c>
      <c r="T16" s="62">
        <f t="shared" si="34"/>
        <v>223.74038909289635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7.1333333333333337</v>
      </c>
      <c r="AI16" s="14">
        <f>IF('Données projet'!$A$62&gt;35,AI15+AH16-AQ15,IF(A16&lt;'Données projet'!$A$62,$AF$205^A16,IF(A16='Données projet'!$A$62,'Données projet'!$B$62,AI15+AH16-AQ15)))</f>
        <v>57.385117337200782</v>
      </c>
      <c r="AJ16" s="14">
        <f>AI16*VLOOKUP('Données projet'!$B$10,Paramètres!$A$1:$I$89,3,0)*VLOOKUP('Données projet'!$B$10,Paramètres!$A$1:$I$89,5,0)</f>
        <v>50.131638505778611</v>
      </c>
      <c r="AK16" s="14">
        <f t="shared" si="35"/>
        <v>14.647750677567194</v>
      </c>
      <c r="AL16" s="22">
        <f t="shared" si="4"/>
        <v>112.82410282766058</v>
      </c>
      <c r="AM16" s="62">
        <f t="shared" si="5"/>
        <v>385.37965838321611</v>
      </c>
      <c r="AN16" s="62">
        <f ca="1">AVERAGE(OFFSET($AM$3,0,0,'Données projet'!$E$10+1,1))-AVERAGE(OFFSET($H$3,0,0,'Données projet'!$E$10+1,1))</f>
        <v>304.32767345253382</v>
      </c>
      <c r="AO16" s="62">
        <f t="shared" si="36"/>
        <v>427.16091343339173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4.3703703703703702</v>
      </c>
      <c r="BD16" s="13">
        <f>IF('Données projet'!$A$88&gt;35,BD15+BC16-BL15,IF(A16&lt;'Données projet'!$A$88,$BA$205^A16,IF(A16='Données projet'!$A$88,'Données projet'!$B$88,BD15+BC16-BL15)))</f>
        <v>9.944267959210924</v>
      </c>
      <c r="BE16" s="14">
        <f>BD16*VLOOKUP('Données projet'!$B$11,Paramètres!$A$1:$I$89,3,0)*VLOOKUP('Données projet'!$B$11,Paramètres!$A$1:$I$89,5,0)</f>
        <v>5.9466722396081328</v>
      </c>
      <c r="BF16" s="14">
        <f t="shared" si="37"/>
        <v>2.2268992721234029</v>
      </c>
      <c r="BG16" s="22">
        <f t="shared" si="7"/>
        <v>14.235637049599092</v>
      </c>
      <c r="BH16" s="62">
        <f t="shared" si="8"/>
        <v>286.79119260515461</v>
      </c>
      <c r="BI16" s="62">
        <f ca="1">AVERAGE(OFFSET($BH$3,0,0,'Données projet'!$E$11+1,1))-AVERAGE(OFFSET($H$3,0,0,'Données projet'!$E$11+1,1))</f>
        <v>294.26495752303765</v>
      </c>
      <c r="BJ16" s="62">
        <f t="shared" si="38"/>
        <v>212.24900914818096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5.9</v>
      </c>
      <c r="N17" s="14">
        <f>IF('Données projet'!$A$36&gt;35,N16+M17-V16,IF(A17&lt;'Données projet'!$A$36,$K$205^A17,IF(A17='Données projet'!$A$36,'Données projet'!$B$36,N16+M17-V16)))</f>
        <v>28.204435057647181</v>
      </c>
      <c r="O17" s="14">
        <f>N17*VLOOKUP('Données projet'!$B$9,Paramètres!$A$1:$I$89,3,0)*VLOOKUP('Données projet'!$B$9,Paramètres!$A$1:$I$89,5,0)</f>
        <v>13.199675606978881</v>
      </c>
      <c r="P17" s="14">
        <f t="shared" si="33"/>
        <v>4.5048647827803388</v>
      </c>
      <c r="Q17" s="22">
        <f t="shared" si="2"/>
        <v>30.835407845497311</v>
      </c>
      <c r="R17" s="62">
        <f t="shared" si="0"/>
        <v>304.61318562327506</v>
      </c>
      <c r="S17" s="62">
        <f ca="1">AVERAGE(OFFSET($R$3,0,0,'Données projet'!$E$9+1,1))-AVERAGE(OFFSET($H$3,0,0,'Données projet'!$E$9+1,1))</f>
        <v>260.49759897936531</v>
      </c>
      <c r="T17" s="62">
        <f t="shared" si="34"/>
        <v>223.74038909289635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7.1333333333333337</v>
      </c>
      <c r="AI17" s="14">
        <f>IF('Données projet'!$A$62&gt;35,AI16+AH17-AQ16,IF(A17&lt;'Données projet'!$A$62,$AF$205^A17,IF(A17='Données projet'!$A$62,'Données projet'!$B$62,AI16+AH17-AQ16)))</f>
        <v>78.35947648549265</v>
      </c>
      <c r="AJ17" s="14">
        <f>AI17*VLOOKUP('Données projet'!$B$10,Paramètres!$A$1:$I$89,3,0)*VLOOKUP('Données projet'!$B$10,Paramètres!$A$1:$I$89,5,0)</f>
        <v>68.454838657726384</v>
      </c>
      <c r="AK17" s="14">
        <f t="shared" si="35"/>
        <v>19.289242495261615</v>
      </c>
      <c r="AL17" s="22">
        <f t="shared" si="4"/>
        <v>152.8209413414541</v>
      </c>
      <c r="AM17" s="62">
        <f t="shared" si="5"/>
        <v>426.59871911923187</v>
      </c>
      <c r="AN17" s="62">
        <f ca="1">AVERAGE(OFFSET($AM$3,0,0,'Données projet'!$E$10+1,1))-AVERAGE(OFFSET($H$3,0,0,'Données projet'!$E$10+1,1))</f>
        <v>304.32767345253382</v>
      </c>
      <c r="AO17" s="62">
        <f t="shared" si="36"/>
        <v>427.16091343339173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4.3703703703703702</v>
      </c>
      <c r="BD17" s="13">
        <f>IF('Données projet'!$A$88&gt;35,BD16+BC17-BL16,IF(A17&lt;'Données projet'!$A$88,$BA$205^A17,IF(A17='Données projet'!$A$88,'Données projet'!$B$88,BD16+BC17-BL16)))</f>
        <v>11.866132377366407</v>
      </c>
      <c r="BE17" s="14">
        <f>BD17*VLOOKUP('Données projet'!$B$11,Paramètres!$A$1:$I$89,3,0)*VLOOKUP('Données projet'!$B$11,Paramètres!$A$1:$I$89,5,0)</f>
        <v>7.0959471616651122</v>
      </c>
      <c r="BF17" s="14">
        <f t="shared" si="37"/>
        <v>2.6031837849951125</v>
      </c>
      <c r="BG17" s="22">
        <f t="shared" si="7"/>
        <v>16.892653065433223</v>
      </c>
      <c r="BH17" s="62">
        <f t="shared" si="8"/>
        <v>290.67043084321097</v>
      </c>
      <c r="BI17" s="62">
        <f ca="1">AVERAGE(OFFSET($BH$3,0,0,'Données projet'!$E$11+1,1))-AVERAGE(OFFSET($H$3,0,0,'Données projet'!$E$11+1,1))</f>
        <v>294.26495752303765</v>
      </c>
      <c r="BJ17" s="62">
        <f t="shared" si="38"/>
        <v>212.24900914818096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5.9</v>
      </c>
      <c r="N18" s="14">
        <f>IF('Données projet'!$A$36&gt;35,N17+M18-V17,IF(A18&lt;'Données projet'!$A$36,$K$205^A18,IF(A18='Données projet'!$A$36,'Données projet'!$B$36,N17+M18-V17)))</f>
        <v>35.802347659917913</v>
      </c>
      <c r="O18" s="14">
        <f>N18*VLOOKUP('Données projet'!$B$9,Paramètres!$A$1:$I$89,3,0)*VLOOKUP('Données projet'!$B$9,Paramètres!$A$1:$I$89,5,0)</f>
        <v>16.755498704841585</v>
      </c>
      <c r="P18" s="14">
        <f t="shared" si="33"/>
        <v>5.5618273948287271</v>
      </c>
      <c r="Q18" s="22">
        <f t="shared" si="2"/>
        <v>38.869342956925792</v>
      </c>
      <c r="R18" s="62">
        <f t="shared" si="0"/>
        <v>313.86934295692578</v>
      </c>
      <c r="S18" s="62">
        <f ca="1">AVERAGE(OFFSET($R$3,0,0,'Données projet'!$E$9+1,1))-AVERAGE(OFFSET($H$3,0,0,'Données projet'!$E$9+1,1))</f>
        <v>260.49759897936531</v>
      </c>
      <c r="T18" s="62">
        <f t="shared" si="34"/>
        <v>223.74038909289635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107</v>
      </c>
      <c r="AG18" s="13">
        <f>VLOOKUP(A18,'Données projet'!$A$61:$I$81,9,0)</f>
        <v>7.1333333333333337</v>
      </c>
      <c r="AH18" s="13">
        <f t="array" ref="AH18">INDEX(AG:AG,MIN(IF(ISNUMBER(AG18:AG214),ROW(AG18:AG214),"")))</f>
        <v>7.1333333333333337</v>
      </c>
      <c r="AI18" s="14">
        <f>IF('Données projet'!$A$62&gt;35,AI17+AH18-AQ17,IF(A18&lt;'Données projet'!$A$62,$AF$205^A18,IF(A18='Données projet'!$A$62,'Données projet'!$B$62,AI17+AH18-AQ17)))</f>
        <v>107</v>
      </c>
      <c r="AJ18" s="14">
        <f>AI18*VLOOKUP('Données projet'!$B$10,Paramètres!$A$1:$I$89,3,0)*VLOOKUP('Données projet'!$B$10,Paramètres!$A$1:$I$89,5,0)</f>
        <v>93.475200000000015</v>
      </c>
      <c r="AK18" s="14">
        <f t="shared" si="35"/>
        <v>25.401502539965662</v>
      </c>
      <c r="AL18" s="22">
        <f t="shared" si="4"/>
        <v>207.04359025710687</v>
      </c>
      <c r="AM18" s="62">
        <f t="shared" si="5"/>
        <v>482.04359025710687</v>
      </c>
      <c r="AN18" s="62">
        <f ca="1">AVERAGE(OFFSET($AM$3,0,0,'Données projet'!$E$10+1,1))-AVERAGE(OFFSET($H$3,0,0,'Données projet'!$E$10+1,1))</f>
        <v>304.32767345253382</v>
      </c>
      <c r="AO18" s="62">
        <f t="shared" si="36"/>
        <v>427.16091343339173</v>
      </c>
      <c r="AP18" s="16">
        <f>IF(ISNA(VLOOKUP(A18,'Données projet'!$A$61:$I$81,3,0)),0,VLOOKUP(A18,'Données projet'!$A$61:$I$81,3,0))</f>
        <v>1</v>
      </c>
      <c r="AQ18" s="16">
        <f>IF(ISNA(VLOOKUP(A18,'Données projet'!$A$61:$I$81,4,0)),0,VLOOKUP(A18,'Données projet'!$A$61:$I$81,4,0))</f>
        <v>34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4.3703703703703702</v>
      </c>
      <c r="BD18" s="13">
        <f>IF('Données projet'!$A$88&gt;35,BD17+BC18-BL17,IF(A18&lt;'Données projet'!$A$88,$BA$205^A18,IF(A18='Données projet'!$A$88,'Données projet'!$B$88,BD17+BC18-BL17)))</f>
        <v>14.159423114374338</v>
      </c>
      <c r="BE18" s="14">
        <f>BD18*VLOOKUP('Données projet'!$B$11,Paramètres!$A$1:$I$89,3,0)*VLOOKUP('Données projet'!$B$11,Paramètres!$A$1:$I$89,5,0)</f>
        <v>8.4673350223958543</v>
      </c>
      <c r="BF18" s="14">
        <f t="shared" si="37"/>
        <v>3.0430499948027987</v>
      </c>
      <c r="BG18" s="22">
        <f t="shared" si="7"/>
        <v>20.047253904954317</v>
      </c>
      <c r="BH18" s="62">
        <f t="shared" si="8"/>
        <v>295.04725390495435</v>
      </c>
      <c r="BI18" s="62">
        <f ca="1">AVERAGE(OFFSET($BH$3,0,0,'Données projet'!$E$11+1,1))-AVERAGE(OFFSET($H$3,0,0,'Données projet'!$E$11+1,1))</f>
        <v>294.26495752303765</v>
      </c>
      <c r="BJ18" s="62">
        <f t="shared" si="38"/>
        <v>212.24900914818096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5.9</v>
      </c>
      <c r="N19" s="14">
        <f>IF('Données projet'!$A$36&gt;35,N18+M19-V18,IF(A19&lt;'Données projet'!$A$36,$K$205^A19,IF(A19='Données projet'!$A$36,'Données projet'!$B$36,N18+M19-V18)))</f>
        <v>45.44704034460311</v>
      </c>
      <c r="O19" s="14">
        <f>N19*VLOOKUP('Données projet'!$B$9,Paramètres!$A$1:$I$89,3,0)*VLOOKUP('Données projet'!$B$9,Paramètres!$A$1:$I$89,5,0)</f>
        <v>21.269214881274255</v>
      </c>
      <c r="P19" s="14">
        <f t="shared" si="33"/>
        <v>6.8667819038899802</v>
      </c>
      <c r="Q19" s="22">
        <f t="shared" si="2"/>
        <v>49.003527734161047</v>
      </c>
      <c r="R19" s="62">
        <f t="shared" si="0"/>
        <v>325.22574995638325</v>
      </c>
      <c r="S19" s="62">
        <f ca="1">AVERAGE(OFFSET($R$3,0,0,'Données projet'!$E$9+1,1))-AVERAGE(OFFSET($H$3,0,0,'Données projet'!$E$9+1,1))</f>
        <v>260.49759897936531</v>
      </c>
      <c r="T19" s="62">
        <f t="shared" si="34"/>
        <v>223.74038909289635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16.2</v>
      </c>
      <c r="AI19" s="14">
        <f>IF('Données projet'!$A$62&gt;35,AI18+AH19-AQ18,IF(A19&lt;'Données projet'!$A$62,$AF$205^A19,IF(A19='Données projet'!$A$62,'Données projet'!$B$62,AI18+AH19-AQ18)))</f>
        <v>89.2</v>
      </c>
      <c r="AJ19" s="14">
        <f>AI19*VLOOKUP('Données projet'!$B$10,Paramètres!$A$1:$I$89,3,0)*VLOOKUP('Données projet'!$B$10,Paramètres!$A$1:$I$89,5,0)</f>
        <v>77.925120000000007</v>
      </c>
      <c r="AK19" s="14">
        <f t="shared" si="35"/>
        <v>21.629091902424182</v>
      </c>
      <c r="AL19" s="22">
        <f t="shared" si="4"/>
        <v>173.3902523967221</v>
      </c>
      <c r="AM19" s="62">
        <f t="shared" si="5"/>
        <v>449.61247461894436</v>
      </c>
      <c r="AN19" s="62">
        <f ca="1">AVERAGE(OFFSET($AM$3,0,0,'Données projet'!$E$10+1,1))-AVERAGE(OFFSET($H$3,0,0,'Données projet'!$E$10+1,1))</f>
        <v>304.32767345253382</v>
      </c>
      <c r="AO19" s="62">
        <f t="shared" si="36"/>
        <v>427.16091343339173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4.3703703703703702</v>
      </c>
      <c r="BD19" s="13">
        <f>IF('Données projet'!$A$88&gt;35,BD18+BC19-BL18,IF(A19&lt;'Données projet'!$A$88,$BA$205^A19,IF(A19='Données projet'!$A$88,'Données projet'!$B$88,BD18+BC19-BL18)))</f>
        <v>16.895923335078734</v>
      </c>
      <c r="BE19" s="14">
        <f>BD19*VLOOKUP('Données projet'!$B$11,Paramètres!$A$1:$I$89,3,0)*VLOOKUP('Données projet'!$B$11,Paramètres!$A$1:$I$89,5,0)</f>
        <v>10.103762154377083</v>
      </c>
      <c r="BF19" s="14">
        <f t="shared" si="37"/>
        <v>3.5572414534253478</v>
      </c>
      <c r="BG19" s="22">
        <f t="shared" si="7"/>
        <v>23.79291461692257</v>
      </c>
      <c r="BH19" s="62">
        <f t="shared" si="8"/>
        <v>300.01513683914482</v>
      </c>
      <c r="BI19" s="62">
        <f ca="1">AVERAGE(OFFSET($BH$3,0,0,'Données projet'!$E$11+1,1))-AVERAGE(OFFSET($H$3,0,0,'Données projet'!$E$11+1,1))</f>
        <v>294.26495752303765</v>
      </c>
      <c r="BJ19" s="62">
        <f t="shared" si="38"/>
        <v>212.24900914818096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5.9</v>
      </c>
      <c r="N20" s="14">
        <f>IF('Données projet'!$A$36&gt;35,N19+M20-V19,IF(A20&lt;'Données projet'!$A$36,$K$205^A20,IF(A20='Données projet'!$A$36,'Données projet'!$B$36,N19+M20-V19)))</f>
        <v>57.68988938108977</v>
      </c>
      <c r="O20" s="14">
        <f>N20*VLOOKUP('Données projet'!$B$9,Paramètres!$A$1:$I$89,3,0)*VLOOKUP('Données projet'!$B$9,Paramètres!$A$1:$I$89,5,0)</f>
        <v>26.998868230350013</v>
      </c>
      <c r="P20" s="14">
        <f t="shared" si="33"/>
        <v>8.477913888415971</v>
      </c>
      <c r="Q20" s="22">
        <f t="shared" si="2"/>
        <v>61.788728856850753</v>
      </c>
      <c r="R20" s="62">
        <f t="shared" si="0"/>
        <v>339.23317330129521</v>
      </c>
      <c r="S20" s="62">
        <f ca="1">AVERAGE(OFFSET($R$3,0,0,'Données projet'!$E$9+1,1))-AVERAGE(OFFSET($H$3,0,0,'Données projet'!$E$9+1,1))</f>
        <v>260.49759897936531</v>
      </c>
      <c r="T20" s="62">
        <f t="shared" si="34"/>
        <v>223.74038909289635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16.2</v>
      </c>
      <c r="AI20" s="14">
        <f>IF('Données projet'!$A$62&gt;35,AI19+AH20-AQ19,IF(A20&lt;'Données projet'!$A$62,$AF$205^A20,IF(A20='Données projet'!$A$62,'Données projet'!$B$62,AI19+AH20-AQ19)))</f>
        <v>105.4</v>
      </c>
      <c r="AJ20" s="14">
        <f>AI20*VLOOKUP('Données projet'!$B$10,Paramètres!$A$1:$I$89,3,0)*VLOOKUP('Données projet'!$B$10,Paramètres!$A$1:$I$89,5,0)</f>
        <v>92.07744000000001</v>
      </c>
      <c r="AK20" s="14">
        <f t="shared" si="35"/>
        <v>25.065586122051112</v>
      </c>
      <c r="AL20" s="22">
        <f t="shared" si="4"/>
        <v>204.02410382923904</v>
      </c>
      <c r="AM20" s="62">
        <f t="shared" si="5"/>
        <v>481.4685482736835</v>
      </c>
      <c r="AN20" s="62">
        <f ca="1">AVERAGE(OFFSET($AM$3,0,0,'Données projet'!$E$10+1,1))-AVERAGE(OFFSET($H$3,0,0,'Données projet'!$E$10+1,1))</f>
        <v>304.32767345253382</v>
      </c>
      <c r="AO20" s="62">
        <f t="shared" si="36"/>
        <v>427.16091343339173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4.3703703703703702</v>
      </c>
      <c r="BD20" s="13">
        <f>IF('Données projet'!$A$88&gt;35,BD19+BC20-BL19,IF(A20&lt;'Données projet'!$A$88,$BA$205^A20,IF(A20='Données projet'!$A$88,'Données projet'!$B$88,BD19+BC20-BL19)))</f>
        <v>20.161289272799031</v>
      </c>
      <c r="BE20" s="14">
        <f>BD20*VLOOKUP('Données projet'!$B$11,Paramètres!$A$1:$I$89,3,0)*VLOOKUP('Données projet'!$B$11,Paramètres!$A$1:$I$89,5,0)</f>
        <v>12.056450985133822</v>
      </c>
      <c r="BF20" s="14">
        <f t="shared" si="37"/>
        <v>4.1583170764789594</v>
      </c>
      <c r="BG20" s="22">
        <f t="shared" si="7"/>
        <v>28.240721040642256</v>
      </c>
      <c r="BH20" s="62">
        <f t="shared" si="8"/>
        <v>305.68516548508671</v>
      </c>
      <c r="BI20" s="62">
        <f ca="1">AVERAGE(OFFSET($BH$3,0,0,'Données projet'!$E$11+1,1))-AVERAGE(OFFSET($H$3,0,0,'Données projet'!$E$11+1,1))</f>
        <v>294.26495752303765</v>
      </c>
      <c r="BJ20" s="62">
        <f t="shared" si="38"/>
        <v>212.24900914818096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5.9</v>
      </c>
      <c r="N21" s="14">
        <f>IF('Données projet'!$A$36&gt;35,N20+M21-V20,IF(A21&lt;'Données projet'!$A$36,$K$205^A21,IF(A21='Données projet'!$A$36,'Données projet'!$B$36,N20+M21-V20)))</f>
        <v>73.23080472494604</v>
      </c>
      <c r="O21" s="14">
        <f>N21*VLOOKUP('Données projet'!$B$9,Paramètres!$A$1:$I$89,3,0)*VLOOKUP('Données projet'!$B$9,Paramètres!$A$1:$I$89,5,0)</f>
        <v>34.272016611274744</v>
      </c>
      <c r="P21" s="14">
        <f t="shared" si="33"/>
        <v>10.467060830733502</v>
      </c>
      <c r="Q21" s="22">
        <f t="shared" si="2"/>
        <v>77.920559878164354</v>
      </c>
      <c r="R21" s="62">
        <f t="shared" si="0"/>
        <v>356.58722654483103</v>
      </c>
      <c r="S21" s="62">
        <f ca="1">AVERAGE(OFFSET($R$3,0,0,'Données projet'!$E$9+1,1))-AVERAGE(OFFSET($H$3,0,0,'Données projet'!$E$9+1,1))</f>
        <v>260.49759897936531</v>
      </c>
      <c r="T21" s="62">
        <f t="shared" si="34"/>
        <v>223.74038909289635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16.2</v>
      </c>
      <c r="AI21" s="14">
        <f>IF('Données projet'!$A$62&gt;35,AI20+AH21-AQ20,IF(A21&lt;'Données projet'!$A$62,$AF$205^A21,IF(A21='Données projet'!$A$62,'Données projet'!$B$62,AI20+AH21-AQ20)))</f>
        <v>121.60000000000001</v>
      </c>
      <c r="AJ21" s="14">
        <f>AI21*VLOOKUP('Données projet'!$B$10,Paramètres!$A$1:$I$89,3,0)*VLOOKUP('Données projet'!$B$10,Paramètres!$A$1:$I$89,5,0)</f>
        <v>106.22976000000003</v>
      </c>
      <c r="AK21" s="14">
        <f t="shared" si="35"/>
        <v>28.440891625171492</v>
      </c>
      <c r="AL21" s="22">
        <f t="shared" si="4"/>
        <v>234.55138491384039</v>
      </c>
      <c r="AM21" s="62">
        <f t="shared" si="5"/>
        <v>513.21805158050711</v>
      </c>
      <c r="AN21" s="62">
        <f ca="1">AVERAGE(OFFSET($AM$3,0,0,'Données projet'!$E$10+1,1))-AVERAGE(OFFSET($H$3,0,0,'Données projet'!$E$10+1,1))</f>
        <v>304.32767345253382</v>
      </c>
      <c r="AO21" s="62">
        <f t="shared" si="36"/>
        <v>427.16091343339173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4.3703703703703702</v>
      </c>
      <c r="BD21" s="13">
        <f>IF('Données projet'!$A$88&gt;35,BD20+BC21-BL20,IF(A21&lt;'Données projet'!$A$88,$BA$205^A21,IF(A21='Données projet'!$A$88,'Données projet'!$B$88,BD20+BC21-BL20)))</f>
        <v>24.057731387639919</v>
      </c>
      <c r="BE21" s="14">
        <f>BD21*VLOOKUP('Données projet'!$B$11,Paramètres!$A$1:$I$89,3,0)*VLOOKUP('Données projet'!$B$11,Paramètres!$A$1:$I$89,5,0)</f>
        <v>14.386523369808673</v>
      </c>
      <c r="BF21" s="14">
        <f t="shared" si="37"/>
        <v>4.8609578896833261</v>
      </c>
      <c r="BG21" s="22">
        <f t="shared" si="7"/>
        <v>33.522696526948565</v>
      </c>
      <c r="BH21" s="62">
        <f t="shared" si="8"/>
        <v>312.18936319361524</v>
      </c>
      <c r="BI21" s="62">
        <f ca="1">AVERAGE(OFFSET($BH$3,0,0,'Données projet'!$E$11+1,1))-AVERAGE(OFFSET($H$3,0,0,'Données projet'!$E$11+1,1))</f>
        <v>294.26495752303765</v>
      </c>
      <c r="BJ21" s="62">
        <f t="shared" si="38"/>
        <v>212.24900914818096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5.9</v>
      </c>
      <c r="N22" s="14">
        <f>IF('Données projet'!$A$36&gt;35,N21+M22-V21,IF(A22&lt;'Données projet'!$A$36,$K$205^A22,IF(A22='Données projet'!$A$36,'Données projet'!$B$36,N21+M22-V21)))</f>
        <v>92.958243085503995</v>
      </c>
      <c r="O22" s="14">
        <f>N22*VLOOKUP('Données projet'!$B$9,Paramètres!$A$1:$I$89,3,0)*VLOOKUP('Données projet'!$B$9,Paramètres!$A$1:$I$89,5,0)</f>
        <v>43.504457764015868</v>
      </c>
      <c r="P22" s="14">
        <f t="shared" si="33"/>
        <v>12.922915221393666</v>
      </c>
      <c r="Q22" s="22">
        <f t="shared" si="2"/>
        <v>98.277674616254941</v>
      </c>
      <c r="R22" s="62">
        <f t="shared" si="0"/>
        <v>378.16656350514381</v>
      </c>
      <c r="S22" s="62">
        <f ca="1">AVERAGE(OFFSET($R$3,0,0,'Données projet'!$E$9+1,1))-AVERAGE(OFFSET($H$3,0,0,'Données projet'!$E$9+1,1))</f>
        <v>260.49759897936531</v>
      </c>
      <c r="T22" s="62">
        <f t="shared" si="34"/>
        <v>223.74038909289635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16.2</v>
      </c>
      <c r="AI22" s="14">
        <f>IF('Données projet'!$A$62&gt;35,AI21+AH22-AQ21,IF(A22&lt;'Données projet'!$A$62,$AF$205^A22,IF(A22='Données projet'!$A$62,'Données projet'!$B$62,AI21+AH22-AQ21)))</f>
        <v>137.80000000000001</v>
      </c>
      <c r="AJ22" s="14">
        <f>AI22*VLOOKUP('Données projet'!$B$10,Paramètres!$A$1:$I$89,3,0)*VLOOKUP('Données projet'!$B$10,Paramètres!$A$1:$I$89,5,0)</f>
        <v>120.38208000000003</v>
      </c>
      <c r="AK22" s="14">
        <f t="shared" si="35"/>
        <v>31.76409668560358</v>
      </c>
      <c r="AL22" s="22">
        <f t="shared" si="4"/>
        <v>264.98792439409294</v>
      </c>
      <c r="AM22" s="62">
        <f t="shared" si="5"/>
        <v>544.87681328298186</v>
      </c>
      <c r="AN22" s="62">
        <f ca="1">AVERAGE(OFFSET($AM$3,0,0,'Données projet'!$E$10+1,1))-AVERAGE(OFFSET($H$3,0,0,'Données projet'!$E$10+1,1))</f>
        <v>304.32767345253382</v>
      </c>
      <c r="AO22" s="62">
        <f t="shared" si="36"/>
        <v>427.16091343339173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4.3703703703703702</v>
      </c>
      <c r="BD22" s="13">
        <f>IF('Données projet'!$A$88&gt;35,BD21+BC22-BL21,IF(A22&lt;'Données projet'!$A$88,$BA$205^A22,IF(A22='Données projet'!$A$88,'Données projet'!$B$88,BD21+BC22-BL21)))</f>
        <v>28.707213694944539</v>
      </c>
      <c r="BE22" s="14">
        <f>BD22*VLOOKUP('Données projet'!$B$11,Paramètres!$A$1:$I$89,3,0)*VLOOKUP('Données projet'!$B$11,Paramètres!$A$1:$I$89,5,0)</f>
        <v>17.166913789576835</v>
      </c>
      <c r="BF22" s="14">
        <f t="shared" si="37"/>
        <v>5.6823256068972627</v>
      </c>
      <c r="BG22" s="22">
        <f t="shared" si="7"/>
        <v>39.79575861552572</v>
      </c>
      <c r="BH22" s="62">
        <f t="shared" si="8"/>
        <v>319.68464750441456</v>
      </c>
      <c r="BI22" s="62">
        <f ca="1">AVERAGE(OFFSET($BH$3,0,0,'Données projet'!$E$11+1,1))-AVERAGE(OFFSET($H$3,0,0,'Données projet'!$E$11+1,1))</f>
        <v>294.26495752303765</v>
      </c>
      <c r="BJ22" s="62">
        <f t="shared" si="38"/>
        <v>212.24900914818096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118</v>
      </c>
      <c r="L23" s="13">
        <f>VLOOKUP(A23,'Données projet'!$A$35:$I$55,9,0)</f>
        <v>5.9</v>
      </c>
      <c r="M23" s="13">
        <f t="array" ref="M23">INDEX(L:L,MIN(IF(ISNUMBER(L23:L219),ROW(L23:L219),"")))</f>
        <v>5.9</v>
      </c>
      <c r="N23" s="14">
        <f>IF('Données projet'!$A$36&gt;35,N22+M23-V22,IF(A23&lt;'Données projet'!$A$36,$K$205^A23,IF(A23='Données projet'!$A$36,'Données projet'!$B$36,N22+M23-V22)))</f>
        <v>118</v>
      </c>
      <c r="O23" s="14">
        <f>N23*VLOOKUP('Données projet'!$B$9,Paramètres!$A$1:$I$89,3,0)*VLOOKUP('Données projet'!$B$9,Paramètres!$A$1:$I$89,5,0)</f>
        <v>55.223999999999997</v>
      </c>
      <c r="P23" s="14">
        <f t="shared" si="33"/>
        <v>15.954979198073962</v>
      </c>
      <c r="Q23" s="22">
        <f t="shared" si="2"/>
        <v>123.97005543664547</v>
      </c>
      <c r="R23" s="62">
        <f t="shared" si="0"/>
        <v>405.0811665477566</v>
      </c>
      <c r="S23" s="62">
        <f ca="1">AVERAGE(OFFSET($R$3,0,0,'Données projet'!$E$9+1,1))-AVERAGE(OFFSET($H$3,0,0,'Données projet'!$E$9+1,1))</f>
        <v>260.49759897936531</v>
      </c>
      <c r="T23" s="62">
        <f t="shared" si="34"/>
        <v>223.74038909289635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154</v>
      </c>
      <c r="AG23" s="13">
        <f>VLOOKUP(A23,'Données projet'!$A$61:$I$81,9,0)</f>
        <v>16.2</v>
      </c>
      <c r="AH23" s="13">
        <f t="array" ref="AH23">INDEX(AG:AG,MIN(IF(ISNUMBER(AG23:AG219),ROW(AG23:AG219),"")))</f>
        <v>16.2</v>
      </c>
      <c r="AI23" s="14">
        <f>IF('Données projet'!$A$62&gt;35,AI22+AH23-AQ22,IF(A23&lt;'Données projet'!$A$62,$AF$205^A23,IF(A23='Données projet'!$A$62,'Données projet'!$B$62,AI22+AH23-AQ22)))</f>
        <v>154</v>
      </c>
      <c r="AJ23" s="14">
        <f>AI23*VLOOKUP('Données projet'!$B$10,Paramètres!$A$1:$I$89,3,0)*VLOOKUP('Données projet'!$B$10,Paramètres!$A$1:$I$89,5,0)</f>
        <v>134.53440000000001</v>
      </c>
      <c r="AK23" s="14">
        <f t="shared" si="35"/>
        <v>35.042026165482234</v>
      </c>
      <c r="AL23" s="22">
        <f t="shared" si="4"/>
        <v>295.34560890488154</v>
      </c>
      <c r="AM23" s="62">
        <f t="shared" si="5"/>
        <v>576.45672001599269</v>
      </c>
      <c r="AN23" s="62">
        <f ca="1">AVERAGE(OFFSET($AM$3,0,0,'Données projet'!$E$10+1,1))-AVERAGE(OFFSET($H$3,0,0,'Données projet'!$E$10+1,1))</f>
        <v>304.32767345253382</v>
      </c>
      <c r="AO23" s="62">
        <f t="shared" si="36"/>
        <v>427.16091343339173</v>
      </c>
      <c r="AP23" s="16">
        <f>IF(ISNA(VLOOKUP(A23,'Données projet'!$A$61:$I$81,3,0)),0,VLOOKUP(A23,'Données projet'!$A$61:$I$81,3,0))</f>
        <v>2</v>
      </c>
      <c r="AQ23" s="16">
        <f>IF(ISNA(VLOOKUP(A23,'Données projet'!$A$61:$I$81,4,0)),0,VLOOKUP(A23,'Données projet'!$A$61:$I$81,4,0))</f>
        <v>50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4.3703703703703702</v>
      </c>
      <c r="BD23" s="13">
        <f>IF('Données projet'!$A$88&gt;35,BD22+BC23-BL22,IF(A23&lt;'Données projet'!$A$88,$BA$205^A23,IF(A23='Données projet'!$A$88,'Données projet'!$B$88,BD22+BC23-BL22)))</f>
        <v>34.255271407286948</v>
      </c>
      <c r="BE23" s="14">
        <f>BD23*VLOOKUP('Données projet'!$B$11,Paramètres!$A$1:$I$89,3,0)*VLOOKUP('Données projet'!$B$11,Paramètres!$A$1:$I$89,5,0)</f>
        <v>20.484652301557595</v>
      </c>
      <c r="BF23" s="14">
        <f t="shared" si="37"/>
        <v>6.6424817979453561</v>
      </c>
      <c r="BG23" s="22">
        <f t="shared" si="7"/>
        <v>47.246425223300974</v>
      </c>
      <c r="BH23" s="62">
        <f t="shared" si="8"/>
        <v>328.35753633441209</v>
      </c>
      <c r="BI23" s="62">
        <f ca="1">AVERAGE(OFFSET($BH$3,0,0,'Données projet'!$E$11+1,1))-AVERAGE(OFFSET($H$3,0,0,'Données projet'!$E$11+1,1))</f>
        <v>294.26495752303765</v>
      </c>
      <c r="BJ23" s="62">
        <f t="shared" si="38"/>
        <v>212.24900914818096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6.2</v>
      </c>
      <c r="N24" s="14">
        <f>IF('Données projet'!$A$36&gt;35,N23+M24-V23,IF(A24&lt;'Données projet'!$A$36,$K$205^A24,IF(A24='Données projet'!$A$36,'Données projet'!$B$36,N23+M24-V23)))</f>
        <v>124.2</v>
      </c>
      <c r="O24" s="14">
        <f>N24*VLOOKUP('Données projet'!$B$9,Paramètres!$A$1:$I$89,3,0)*VLOOKUP('Données projet'!$B$9,Paramètres!$A$1:$I$89,5,0)</f>
        <v>58.125599999999999</v>
      </c>
      <c r="P24" s="14">
        <f t="shared" si="33"/>
        <v>16.693490054590161</v>
      </c>
      <c r="Q24" s="22">
        <f t="shared" si="2"/>
        <v>130.30991517841122</v>
      </c>
      <c r="R24" s="62">
        <f t="shared" si="0"/>
        <v>412.64324851174456</v>
      </c>
      <c r="S24" s="62">
        <f ca="1">AVERAGE(OFFSET($R$3,0,0,'Données projet'!$E$9+1,1))-AVERAGE(OFFSET($H$3,0,0,'Données projet'!$E$9+1,1))</f>
        <v>260.49759897936531</v>
      </c>
      <c r="T24" s="62">
        <f t="shared" si="34"/>
        <v>223.74038909289635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15.8</v>
      </c>
      <c r="AI24" s="14">
        <f>IF('Données projet'!$A$62&gt;35,AI23+AH24-AQ23,IF(A24&lt;'Données projet'!$A$62,$AF$205^A24,IF(A24='Données projet'!$A$62,'Données projet'!$B$62,AI23+AH24-AQ23)))</f>
        <v>119.80000000000001</v>
      </c>
      <c r="AJ24" s="14">
        <f>AI24*VLOOKUP('Données projet'!$B$10,Paramètres!$A$1:$I$89,3,0)*VLOOKUP('Données projet'!$B$10,Paramètres!$A$1:$I$89,5,0)</f>
        <v>104.65728000000001</v>
      </c>
      <c r="AK24" s="14">
        <f t="shared" si="35"/>
        <v>28.068573730915457</v>
      </c>
      <c r="AL24" s="22">
        <f t="shared" si="4"/>
        <v>231.16419524801108</v>
      </c>
      <c r="AM24" s="62">
        <f t="shared" si="5"/>
        <v>513.49752858134434</v>
      </c>
      <c r="AN24" s="62">
        <f ca="1">AVERAGE(OFFSET($AM$3,0,0,'Données projet'!$E$10+1,1))-AVERAGE(OFFSET($H$3,0,0,'Données projet'!$E$10+1,1))</f>
        <v>304.32767345253382</v>
      </c>
      <c r="AO24" s="62">
        <f t="shared" si="36"/>
        <v>427.16091343339173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4.3703703703703702</v>
      </c>
      <c r="BD24" s="13">
        <f>IF('Données projet'!$A$88&gt;35,BD23+BC24-BL23,IF(A24&lt;'Données projet'!$A$88,$BA$205^A24,IF(A24='Données projet'!$A$88,'Données projet'!$B$88,BD23+BC24-BL23)))</f>
        <v>40.875566387466414</v>
      </c>
      <c r="BE24" s="14">
        <f>BD24*VLOOKUP('Données projet'!$B$11,Paramètres!$A$1:$I$89,3,0)*VLOOKUP('Données projet'!$B$11,Paramètres!$A$1:$I$89,5,0)</f>
        <v>24.443588699704918</v>
      </c>
      <c r="BF24" s="14">
        <f t="shared" si="37"/>
        <v>7.7648778842379169</v>
      </c>
      <c r="BG24" s="22">
        <f t="shared" si="7"/>
        <v>56.096412633700432</v>
      </c>
      <c r="BH24" s="62">
        <f t="shared" si="8"/>
        <v>338.42974596703374</v>
      </c>
      <c r="BI24" s="62">
        <f ca="1">AVERAGE(OFFSET($BH$3,0,0,'Données projet'!$E$11+1,1))-AVERAGE(OFFSET($H$3,0,0,'Données projet'!$E$11+1,1))</f>
        <v>294.26495752303765</v>
      </c>
      <c r="BJ24" s="62">
        <f t="shared" si="38"/>
        <v>212.24900914818096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6.2</v>
      </c>
      <c r="N25" s="14">
        <f>IF('Données projet'!$A$36&gt;35,N24+M25-V24,IF(A25&lt;'Données projet'!$A$36,$K$205^A25,IF(A25='Données projet'!$A$36,'Données projet'!$B$36,N24+M25-V24)))</f>
        <v>130.4</v>
      </c>
      <c r="O25" s="14">
        <f>N25*VLOOKUP('Données projet'!$B$9,Paramètres!$A$1:$I$89,3,0)*VLOOKUP('Données projet'!$B$9,Paramètres!$A$1:$I$89,5,0)</f>
        <v>61.027200000000008</v>
      </c>
      <c r="P25" s="14">
        <f t="shared" si="33"/>
        <v>17.427720265428167</v>
      </c>
      <c r="Q25" s="22">
        <f t="shared" si="2"/>
        <v>136.64231946228742</v>
      </c>
      <c r="R25" s="62">
        <f t="shared" si="0"/>
        <v>420.19787501784299</v>
      </c>
      <c r="S25" s="62">
        <f ca="1">AVERAGE(OFFSET($R$3,0,0,'Données projet'!$E$9+1,1))-AVERAGE(OFFSET($H$3,0,0,'Données projet'!$E$9+1,1))</f>
        <v>260.49759897936531</v>
      </c>
      <c r="T25" s="62">
        <f t="shared" si="34"/>
        <v>223.74038909289635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15.8</v>
      </c>
      <c r="AI25" s="14">
        <f>IF('Données projet'!$A$62&gt;35,AI24+AH25-AQ24,IF(A25&lt;'Données projet'!$A$62,$AF$205^A25,IF(A25='Données projet'!$A$62,'Données projet'!$B$62,AI24+AH25-AQ24)))</f>
        <v>135.60000000000002</v>
      </c>
      <c r="AJ25" s="14">
        <f>AI25*VLOOKUP('Données projet'!$B$10,Paramètres!$A$1:$I$89,3,0)*VLOOKUP('Données projet'!$B$10,Paramètres!$A$1:$I$89,5,0)</f>
        <v>118.46016000000003</v>
      </c>
      <c r="AK25" s="14">
        <f t="shared" si="35"/>
        <v>31.315587396029674</v>
      </c>
      <c r="AL25" s="22">
        <f t="shared" si="4"/>
        <v>260.85942671475175</v>
      </c>
      <c r="AM25" s="62">
        <f t="shared" si="5"/>
        <v>544.41498227030729</v>
      </c>
      <c r="AN25" s="62">
        <f ca="1">AVERAGE(OFFSET($AM$3,0,0,'Données projet'!$E$10+1,1))-AVERAGE(OFFSET($H$3,0,0,'Données projet'!$E$10+1,1))</f>
        <v>304.32767345253382</v>
      </c>
      <c r="AO25" s="62">
        <f t="shared" si="36"/>
        <v>427.16091343339173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4.3703703703703702</v>
      </c>
      <c r="BD25" s="13">
        <f>IF('Données projet'!$A$88&gt;35,BD24+BC25-BL24,IF(A25&lt;'Données projet'!$A$88,$BA$205^A25,IF(A25='Données projet'!$A$88,'Données projet'!$B$88,BD24+BC25-BL24)))</f>
        <v>48.775323004469058</v>
      </c>
      <c r="BE25" s="14">
        <f>BD25*VLOOKUP('Données projet'!$B$11,Paramètres!$A$1:$I$89,3,0)*VLOOKUP('Données projet'!$B$11,Paramètres!$A$1:$I$89,5,0)</f>
        <v>29.167643156672497</v>
      </c>
      <c r="BF25" s="14">
        <f t="shared" si="37"/>
        <v>9.0769279301265016</v>
      </c>
      <c r="BG25" s="22">
        <f t="shared" si="7"/>
        <v>66.60929464284159</v>
      </c>
      <c r="BH25" s="62">
        <f t="shared" si="8"/>
        <v>350.16485019839712</v>
      </c>
      <c r="BI25" s="62">
        <f ca="1">AVERAGE(OFFSET($BH$3,0,0,'Données projet'!$E$11+1,1))-AVERAGE(OFFSET($H$3,0,0,'Données projet'!$E$11+1,1))</f>
        <v>294.26495752303765</v>
      </c>
      <c r="BJ25" s="62">
        <f t="shared" si="38"/>
        <v>212.24900914818096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6.2</v>
      </c>
      <c r="N26" s="14">
        <f>IF('Données projet'!$A$36&gt;35,N25+M26-V25,IF(A26&lt;'Données projet'!$A$36,$K$205^A26,IF(A26='Données projet'!$A$36,'Données projet'!$B$36,N25+M26-V25)))</f>
        <v>136.6</v>
      </c>
      <c r="O26" s="14">
        <f>N26*VLOOKUP('Données projet'!$B$9,Paramètres!$A$1:$I$89,3,0)*VLOOKUP('Données projet'!$B$9,Paramètres!$A$1:$I$89,5,0)</f>
        <v>63.928799999999995</v>
      </c>
      <c r="P26" s="14">
        <f t="shared" si="33"/>
        <v>18.157896596015895</v>
      </c>
      <c r="Q26" s="22">
        <f t="shared" si="2"/>
        <v>142.96766323806102</v>
      </c>
      <c r="R26" s="62">
        <f t="shared" si="0"/>
        <v>427.74544101583876</v>
      </c>
      <c r="S26" s="62">
        <f ca="1">AVERAGE(OFFSET($R$3,0,0,'Données projet'!$E$9+1,1))-AVERAGE(OFFSET($H$3,0,0,'Données projet'!$E$9+1,1))</f>
        <v>260.49759897936531</v>
      </c>
      <c r="T26" s="62">
        <f t="shared" si="34"/>
        <v>223.74038909289635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15.8</v>
      </c>
      <c r="AI26" s="14">
        <f>IF('Données projet'!$A$62&gt;35,AI25+AH26-AQ25,IF(A26&lt;'Données projet'!$A$62,$AF$205^A26,IF(A26='Données projet'!$A$62,'Données projet'!$B$62,AI25+AH26-AQ25)))</f>
        <v>151.40000000000003</v>
      </c>
      <c r="AJ26" s="14">
        <f>AI26*VLOOKUP('Données projet'!$B$10,Paramètres!$A$1:$I$89,3,0)*VLOOKUP('Données projet'!$B$10,Paramètres!$A$1:$I$89,5,0)</f>
        <v>132.26304000000005</v>
      </c>
      <c r="AK26" s="14">
        <f t="shared" si="35"/>
        <v>34.518755036434833</v>
      </c>
      <c r="AL26" s="22">
        <f t="shared" si="4"/>
        <v>290.47829302179076</v>
      </c>
      <c r="AM26" s="62">
        <f t="shared" si="5"/>
        <v>575.25607079956853</v>
      </c>
      <c r="AN26" s="62">
        <f ca="1">AVERAGE(OFFSET($AM$3,0,0,'Données projet'!$E$10+1,1))-AVERAGE(OFFSET($H$3,0,0,'Données projet'!$E$10+1,1))</f>
        <v>304.32767345253382</v>
      </c>
      <c r="AO26" s="62">
        <f t="shared" si="36"/>
        <v>427.16091343339173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4.3703703703703702</v>
      </c>
      <c r="BD26" s="13">
        <f>IF('Données projet'!$A$88&gt;35,BD25+BC26-BL25,IF(A26&lt;'Données projet'!$A$88,$BA$205^A26,IF(A26='Données projet'!$A$88,'Données projet'!$B$88,BD25+BC26-BL25)))</f>
        <v>58.201814542189823</v>
      </c>
      <c r="BE26" s="14">
        <f>BD26*VLOOKUP('Données projet'!$B$11,Paramètres!$A$1:$I$89,3,0)*VLOOKUP('Données projet'!$B$11,Paramètres!$A$1:$I$89,5,0)</f>
        <v>34.804685096229512</v>
      </c>
      <c r="BF26" s="14">
        <f t="shared" si="37"/>
        <v>10.610678220189007</v>
      </c>
      <c r="BG26" s="22">
        <f t="shared" si="7"/>
        <v>79.098424442762266</v>
      </c>
      <c r="BH26" s="62">
        <f t="shared" si="8"/>
        <v>363.87620222054005</v>
      </c>
      <c r="BI26" s="62">
        <f ca="1">AVERAGE(OFFSET($BH$3,0,0,'Données projet'!$E$11+1,1))-AVERAGE(OFFSET($H$3,0,0,'Données projet'!$E$11+1,1))</f>
        <v>294.26495752303765</v>
      </c>
      <c r="BJ26" s="62">
        <f t="shared" si="38"/>
        <v>212.24900914818096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6.2</v>
      </c>
      <c r="N27" s="14">
        <f>IF('Données projet'!$A$36&gt;35,N26+M27-V26,IF(A27&lt;'Données projet'!$A$36,$K$205^A27,IF(A27='Données projet'!$A$36,'Données projet'!$B$36,N26+M27-V26)))</f>
        <v>142.79999999999998</v>
      </c>
      <c r="O27" s="14">
        <f>N27*VLOOKUP('Données projet'!$B$9,Paramètres!$A$1:$I$89,3,0)*VLOOKUP('Données projet'!$B$9,Paramètres!$A$1:$I$89,5,0)</f>
        <v>66.830399999999997</v>
      </c>
      <c r="P27" s="14">
        <f t="shared" si="33"/>
        <v>18.884224063325359</v>
      </c>
      <c r="Q27" s="22">
        <f t="shared" si="2"/>
        <v>149.28630357695832</v>
      </c>
      <c r="R27" s="62">
        <f t="shared" si="0"/>
        <v>435.28630357695829</v>
      </c>
      <c r="S27" s="62">
        <f ca="1">AVERAGE(OFFSET($R$3,0,0,'Données projet'!$E$9+1,1))-AVERAGE(OFFSET($H$3,0,0,'Données projet'!$E$9+1,1))</f>
        <v>260.49759897936531</v>
      </c>
      <c r="T27" s="62">
        <f t="shared" si="34"/>
        <v>223.74038909289635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15.8</v>
      </c>
      <c r="AI27" s="14">
        <f>IF('Données projet'!$A$62&gt;35,AI26+AH27-AQ26,IF(A27&lt;'Données projet'!$A$62,$AF$205^A27,IF(A27='Données projet'!$A$62,'Données projet'!$B$62,AI26+AH27-AQ26)))</f>
        <v>167.20000000000005</v>
      </c>
      <c r="AJ27" s="14">
        <f>AI27*VLOOKUP('Données projet'!$B$10,Paramètres!$A$1:$I$89,3,0)*VLOOKUP('Données projet'!$B$10,Paramètres!$A$1:$I$89,5,0)</f>
        <v>146.06592000000006</v>
      </c>
      <c r="AK27" s="14">
        <f t="shared" si="35"/>
        <v>37.683173643014399</v>
      </c>
      <c r="AL27" s="22">
        <f t="shared" si="4"/>
        <v>320.0296714282502</v>
      </c>
      <c r="AM27" s="62">
        <f t="shared" si="5"/>
        <v>606.02967142825014</v>
      </c>
      <c r="AN27" s="62">
        <f ca="1">AVERAGE(OFFSET($AM$3,0,0,'Données projet'!$E$10+1,1))-AVERAGE(OFFSET($H$3,0,0,'Données projet'!$E$10+1,1))</f>
        <v>304.32767345253382</v>
      </c>
      <c r="AO27" s="62">
        <f t="shared" si="36"/>
        <v>427.16091343339173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4.3703703703703702</v>
      </c>
      <c r="BD27" s="13">
        <f>IF('Données projet'!$A$88&gt;35,BD26+BC27-BL26,IF(A27&lt;'Données projet'!$A$88,$BA$205^A27,IF(A27='Données projet'!$A$88,'Données projet'!$B$88,BD26+BC27-BL26)))</f>
        <v>69.450103194459274</v>
      </c>
      <c r="BE27" s="14">
        <f>BD27*VLOOKUP('Données projet'!$B$11,Paramètres!$A$1:$I$89,3,0)*VLOOKUP('Données projet'!$B$11,Paramètres!$A$1:$I$89,5,0)</f>
        <v>41.531161710286646</v>
      </c>
      <c r="BF27" s="14">
        <f t="shared" si="37"/>
        <v>12.40358997659513</v>
      </c>
      <c r="BG27" s="22">
        <f t="shared" si="7"/>
        <v>93.936359187985758</v>
      </c>
      <c r="BH27" s="62">
        <f t="shared" si="8"/>
        <v>379.93635918798577</v>
      </c>
      <c r="BI27" s="62">
        <f ca="1">AVERAGE(OFFSET($BH$3,0,0,'Données projet'!$E$11+1,1))-AVERAGE(OFFSET($H$3,0,0,'Données projet'!$E$11+1,1))</f>
        <v>294.26495752303765</v>
      </c>
      <c r="BJ27" s="62">
        <f t="shared" si="38"/>
        <v>212.24900914818096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6.2</v>
      </c>
      <c r="N28" s="14">
        <f>IF('Données projet'!$A$36&gt;35,N27+M28-V27,IF(A28&lt;'Données projet'!$A$36,$K$205^A28,IF(A28='Données projet'!$A$36,'Données projet'!$B$36,N27+M28-V27)))</f>
        <v>148.99999999999997</v>
      </c>
      <c r="O28" s="14">
        <f>N28*VLOOKUP('Données projet'!$B$9,Paramètres!$A$1:$I$89,3,0)*VLOOKUP('Données projet'!$B$9,Paramètres!$A$1:$I$89,5,0)</f>
        <v>69.731999999999985</v>
      </c>
      <c r="P28" s="14">
        <f t="shared" si="33"/>
        <v>19.606888874982506</v>
      </c>
      <c r="Q28" s="22">
        <f t="shared" si="2"/>
        <v>155.59856479059451</v>
      </c>
      <c r="R28" s="62">
        <f t="shared" si="0"/>
        <v>442.82078701281671</v>
      </c>
      <c r="S28" s="62">
        <f ca="1">AVERAGE(OFFSET($R$3,0,0,'Données projet'!$E$9+1,1))-AVERAGE(OFFSET($H$3,0,0,'Données projet'!$E$9+1,1))</f>
        <v>260.49759897936531</v>
      </c>
      <c r="T28" s="62">
        <f t="shared" si="34"/>
        <v>223.74038909289635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183</v>
      </c>
      <c r="AG28" s="13">
        <f>VLOOKUP(A28,'Données projet'!$A$61:$I$81,9,0)</f>
        <v>15.8</v>
      </c>
      <c r="AH28" s="13">
        <f t="array" ref="AH28">INDEX(AG:AG,MIN(IF(ISNUMBER(AG28:AG224),ROW(AG28:AG224),"")))</f>
        <v>15.8</v>
      </c>
      <c r="AI28" s="14">
        <f>IF('Données projet'!$A$62&gt;35,AI27+AH28-AQ27,IF(A28&lt;'Données projet'!$A$62,$AF$205^A28,IF(A28='Données projet'!$A$62,'Données projet'!$B$62,AI27+AH28-AQ27)))</f>
        <v>183.00000000000006</v>
      </c>
      <c r="AJ28" s="14">
        <f>AI28*VLOOKUP('Données projet'!$B$10,Paramètres!$A$1:$I$89,3,0)*VLOOKUP('Données projet'!$B$10,Paramètres!$A$1:$I$89,5,0)</f>
        <v>159.86880000000008</v>
      </c>
      <c r="AK28" s="14">
        <f t="shared" si="35"/>
        <v>40.812921467768035</v>
      </c>
      <c r="AL28" s="22">
        <f t="shared" si="4"/>
        <v>349.52066488969609</v>
      </c>
      <c r="AM28" s="62">
        <f t="shared" si="5"/>
        <v>636.74288711191832</v>
      </c>
      <c r="AN28" s="62">
        <f ca="1">AVERAGE(OFFSET($AM$3,0,0,'Données projet'!$E$10+1,1))-AVERAGE(OFFSET($H$3,0,0,'Données projet'!$E$10+1,1))</f>
        <v>304.32767345253382</v>
      </c>
      <c r="AO28" s="62">
        <f t="shared" si="36"/>
        <v>427.16091343339173</v>
      </c>
      <c r="AP28" s="16">
        <f>IF(ISNA(VLOOKUP(A28,'Données projet'!$A$61:$I$81,3,0)),0,VLOOKUP(A28,'Données projet'!$A$61:$I$81,3,0))</f>
        <v>3</v>
      </c>
      <c r="AQ28" s="16">
        <f>IF(ISNA(VLOOKUP(A28,'Données projet'!$A$61:$I$81,4,0)),0,VLOOKUP(A28,'Données projet'!$A$61:$I$81,4,0))</f>
        <v>52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4.3703703703703702</v>
      </c>
      <c r="BD28" s="13">
        <f>IF('Données projet'!$A$88&gt;35,BD27+BC28-BL27,IF(A28&lt;'Données projet'!$A$88,$BA$205^A28,IF(A28='Données projet'!$A$88,'Données projet'!$B$88,BD27+BC28-BL27)))</f>
        <v>82.872275918900684</v>
      </c>
      <c r="BE28" s="14">
        <f>BD28*VLOOKUP('Données projet'!$B$11,Paramètres!$A$1:$I$89,3,0)*VLOOKUP('Données projet'!$B$11,Paramètres!$A$1:$I$89,5,0)</f>
        <v>49.557620999502618</v>
      </c>
      <c r="BF28" s="14">
        <f t="shared" si="37"/>
        <v>14.49945433410293</v>
      </c>
      <c r="BG28" s="22">
        <f t="shared" si="7"/>
        <v>111.56607287269634</v>
      </c>
      <c r="BH28" s="62">
        <f t="shared" si="8"/>
        <v>398.78829509491857</v>
      </c>
      <c r="BI28" s="62">
        <f ca="1">AVERAGE(OFFSET($BH$3,0,0,'Données projet'!$E$11+1,1))-AVERAGE(OFFSET($H$3,0,0,'Données projet'!$E$11+1,1))</f>
        <v>294.26495752303765</v>
      </c>
      <c r="BJ28" s="62">
        <f t="shared" si="38"/>
        <v>212.24900914818096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6.2</v>
      </c>
      <c r="N29" s="14">
        <f>IF('Données projet'!$A$36&gt;35,N28+M29-V28,IF(A29&lt;'Données projet'!$A$36,$K$205^A29,IF(A29='Données projet'!$A$36,'Données projet'!$B$36,N28+M29-V28)))</f>
        <v>155.19999999999996</v>
      </c>
      <c r="O29" s="14">
        <f>N29*VLOOKUP('Données projet'!$B$9,Paramètres!$A$1:$I$89,3,0)*VLOOKUP('Données projet'!$B$9,Paramètres!$A$1:$I$89,5,0)</f>
        <v>72.633599999999987</v>
      </c>
      <c r="P29" s="14">
        <f t="shared" si="33"/>
        <v>20.326060865398965</v>
      </c>
      <c r="Q29" s="22">
        <f t="shared" si="2"/>
        <v>161.90474267390317</v>
      </c>
      <c r="R29" s="62">
        <f t="shared" si="0"/>
        <v>450.34918711834763</v>
      </c>
      <c r="S29" s="62">
        <f ca="1">AVERAGE(OFFSET($R$3,0,0,'Données projet'!$E$9+1,1))-AVERAGE(OFFSET($H$3,0,0,'Données projet'!$E$9+1,1))</f>
        <v>260.49759897936531</v>
      </c>
      <c r="T29" s="62">
        <f t="shared" si="34"/>
        <v>223.74038909289635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14.8</v>
      </c>
      <c r="AI29" s="14">
        <f>IF('Données projet'!$A$62&gt;35,AI28+AH29-AQ28,IF(A29&lt;'Données projet'!$A$62,$AF$205^A29,IF(A29='Données projet'!$A$62,'Données projet'!$B$62,AI28+AH29-AQ28)))</f>
        <v>145.80000000000007</v>
      </c>
      <c r="AJ29" s="14">
        <f>AI29*VLOOKUP('Données projet'!$B$10,Paramètres!$A$1:$I$89,3,0)*VLOOKUP('Données projet'!$B$10,Paramètres!$A$1:$I$89,5,0)</f>
        <v>127.37088000000008</v>
      </c>
      <c r="AK29" s="14">
        <f t="shared" si="35"/>
        <v>33.388126388800522</v>
      </c>
      <c r="AL29" s="22">
        <f t="shared" si="4"/>
        <v>279.98860279382774</v>
      </c>
      <c r="AM29" s="62">
        <f t="shared" si="5"/>
        <v>568.43304723827214</v>
      </c>
      <c r="AN29" s="62">
        <f ca="1">AVERAGE(OFFSET($AM$3,0,0,'Données projet'!$E$10+1,1))-AVERAGE(OFFSET($H$3,0,0,'Données projet'!$E$10+1,1))</f>
        <v>304.32767345253382</v>
      </c>
      <c r="AO29" s="62">
        <f t="shared" si="36"/>
        <v>427.16091343339173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4.3703703703703702</v>
      </c>
      <c r="BD29" s="13">
        <f>IF('Données projet'!$A$88&gt;35,BD28+BC29-BL28,IF(A29&lt;'Données projet'!$A$88,$BA$205^A29,IF(A29='Données projet'!$A$88,'Données projet'!$B$88,BD28+BC29-BL28)))</f>
        <v>98.888465244589028</v>
      </c>
      <c r="BE29" s="14">
        <f>BD29*VLOOKUP('Données projet'!$B$11,Paramètres!$A$1:$I$89,3,0)*VLOOKUP('Données projet'!$B$11,Paramètres!$A$1:$I$89,5,0)</f>
        <v>59.135302216264243</v>
      </c>
      <c r="BF29" s="14">
        <f t="shared" si="37"/>
        <v>16.949461920575921</v>
      </c>
      <c r="BG29" s="22">
        <f t="shared" si="7"/>
        <v>132.51429753832994</v>
      </c>
      <c r="BH29" s="62">
        <f t="shared" si="8"/>
        <v>420.95874198277443</v>
      </c>
      <c r="BI29" s="62">
        <f ca="1">AVERAGE(OFFSET($BH$3,0,0,'Données projet'!$E$11+1,1))-AVERAGE(OFFSET($H$3,0,0,'Données projet'!$E$11+1,1))</f>
        <v>294.26495752303765</v>
      </c>
      <c r="BJ29" s="62">
        <f t="shared" si="38"/>
        <v>212.24900914818096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6.2</v>
      </c>
      <c r="N30" s="14">
        <f>IF('Données projet'!$A$36&gt;35,N29+M30-V29,IF(A30&lt;'Données projet'!$A$36,$K$205^A30,IF(A30='Données projet'!$A$36,'Données projet'!$B$36,N29+M30-V29)))</f>
        <v>161.39999999999995</v>
      </c>
      <c r="O30" s="14">
        <f>N30*VLOOKUP('Données projet'!$B$9,Paramètres!$A$1:$I$89,3,0)*VLOOKUP('Données projet'!$B$9,Paramètres!$A$1:$I$89,5,0)</f>
        <v>75.535199999999975</v>
      </c>
      <c r="P30" s="14">
        <f t="shared" si="33"/>
        <v>21.041895531667382</v>
      </c>
      <c r="Q30" s="22">
        <f t="shared" si="2"/>
        <v>168.20510805098732</v>
      </c>
      <c r="R30" s="62">
        <f t="shared" si="0"/>
        <v>457.87177471765403</v>
      </c>
      <c r="S30" s="62">
        <f ca="1">AVERAGE(OFFSET($R$3,0,0,'Données projet'!$E$9+1,1))-AVERAGE(OFFSET($H$3,0,0,'Données projet'!$E$9+1,1))</f>
        <v>260.49759897936531</v>
      </c>
      <c r="T30" s="62">
        <f t="shared" si="34"/>
        <v>223.74038909289635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14.8</v>
      </c>
      <c r="AI30" s="14">
        <f>IF('Données projet'!$A$62&gt;35,AI29+AH30-AQ29,IF(A30&lt;'Données projet'!$A$62,$AF$205^A30,IF(A30='Données projet'!$A$62,'Données projet'!$B$62,AI29+AH30-AQ29)))</f>
        <v>160.60000000000008</v>
      </c>
      <c r="AJ30" s="14">
        <f>AI30*VLOOKUP('Données projet'!$B$10,Paramètres!$A$1:$I$89,3,0)*VLOOKUP('Données projet'!$B$10,Paramètres!$A$1:$I$89,5,0)</f>
        <v>140.30016000000009</v>
      </c>
      <c r="AK30" s="14">
        <f t="shared" si="35"/>
        <v>36.365759362628388</v>
      </c>
      <c r="AL30" s="22">
        <f t="shared" si="4"/>
        <v>307.69314288991126</v>
      </c>
      <c r="AM30" s="62">
        <f t="shared" si="5"/>
        <v>597.35980955657794</v>
      </c>
      <c r="AN30" s="62">
        <f ca="1">AVERAGE(OFFSET($AM$3,0,0,'Données projet'!$E$10+1,1))-AVERAGE(OFFSET($H$3,0,0,'Données projet'!$E$10+1,1))</f>
        <v>304.32767345253382</v>
      </c>
      <c r="AO30" s="62">
        <f t="shared" si="36"/>
        <v>427.16091343339173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>
        <f>VLOOKUP(A30,'Données projet'!$A$87:$I$107,2,0)</f>
        <v>118</v>
      </c>
      <c r="BB30" s="13">
        <f>VLOOKUP(A30,'Données projet'!$A$87:$I$107,9,0)</f>
        <v>4.3703703703703702</v>
      </c>
      <c r="BC30" s="13">
        <f t="array" ref="BC30">INDEX(BB:BB,MIN(IF(ISNUMBER(BB30:BB226),ROW(BB30:BB226),"")))</f>
        <v>4.3703703703703702</v>
      </c>
      <c r="BD30" s="13">
        <f>IF('Données projet'!$A$88&gt;35,BD29+BC30-BL29,IF(A30&lt;'Données projet'!$A$88,$BA$205^A30,IF(A30='Données projet'!$A$88,'Données projet'!$B$88,BD29+BC30-BL29)))</f>
        <v>118</v>
      </c>
      <c r="BE30" s="14">
        <f>BD30*VLOOKUP('Données projet'!$B$11,Paramètres!$A$1:$I$89,3,0)*VLOOKUP('Données projet'!$B$11,Paramètres!$A$1:$I$89,5,0)</f>
        <v>70.564000000000007</v>
      </c>
      <c r="BF30" s="14">
        <f t="shared" si="37"/>
        <v>19.813453167086163</v>
      </c>
      <c r="BG30" s="22">
        <f t="shared" si="7"/>
        <v>157.40739759934175</v>
      </c>
      <c r="BH30" s="62">
        <f t="shared" si="8"/>
        <v>447.07406426600846</v>
      </c>
      <c r="BI30" s="62">
        <f ca="1">AVERAGE(OFFSET($BH$3,0,0,'Données projet'!$E$11+1,1))-AVERAGE(OFFSET($H$3,0,0,'Données projet'!$E$11+1,1))</f>
        <v>294.26495752303765</v>
      </c>
      <c r="BJ30" s="62">
        <f t="shared" si="38"/>
        <v>212.24900914818096</v>
      </c>
      <c r="BK30" s="16">
        <f>IF(ISNA(VLOOKUP(A30,'Données projet'!$A$87:$I$107,3,0)),0,VLOOKUP(A30,'Données projet'!$A$87:$I$107,3,0))</f>
        <v>1</v>
      </c>
      <c r="BL30" s="16">
        <f>IF(ISNA(VLOOKUP(A30,'Données projet'!$A$87:$I$107,4,0)),0,VLOOKUP(A30,'Données projet'!$A$87:$I$107,4,0))</f>
        <v>15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6.2</v>
      </c>
      <c r="N31" s="14">
        <f>IF('Données projet'!$A$36&gt;35,N30+M31-V30,IF(A31&lt;'Données projet'!$A$36,$K$205^A31,IF(A31='Données projet'!$A$36,'Données projet'!$B$36,N30+M31-V30)))</f>
        <v>167.59999999999994</v>
      </c>
      <c r="O31" s="14">
        <f>N31*VLOOKUP('Données projet'!$B$9,Paramètres!$A$1:$I$89,3,0)*VLOOKUP('Données projet'!$B$9,Paramètres!$A$1:$I$89,5,0)</f>
        <v>78.436799999999977</v>
      </c>
      <c r="P31" s="14">
        <f t="shared" si="33"/>
        <v>21.75453574783165</v>
      </c>
      <c r="Q31" s="22">
        <f t="shared" si="2"/>
        <v>174.49990976080673</v>
      </c>
      <c r="R31" s="62">
        <f t="shared" si="0"/>
        <v>465.38879864969556</v>
      </c>
      <c r="S31" s="62">
        <f ca="1">AVERAGE(OFFSET($R$3,0,0,'Données projet'!$E$9+1,1))-AVERAGE(OFFSET($H$3,0,0,'Données projet'!$E$9+1,1))</f>
        <v>260.49759897936531</v>
      </c>
      <c r="T31" s="62">
        <f t="shared" si="34"/>
        <v>223.74038909289635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14.8</v>
      </c>
      <c r="AI31" s="14">
        <f>IF('Données projet'!$A$62&gt;35,AI30+AH31-AQ30,IF(A31&lt;'Données projet'!$A$62,$AF$205^A31,IF(A31='Données projet'!$A$62,'Données projet'!$B$62,AI30+AH31-AQ30)))</f>
        <v>175.40000000000009</v>
      </c>
      <c r="AJ31" s="14">
        <f>AI31*VLOOKUP('Données projet'!$B$10,Paramètres!$A$1:$I$89,3,0)*VLOOKUP('Données projet'!$B$10,Paramètres!$A$1:$I$89,5,0)</f>
        <v>153.2294400000001</v>
      </c>
      <c r="AK31" s="14">
        <f t="shared" si="35"/>
        <v>39.311575138468363</v>
      </c>
      <c r="AL31" s="22">
        <f t="shared" si="4"/>
        <v>335.34226803283252</v>
      </c>
      <c r="AM31" s="62">
        <f t="shared" si="5"/>
        <v>626.23115692172132</v>
      </c>
      <c r="AN31" s="62">
        <f ca="1">AVERAGE(OFFSET($AM$3,0,0,'Données projet'!$E$10+1,1))-AVERAGE(OFFSET($H$3,0,0,'Données projet'!$E$10+1,1))</f>
        <v>304.32767345253382</v>
      </c>
      <c r="AO31" s="62">
        <f t="shared" si="36"/>
        <v>427.16091343339173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9.6666666666666661</v>
      </c>
      <c r="BD31" s="13">
        <f>IF('Données projet'!$A$88&gt;35,BD30+BC31-BL30,IF(A31&lt;'Données projet'!$A$88,$BA$205^A31,IF(A31='Données projet'!$A$88,'Données projet'!$B$88,BD30+BC31-BL30)))</f>
        <v>112.66666666666667</v>
      </c>
      <c r="BE31" s="14">
        <f>BD31*VLOOKUP('Données projet'!$B$11,Paramètres!$A$1:$I$89,3,0)*VLOOKUP('Données projet'!$B$11,Paramètres!$A$1:$I$89,5,0)</f>
        <v>67.37466666666667</v>
      </c>
      <c r="BF31" s="14">
        <f t="shared" si="37"/>
        <v>19.020051421525295</v>
      </c>
      <c r="BG31" s="22">
        <f t="shared" si="7"/>
        <v>150.47080067026766</v>
      </c>
      <c r="BH31" s="62">
        <f t="shared" si="8"/>
        <v>441.35968955915655</v>
      </c>
      <c r="BI31" s="62">
        <f ca="1">AVERAGE(OFFSET($BH$3,0,0,'Données projet'!$E$11+1,1))-AVERAGE(OFFSET($H$3,0,0,'Données projet'!$E$11+1,1))</f>
        <v>294.26495752303765</v>
      </c>
      <c r="BJ31" s="62">
        <f t="shared" si="38"/>
        <v>212.24900914818096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6.2</v>
      </c>
      <c r="N32" s="14">
        <f>IF('Données projet'!$A$36&gt;35,N31+M32-V31,IF(A32&lt;'Données projet'!$A$36,$K$205^A32,IF(A32='Données projet'!$A$36,'Données projet'!$B$36,N31+M32-V31)))</f>
        <v>173.79999999999993</v>
      </c>
      <c r="O32" s="14">
        <f>N32*VLOOKUP('Données projet'!$B$9,Paramètres!$A$1:$I$89,3,0)*VLOOKUP('Données projet'!$B$9,Paramètres!$A$1:$I$89,5,0)</f>
        <v>81.338399999999965</v>
      </c>
      <c r="P32" s="14">
        <f t="shared" si="33"/>
        <v>22.464113218363337</v>
      </c>
      <c r="Q32" s="22">
        <f t="shared" si="2"/>
        <v>180.78937718864941</v>
      </c>
      <c r="R32" s="62">
        <f t="shared" si="0"/>
        <v>472.90048829976058</v>
      </c>
      <c r="S32" s="62">
        <f ca="1">AVERAGE(OFFSET($R$3,0,0,'Données projet'!$E$9+1,1))-AVERAGE(OFFSET($H$3,0,0,'Données projet'!$E$9+1,1))</f>
        <v>260.49759897936531</v>
      </c>
      <c r="T32" s="62">
        <f t="shared" si="34"/>
        <v>223.74038909289635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14.8</v>
      </c>
      <c r="AI32" s="14">
        <f>IF('Données projet'!$A$62&gt;35,AI31+AH32-AQ31,IF(A32&lt;'Données projet'!$A$62,$AF$205^A32,IF(A32='Données projet'!$A$62,'Données projet'!$B$62,AI31+AH32-AQ31)))</f>
        <v>190.2000000000001</v>
      </c>
      <c r="AJ32" s="14">
        <f>AI32*VLOOKUP('Données projet'!$B$10,Paramètres!$A$1:$I$89,3,0)*VLOOKUP('Données projet'!$B$10,Paramètres!$A$1:$I$89,5,0)</f>
        <v>166.15872000000013</v>
      </c>
      <c r="AK32" s="14">
        <f t="shared" si="35"/>
        <v>42.228563636586422</v>
      </c>
      <c r="AL32" s="22">
        <f t="shared" si="4"/>
        <v>362.94118566705487</v>
      </c>
      <c r="AM32" s="62">
        <f t="shared" si="5"/>
        <v>655.05229677816601</v>
      </c>
      <c r="AN32" s="62">
        <f ca="1">AVERAGE(OFFSET($AM$3,0,0,'Données projet'!$E$10+1,1))-AVERAGE(OFFSET($H$3,0,0,'Données projet'!$E$10+1,1))</f>
        <v>304.32767345253382</v>
      </c>
      <c r="AO32" s="62">
        <f t="shared" si="36"/>
        <v>427.16091343339173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9.6666666666666661</v>
      </c>
      <c r="BD32" s="13">
        <f>IF('Données projet'!$A$88&gt;35,BD31+BC32-BL31,IF(A32&lt;'Données projet'!$A$88,$BA$205^A32,IF(A32='Données projet'!$A$88,'Données projet'!$B$88,BD31+BC32-BL31)))</f>
        <v>122.33333333333334</v>
      </c>
      <c r="BE32" s="14">
        <f>BD32*VLOOKUP('Données projet'!$B$11,Paramètres!$A$1:$I$89,3,0)*VLOOKUP('Données projet'!$B$11,Paramètres!$A$1:$I$89,5,0)</f>
        <v>73.155333333333346</v>
      </c>
      <c r="BF32" s="14">
        <f t="shared" si="37"/>
        <v>20.455016056663315</v>
      </c>
      <c r="BG32" s="22">
        <f t="shared" si="7"/>
        <v>163.03802518757752</v>
      </c>
      <c r="BH32" s="62">
        <f t="shared" si="8"/>
        <v>455.14913629868863</v>
      </c>
      <c r="BI32" s="62">
        <f ca="1">AVERAGE(OFFSET($BH$3,0,0,'Données projet'!$E$11+1,1))-AVERAGE(OFFSET($H$3,0,0,'Données projet'!$E$11+1,1))</f>
        <v>294.26495752303765</v>
      </c>
      <c r="BJ32" s="62">
        <f t="shared" si="38"/>
        <v>212.24900914818096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180</v>
      </c>
      <c r="L33" s="13">
        <f>VLOOKUP(A33,'Données projet'!$A$35:$I$55,9,0)</f>
        <v>6.2</v>
      </c>
      <c r="M33" s="13">
        <f t="array" ref="M33">INDEX(L:L,MIN(IF(ISNUMBER(L33:L229),ROW(L33:L229),"")))</f>
        <v>6.2</v>
      </c>
      <c r="N33" s="14">
        <f>IF('Données projet'!$A$36&gt;35,N32+M33-V32,IF(A33&lt;'Données projet'!$A$36,$K$205^A33,IF(A33='Données projet'!$A$36,'Données projet'!$B$36,N32+M33-V32)))</f>
        <v>179.99999999999991</v>
      </c>
      <c r="O33" s="14">
        <f>N33*VLOOKUP('Données projet'!$B$9,Paramètres!$A$1:$I$89,3,0)*VLOOKUP('Données projet'!$B$9,Paramètres!$A$1:$I$89,5,0)</f>
        <v>84.239999999999966</v>
      </c>
      <c r="P33" s="14">
        <f t="shared" si="33"/>
        <v>23.170749718409468</v>
      </c>
      <c r="Q33" s="22">
        <f t="shared" si="2"/>
        <v>187.07372242622975</v>
      </c>
      <c r="R33" s="62">
        <f t="shared" si="0"/>
        <v>480.40705575956304</v>
      </c>
      <c r="S33" s="62">
        <f ca="1">AVERAGE(OFFSET($R$3,0,0,'Données projet'!$E$9+1,1))-AVERAGE(OFFSET($H$3,0,0,'Données projet'!$E$9+1,1))</f>
        <v>260.49759897936531</v>
      </c>
      <c r="T33" s="62">
        <f t="shared" si="34"/>
        <v>223.74038909289635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205</v>
      </c>
      <c r="AG33" s="13">
        <f>VLOOKUP(A33,'Données projet'!$A$61:$I$81,9,0)</f>
        <v>14.8</v>
      </c>
      <c r="AH33" s="13">
        <f t="array" ref="AH33">INDEX(AG:AG,MIN(IF(ISNUMBER(AG33:AG229),ROW(AG33:AG229),"")))</f>
        <v>14.8</v>
      </c>
      <c r="AI33" s="14">
        <f>IF('Données projet'!$A$62&gt;35,AI32+AH33-AQ32,IF(A33&lt;'Données projet'!$A$62,$AF$205^A33,IF(A33='Données projet'!$A$62,'Données projet'!$B$62,AI32+AH33-AQ32)))</f>
        <v>205.00000000000011</v>
      </c>
      <c r="AJ33" s="14">
        <f>AI33*VLOOKUP('Données projet'!$B$10,Paramètres!$A$1:$I$89,3,0)*VLOOKUP('Données projet'!$B$10,Paramètres!$A$1:$I$89,5,0)</f>
        <v>179.08800000000011</v>
      </c>
      <c r="AK33" s="14">
        <f t="shared" si="35"/>
        <v>45.119223023956877</v>
      </c>
      <c r="AL33" s="22">
        <f t="shared" si="4"/>
        <v>390.4942467667251</v>
      </c>
      <c r="AM33" s="62">
        <f t="shared" si="5"/>
        <v>683.82758010005841</v>
      </c>
      <c r="AN33" s="62">
        <f ca="1">AVERAGE(OFFSET($AM$3,0,0,'Données projet'!$E$10+1,1))-AVERAGE(OFFSET($H$3,0,0,'Données projet'!$E$10+1,1))</f>
        <v>304.32767345253382</v>
      </c>
      <c r="AO33" s="62">
        <f t="shared" si="36"/>
        <v>427.16091343339173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51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132</v>
      </c>
      <c r="BB33" s="13">
        <f>VLOOKUP(A33,'Données projet'!$A$87:$I$107,9,0)</f>
        <v>9.6666666666666661</v>
      </c>
      <c r="BC33" s="13">
        <f t="array" ref="BC33">INDEX(BB:BB,MIN(IF(ISNUMBER(BB33:BB229),ROW(BB33:BB229),"")))</f>
        <v>9.6666666666666661</v>
      </c>
      <c r="BD33" s="13">
        <f>IF('Données projet'!$A$88&gt;35,BD32+BC33-BL32,IF(A33&lt;'Données projet'!$A$88,$BA$205^A33,IF(A33='Données projet'!$A$88,'Données projet'!$B$88,BD32+BC33-BL32)))</f>
        <v>132</v>
      </c>
      <c r="BE33" s="14">
        <f>BD33*VLOOKUP('Données projet'!$B$11,Paramètres!$A$1:$I$89,3,0)*VLOOKUP('Données projet'!$B$11,Paramètres!$A$1:$I$89,5,0)</f>
        <v>78.936000000000007</v>
      </c>
      <c r="BF33" s="14">
        <f t="shared" si="37"/>
        <v>21.876828219051273</v>
      </c>
      <c r="BG33" s="22">
        <f t="shared" si="7"/>
        <v>175.5823424815143</v>
      </c>
      <c r="BH33" s="62">
        <f t="shared" si="8"/>
        <v>468.91567581484765</v>
      </c>
      <c r="BI33" s="62">
        <f ca="1">AVERAGE(OFFSET($BH$3,0,0,'Données projet'!$E$11+1,1))-AVERAGE(OFFSET($H$3,0,0,'Données projet'!$E$11+1,1))</f>
        <v>294.26495752303765</v>
      </c>
      <c r="BJ33" s="62">
        <f t="shared" si="38"/>
        <v>212.24900914818096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13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0.5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4.4009869404853736</v>
      </c>
      <c r="BS33" s="24">
        <f t="shared" si="9"/>
        <v>4.4009869404853736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7</v>
      </c>
      <c r="N34" s="14">
        <f>IF('Données projet'!$A$36&gt;35,N33+M34-V33,IF(A34&lt;'Données projet'!$A$36,$K$205^A34,IF(A34='Données projet'!$A$36,'Données projet'!$B$36,N33+M34-V33)))</f>
        <v>186.99999999999991</v>
      </c>
      <c r="O34" s="14">
        <f>N34*VLOOKUP('Données projet'!$B$9,Paramètres!$A$1:$I$89,3,0)*VLOOKUP('Données projet'!$B$9,Paramètres!$A$1:$I$89,5,0)</f>
        <v>87.515999999999963</v>
      </c>
      <c r="P34" s="14">
        <f t="shared" si="33"/>
        <v>23.965171662037644</v>
      </c>
      <c r="Q34" s="22">
        <f t="shared" si="2"/>
        <v>194.16304064471549</v>
      </c>
      <c r="R34" s="62">
        <f t="shared" si="0"/>
        <v>487.49637397804884</v>
      </c>
      <c r="S34" s="62">
        <f ca="1">AVERAGE(OFFSET($R$3,0,0,'Données projet'!$E$9+1,1))-AVERAGE(OFFSET($H$3,0,0,'Données projet'!$E$9+1,1))</f>
        <v>260.49759897936531</v>
      </c>
      <c r="T34" s="62">
        <f t="shared" si="34"/>
        <v>223.74038909289635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13.6</v>
      </c>
      <c r="AI34" s="14">
        <f>IF('Données projet'!$A$62&gt;35,AI33+AH34-AQ33,IF(A34&lt;'Données projet'!$A$62,$AF$205^A34,IF(A34='Données projet'!$A$62,'Données projet'!$B$62,AI33+AH34-AQ33)))</f>
        <v>167.60000000000011</v>
      </c>
      <c r="AJ34" s="14">
        <f>AI34*VLOOKUP('Données projet'!$B$10,Paramètres!$A$1:$I$89,3,0)*VLOOKUP('Données projet'!$B$10,Paramètres!$A$1:$I$89,5,0)</f>
        <v>146.41536000000011</v>
      </c>
      <c r="AK34" s="14">
        <f t="shared" si="35"/>
        <v>37.762820103024502</v>
      </c>
      <c r="AL34" s="22">
        <f t="shared" si="4"/>
        <v>320.77699701276782</v>
      </c>
      <c r="AM34" s="62">
        <f t="shared" si="5"/>
        <v>614.11033034610114</v>
      </c>
      <c r="AN34" s="62">
        <f ca="1">AVERAGE(OFFSET($AM$3,0,0,'Données projet'!$E$10+1,1))-AVERAGE(OFFSET($H$3,0,0,'Données projet'!$E$10+1,1))</f>
        <v>304.32767345253382</v>
      </c>
      <c r="AO34" s="62">
        <f t="shared" si="36"/>
        <v>427.16091343339173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</v>
      </c>
      <c r="BD34" s="13">
        <f>IF('Données projet'!$A$88&gt;35,BD33+BC34-BL33,IF(A34&lt;'Données projet'!$A$88,$BA$205^A34,IF(A34='Données projet'!$A$88,'Données projet'!$B$88,BD33+BC34-BL33)))</f>
        <v>129</v>
      </c>
      <c r="BE34" s="14">
        <f>BD34*VLOOKUP('Données projet'!$B$11,Paramètres!$A$1:$I$89,3,0)*VLOOKUP('Données projet'!$B$11,Paramètres!$A$1:$I$89,5,0)</f>
        <v>77.14200000000001</v>
      </c>
      <c r="BF34" s="14">
        <f t="shared" si="37"/>
        <v>21.436915648510755</v>
      </c>
      <c r="BG34" s="22">
        <f t="shared" si="7"/>
        <v>171.69161142115624</v>
      </c>
      <c r="BH34" s="62">
        <f t="shared" si="8"/>
        <v>465.02494475448952</v>
      </c>
      <c r="BI34" s="62">
        <f ca="1">AVERAGE(OFFSET($BH$3,0,0,'Données projet'!$E$11+1,1))-AVERAGE(OFFSET($H$3,0,0,'Données projet'!$E$11+1,1))</f>
        <v>294.26495752303765</v>
      </c>
      <c r="BJ34" s="62">
        <f t="shared" si="38"/>
        <v>212.24900914818096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3.1119677095306444</v>
      </c>
      <c r="BS34" s="24">
        <f t="shared" si="9"/>
        <v>3.1119677095306444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7</v>
      </c>
      <c r="N35" s="14">
        <f>IF('Données projet'!$A$36&gt;35,N34+M35-V34,IF(A35&lt;'Données projet'!$A$36,$K$205^A35,IF(A35='Données projet'!$A$36,'Données projet'!$B$36,N34+M35-V34)))</f>
        <v>193.99999999999991</v>
      </c>
      <c r="O35" s="14">
        <f>N35*VLOOKUP('Données projet'!$B$9,Paramètres!$A$1:$I$89,3,0)*VLOOKUP('Données projet'!$B$9,Paramètres!$A$1:$I$89,5,0)</f>
        <v>90.791999999999959</v>
      </c>
      <c r="P35" s="14">
        <f t="shared" si="33"/>
        <v>24.756138813110173</v>
      </c>
      <c r="Q35" s="22">
        <f t="shared" ref="Q35:Q66" si="53">(O35+P35)*0.475*44/12</f>
        <v>201.24634176616681</v>
      </c>
      <c r="R35" s="62">
        <f t="shared" si="0"/>
        <v>494.57967509950015</v>
      </c>
      <c r="S35" s="62">
        <f ca="1">AVERAGE(OFFSET($R$3,0,0,'Données projet'!$E$9+1,1))-AVERAGE(OFFSET($H$3,0,0,'Données projet'!$E$9+1,1))</f>
        <v>260.49759897936531</v>
      </c>
      <c r="T35" s="62">
        <f t="shared" si="34"/>
        <v>223.74038909289635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13.6</v>
      </c>
      <c r="AI35" s="14">
        <f>IF('Données projet'!$A$62&gt;35,AI34+AH35-AQ34,IF(A35&lt;'Données projet'!$A$62,$AF$205^A35,IF(A35='Données projet'!$A$62,'Données projet'!$B$62,AI34+AH35-AQ34)))</f>
        <v>181.2000000000001</v>
      </c>
      <c r="AJ35" s="14">
        <f>AI35*VLOOKUP('Données projet'!$B$10,Paramètres!$A$1:$I$89,3,0)*VLOOKUP('Données projet'!$B$10,Paramètres!$A$1:$I$89,5,0)</f>
        <v>158.29632000000009</v>
      </c>
      <c r="AK35" s="14">
        <f t="shared" si="35"/>
        <v>40.458006540983739</v>
      </c>
      <c r="AL35" s="22">
        <f t="shared" si="4"/>
        <v>346.16378539221347</v>
      </c>
      <c r="AM35" s="62">
        <f t="shared" si="5"/>
        <v>639.49711872554678</v>
      </c>
      <c r="AN35" s="62">
        <f ca="1">AVERAGE(OFFSET($AM$3,0,0,'Données projet'!$E$10+1,1))-AVERAGE(OFFSET($H$3,0,0,'Données projet'!$E$10+1,1))</f>
        <v>304.32767345253382</v>
      </c>
      <c r="AO35" s="62">
        <f t="shared" si="36"/>
        <v>427.16091343339173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</v>
      </c>
      <c r="BD35" s="13">
        <f>IF('Données projet'!$A$88&gt;35,BD34+BC35-BL34,IF(A35&lt;'Données projet'!$A$88,$BA$205^A35,IF(A35='Données projet'!$A$88,'Données projet'!$B$88,BD34+BC35-BL34)))</f>
        <v>139</v>
      </c>
      <c r="BE35" s="14">
        <f>BD35*VLOOKUP('Données projet'!$B$11,Paramètres!$A$1:$I$89,3,0)*VLOOKUP('Données projet'!$B$11,Paramètres!$A$1:$I$89,5,0)</f>
        <v>83.122000000000014</v>
      </c>
      <c r="BF35" s="14">
        <f t="shared" si="37"/>
        <v>22.898820278178533</v>
      </c>
      <c r="BG35" s="22">
        <f t="shared" si="7"/>
        <v>184.65292865116098</v>
      </c>
      <c r="BH35" s="62">
        <f t="shared" si="8"/>
        <v>477.98626198449426</v>
      </c>
      <c r="BI35" s="62">
        <f ca="1">AVERAGE(OFFSET($BH$3,0,0,'Données projet'!$E$11+1,1))-AVERAGE(OFFSET($H$3,0,0,'Données projet'!$E$11+1,1))</f>
        <v>294.26495752303765</v>
      </c>
      <c r="BJ35" s="62">
        <f t="shared" si="38"/>
        <v>212.24900914818096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2.2004934702426868</v>
      </c>
      <c r="BS35" s="24">
        <f t="shared" si="9"/>
        <v>2.2004934702426868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7</v>
      </c>
      <c r="N36" s="14">
        <f>IF('Données projet'!$A$36&gt;35,N35+M36-V35,IF(A36&lt;'Données projet'!$A$36,$K$205^A36,IF(A36='Données projet'!$A$36,'Données projet'!$B$36,N35+M36-V35)))</f>
        <v>200.99999999999991</v>
      </c>
      <c r="O36" s="14">
        <f>N36*VLOOKUP('Données projet'!$B$9,Paramètres!$A$1:$I$89,3,0)*VLOOKUP('Données projet'!$B$9,Paramètres!$A$1:$I$89,5,0)</f>
        <v>94.067999999999969</v>
      </c>
      <c r="P36" s="14">
        <f t="shared" si="33"/>
        <v>25.543790108694029</v>
      </c>
      <c r="Q36" s="22">
        <f t="shared" si="53"/>
        <v>208.32386777264205</v>
      </c>
      <c r="R36" s="62">
        <f t="shared" si="0"/>
        <v>501.65720110597533</v>
      </c>
      <c r="S36" s="62">
        <f ca="1">AVERAGE(OFFSET($R$3,0,0,'Données projet'!$E$9+1,1))-AVERAGE(OFFSET($H$3,0,0,'Données projet'!$E$9+1,1))</f>
        <v>260.49759897936531</v>
      </c>
      <c r="T36" s="62">
        <f t="shared" si="34"/>
        <v>223.74038909289635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13.6</v>
      </c>
      <c r="AI36" s="14">
        <f>IF('Données projet'!$A$62&gt;35,AI35+AH36-AQ35,IF(A36&lt;'Données projet'!$A$62,$AF$205^A36,IF(A36='Données projet'!$A$62,'Données projet'!$B$62,AI35+AH36-AQ35)))</f>
        <v>194.8000000000001</v>
      </c>
      <c r="AJ36" s="14">
        <f>AI36*VLOOKUP('Données projet'!$B$10,Paramètres!$A$1:$I$89,3,0)*VLOOKUP('Données projet'!$B$10,Paramètres!$A$1:$I$89,5,0)</f>
        <v>170.17728000000011</v>
      </c>
      <c r="AK36" s="14">
        <f t="shared" si="35"/>
        <v>43.129725999134671</v>
      </c>
      <c r="AL36" s="22">
        <f t="shared" si="4"/>
        <v>371.50970211515977</v>
      </c>
      <c r="AM36" s="62">
        <f t="shared" si="5"/>
        <v>664.84303544849308</v>
      </c>
      <c r="AN36" s="62">
        <f ca="1">AVERAGE(OFFSET($AM$3,0,0,'Données projet'!$E$10+1,1))-AVERAGE(OFFSET($H$3,0,0,'Données projet'!$E$10+1,1))</f>
        <v>304.32767345253382</v>
      </c>
      <c r="AO36" s="62">
        <f t="shared" si="36"/>
        <v>427.16091343339173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</v>
      </c>
      <c r="BD36" s="13">
        <f>IF('Données projet'!$A$88&gt;35,BD35+BC36-BL35,IF(A36&lt;'Données projet'!$A$88,$BA$205^A36,IF(A36='Données projet'!$A$88,'Données projet'!$B$88,BD35+BC36-BL35)))</f>
        <v>149</v>
      </c>
      <c r="BE36" s="14">
        <f>BD36*VLOOKUP('Données projet'!$B$11,Paramètres!$A$1:$I$89,3,0)*VLOOKUP('Données projet'!$B$11,Paramètres!$A$1:$I$89,5,0)</f>
        <v>89.102000000000018</v>
      </c>
      <c r="BF36" s="14">
        <f t="shared" si="37"/>
        <v>24.348522781128082</v>
      </c>
      <c r="BG36" s="22">
        <f t="shared" si="7"/>
        <v>197.5929938437981</v>
      </c>
      <c r="BH36" s="62">
        <f t="shared" si="8"/>
        <v>490.92632717713138</v>
      </c>
      <c r="BI36" s="62">
        <f ca="1">AVERAGE(OFFSET($BH$3,0,0,'Données projet'!$E$11+1,1))-AVERAGE(OFFSET($H$3,0,0,'Données projet'!$E$11+1,1))</f>
        <v>294.26495752303765</v>
      </c>
      <c r="BJ36" s="62">
        <f t="shared" si="38"/>
        <v>212.24900914818096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1.5559838547653222</v>
      </c>
      <c r="BS36" s="24">
        <f t="shared" si="9"/>
        <v>1.5559838547653222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7</v>
      </c>
      <c r="N37" s="14">
        <f>IF('Données projet'!$A$36&gt;35,N36+M37-V36,IF(A37&lt;'Données projet'!$A$36,$K$205^A37,IF(A37='Données projet'!$A$36,'Données projet'!$B$36,N36+M37-V36)))</f>
        <v>207.99999999999991</v>
      </c>
      <c r="O37" s="14">
        <f>N37*VLOOKUP('Données projet'!$B$9,Paramètres!$A$1:$I$89,3,0)*VLOOKUP('Données projet'!$B$9,Paramètres!$A$1:$I$89,5,0)</f>
        <v>97.343999999999966</v>
      </c>
      <c r="P37" s="14">
        <f t="shared" si="33"/>
        <v>26.328254259866451</v>
      </c>
      <c r="Q37" s="22">
        <f t="shared" si="53"/>
        <v>215.39584283593402</v>
      </c>
      <c r="R37" s="62">
        <f t="shared" si="0"/>
        <v>508.72917616926736</v>
      </c>
      <c r="S37" s="62">
        <f ca="1">AVERAGE(OFFSET($R$3,0,0,'Données projet'!$E$9+1,1))-AVERAGE(OFFSET($H$3,0,0,'Données projet'!$E$9+1,1))</f>
        <v>260.49759897936531</v>
      </c>
      <c r="T37" s="62">
        <f t="shared" si="34"/>
        <v>223.74038909289635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13.6</v>
      </c>
      <c r="AI37" s="14">
        <f>IF('Données projet'!$A$62&gt;35,AI36+AH37-AQ36,IF(A37&lt;'Données projet'!$A$62,$AF$205^A37,IF(A37='Données projet'!$A$62,'Données projet'!$B$62,AI36+AH37-AQ36)))</f>
        <v>208.40000000000009</v>
      </c>
      <c r="AJ37" s="14">
        <f>AI37*VLOOKUP('Données projet'!$B$10,Paramètres!$A$1:$I$89,3,0)*VLOOKUP('Données projet'!$B$10,Paramètres!$A$1:$I$89,5,0)</f>
        <v>182.0582400000001</v>
      </c>
      <c r="AK37" s="14">
        <f t="shared" si="35"/>
        <v>45.779803189729343</v>
      </c>
      <c r="AL37" s="22">
        <f t="shared" si="4"/>
        <v>396.81792522211208</v>
      </c>
      <c r="AM37" s="62">
        <f t="shared" si="5"/>
        <v>690.15125855544534</v>
      </c>
      <c r="AN37" s="62">
        <f ca="1">AVERAGE(OFFSET($AM$3,0,0,'Données projet'!$E$10+1,1))-AVERAGE(OFFSET($H$3,0,0,'Données projet'!$E$10+1,1))</f>
        <v>304.32767345253382</v>
      </c>
      <c r="AO37" s="62">
        <f t="shared" si="36"/>
        <v>427.16091343339173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</v>
      </c>
      <c r="BD37" s="13">
        <f>IF('Données projet'!$A$88&gt;35,BD36+BC37-BL36,IF(A37&lt;'Données projet'!$A$88,$BA$205^A37,IF(A37='Données projet'!$A$88,'Données projet'!$B$88,BD36+BC37-BL36)))</f>
        <v>159</v>
      </c>
      <c r="BE37" s="14">
        <f>BD37*VLOOKUP('Données projet'!$B$11,Paramètres!$A$1:$I$89,3,0)*VLOOKUP('Données projet'!$B$11,Paramètres!$A$1:$I$89,5,0)</f>
        <v>95.082000000000008</v>
      </c>
      <c r="BF37" s="14">
        <f t="shared" si="37"/>
        <v>25.786935269387122</v>
      </c>
      <c r="BG37" s="22">
        <f t="shared" si="7"/>
        <v>210.51339559418258</v>
      </c>
      <c r="BH37" s="62">
        <f t="shared" si="8"/>
        <v>503.84672892751587</v>
      </c>
      <c r="BI37" s="62">
        <f ca="1">AVERAGE(OFFSET($BH$3,0,0,'Données projet'!$E$11+1,1))-AVERAGE(OFFSET($H$3,0,0,'Données projet'!$E$11+1,1))</f>
        <v>294.26495752303765</v>
      </c>
      <c r="BJ37" s="62">
        <f t="shared" si="38"/>
        <v>212.24900914818096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1.1002467351213434</v>
      </c>
      <c r="BS37" s="24">
        <f t="shared" si="9"/>
        <v>1.1002467351213434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7</v>
      </c>
      <c r="N38" s="14">
        <f>IF('Données projet'!$A$36&gt;35,N37+M38-V37,IF(A38&lt;'Données projet'!$A$36,$K$205^A38,IF(A38='Données projet'!$A$36,'Données projet'!$B$36,N37+M38-V37)))</f>
        <v>214.99999999999991</v>
      </c>
      <c r="O38" s="14">
        <f>N38*VLOOKUP('Données projet'!$B$9,Paramètres!$A$1:$I$89,3,0)*VLOOKUP('Données projet'!$B$9,Paramètres!$A$1:$I$89,5,0)</f>
        <v>100.61999999999996</v>
      </c>
      <c r="P38" s="14">
        <f t="shared" si="33"/>
        <v>27.109650822934128</v>
      </c>
      <c r="Q38" s="22">
        <f t="shared" si="53"/>
        <v>222.46247518327687</v>
      </c>
      <c r="R38" s="62">
        <f t="shared" si="0"/>
        <v>515.79580851661012</v>
      </c>
      <c r="S38" s="62">
        <f ca="1">AVERAGE(OFFSET($R$3,0,0,'Données projet'!$E$9+1,1))-AVERAGE(OFFSET($H$3,0,0,'Données projet'!$E$9+1,1))</f>
        <v>260.49759897936531</v>
      </c>
      <c r="T38" s="62">
        <f t="shared" si="34"/>
        <v>223.74038909289635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222</v>
      </c>
      <c r="AG38" s="13">
        <f>VLOOKUP(A38,'Données projet'!$A$61:$I$81,9,0)</f>
        <v>13.6</v>
      </c>
      <c r="AH38" s="13">
        <f t="array" ref="AH38">INDEX(AG:AG,MIN(IF(ISNUMBER(AG38:AG234),ROW(AG38:AG234),"")))</f>
        <v>13.6</v>
      </c>
      <c r="AI38" s="14">
        <f>IF('Données projet'!$A$62&gt;35,AI37+AH38-AQ37,IF(A38&lt;'Données projet'!$A$62,$AF$205^A38,IF(A38='Données projet'!$A$62,'Données projet'!$B$62,AI37+AH38-AQ37)))</f>
        <v>222.00000000000009</v>
      </c>
      <c r="AJ38" s="14">
        <f>AI38*VLOOKUP('Données projet'!$B$10,Paramètres!$A$1:$I$89,3,0)*VLOOKUP('Données projet'!$B$10,Paramètres!$A$1:$I$89,5,0)</f>
        <v>193.93920000000011</v>
      </c>
      <c r="AK38" s="14">
        <f t="shared" si="35"/>
        <v>48.409811198069384</v>
      </c>
      <c r="AL38" s="22">
        <f t="shared" si="4"/>
        <v>422.09119450330428</v>
      </c>
      <c r="AM38" s="62">
        <f t="shared" si="5"/>
        <v>715.42452783663759</v>
      </c>
      <c r="AN38" s="62">
        <f ca="1">AVERAGE(OFFSET($AM$3,0,0,'Données projet'!$E$10+1,1))-AVERAGE(OFFSET($H$3,0,0,'Données projet'!$E$10+1,1))</f>
        <v>304.32767345253382</v>
      </c>
      <c r="AO38" s="62">
        <f t="shared" si="36"/>
        <v>427.16091343339173</v>
      </c>
      <c r="AP38" s="16">
        <f>IF(ISNA(VLOOKUP(A38,'Données projet'!$A$61:$I$81,3,0)),0,VLOOKUP(A38,'Données projet'!$A$61:$I$81,3,0))</f>
        <v>5</v>
      </c>
      <c r="AQ38" s="16">
        <f>IF(ISNA(VLOOKUP(A38,'Données projet'!$A$61:$I$81,4,0)),0,VLOOKUP(A38,'Données projet'!$A$61:$I$81,4,0))</f>
        <v>49</v>
      </c>
      <c r="AR38" s="17">
        <f>IF(ISNA(VLOOKUP(A38,'Données projet'!$A$61:$I$81,5,0)),0%,VLOOKUP(A38,'Données projet'!$A$61:$I$81,5,0)*VLOOKUP('Données projet'!$B$10,Paramètres!$A$1:$I$89,7,0))</f>
        <v>8.6000000000000007E-2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4.0696238238817788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4.0696238238817788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169</v>
      </c>
      <c r="BB38" s="13">
        <f>VLOOKUP(A38,'Données projet'!$A$87:$I$107,9,0)</f>
        <v>10</v>
      </c>
      <c r="BC38" s="13">
        <f t="array" ref="BC38">INDEX(BB:BB,MIN(IF(ISNUMBER(BB38:BB234),ROW(BB38:BB234),"")))</f>
        <v>10</v>
      </c>
      <c r="BD38" s="13">
        <f>IF('Données projet'!$A$88&gt;35,BD37+BC38-BL37,IF(A38&lt;'Données projet'!$A$88,$BA$205^A38,IF(A38='Données projet'!$A$88,'Données projet'!$B$88,BD37+BC38-BL37)))</f>
        <v>169</v>
      </c>
      <c r="BE38" s="14">
        <f>BD38*VLOOKUP('Données projet'!$B$11,Paramètres!$A$1:$I$89,3,0)*VLOOKUP('Données projet'!$B$11,Paramètres!$A$1:$I$89,5,0)</f>
        <v>101.06200000000001</v>
      </c>
      <c r="BF38" s="14">
        <f t="shared" si="37"/>
        <v>27.214848638810562</v>
      </c>
      <c r="BG38" s="22">
        <f t="shared" si="7"/>
        <v>223.41551137926174</v>
      </c>
      <c r="BH38" s="62">
        <f t="shared" si="8"/>
        <v>516.74884471259509</v>
      </c>
      <c r="BI38" s="62">
        <f ca="1">AVERAGE(OFFSET($BH$3,0,0,'Données projet'!$E$11+1,1))-AVERAGE(OFFSET($H$3,0,0,'Données projet'!$E$11+1,1))</f>
        <v>294.26495752303765</v>
      </c>
      <c r="BJ38" s="62">
        <f t="shared" si="38"/>
        <v>212.24900914818096</v>
      </c>
      <c r="BK38" s="16">
        <f>IF(ISNA(VLOOKUP(A38,'Données projet'!$A$87:$I$107,3,0)),0,VLOOKUP(A38,'Données projet'!$A$87:$I$107,3,0))</f>
        <v>3</v>
      </c>
      <c r="BL38" s="16">
        <f>IF(ISNA(VLOOKUP(A38,'Données projet'!$A$87:$I$107,4,0)),0,VLOOKUP(A38,'Données projet'!$A$87:$I$107,4,0))</f>
        <v>23</v>
      </c>
      <c r="BM38" s="17">
        <f>IF(ISNA(VLOOKUP(A38,'Données projet'!$A$87:$I$107,5,0)),0%,VLOOKUP(A38,'Données projet'!$A$87:$I$107,5,0)*VLOOKUP('Données projet'!$B$11,Paramètres!$A$1:$I$89,7,0))</f>
        <v>0.1125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0.75</v>
      </c>
      <c r="BP38" s="23">
        <f>EXP(-LN(2)/35)*BP37+(1-EXP(-LN(2)/35))/(LN(2)/35)*BL38*BM38*VLOOKUP('Données projet'!$B$11,Paramètres!$A$1:$I$89,3,0)*0.475*44/12</f>
        <v>2.0526263460129868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12.457534192516921</v>
      </c>
      <c r="BS38" s="24">
        <f t="shared" si="9"/>
        <v>14.510160538529908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7</v>
      </c>
      <c r="N39" s="14">
        <f>IF('Données projet'!$A$36&gt;35,N38+M39-V38,IF(A39&lt;'Données projet'!$A$36,$K$205^A39,IF(A39='Données projet'!$A$36,'Données projet'!$B$36,N38+M39-V38)))</f>
        <v>221.99999999999991</v>
      </c>
      <c r="O39" s="14">
        <f>N39*VLOOKUP('Données projet'!$B$9,Paramètres!$A$1:$I$89,3,0)*VLOOKUP('Données projet'!$B$9,Paramètres!$A$1:$I$89,5,0)</f>
        <v>103.89599999999997</v>
      </c>
      <c r="P39" s="14">
        <f t="shared" si="33"/>
        <v>27.888091127225799</v>
      </c>
      <c r="Q39" s="22">
        <f t="shared" si="53"/>
        <v>229.52395871325152</v>
      </c>
      <c r="R39" s="62">
        <f t="shared" si="0"/>
        <v>522.8572920465848</v>
      </c>
      <c r="S39" s="62">
        <f ca="1">AVERAGE(OFFSET($R$3,0,0,'Données projet'!$E$9+1,1))-AVERAGE(OFFSET($H$3,0,0,'Données projet'!$E$9+1,1))</f>
        <v>260.49759897936531</v>
      </c>
      <c r="T39" s="62">
        <f t="shared" si="34"/>
        <v>223.74038909289635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12.4</v>
      </c>
      <c r="AI39" s="14">
        <f>IF('Données projet'!$A$62&gt;35,AI38+AH39-AQ38,IF(A39&lt;'Données projet'!$A$62,$AF$205^A39,IF(A39='Données projet'!$A$62,'Données projet'!$B$62,AI38+AH39-AQ38)))</f>
        <v>185.40000000000009</v>
      </c>
      <c r="AJ39" s="14">
        <f>AI39*VLOOKUP('Données projet'!$B$10,Paramètres!$A$1:$I$89,3,0)*VLOOKUP('Données projet'!$B$10,Paramètres!$A$1:$I$89,5,0)</f>
        <v>161.96544000000009</v>
      </c>
      <c r="AK39" s="14">
        <f t="shared" si="35"/>
        <v>41.285510388923619</v>
      </c>
      <c r="AL39" s="22">
        <f t="shared" si="4"/>
        <v>353.99540526070876</v>
      </c>
      <c r="AM39" s="62">
        <f t="shared" si="5"/>
        <v>647.32873859404208</v>
      </c>
      <c r="AN39" s="62">
        <f ca="1">AVERAGE(OFFSET($AM$3,0,0,'Données projet'!$E$10+1,1))-AVERAGE(OFFSET($H$3,0,0,'Données projet'!$E$10+1,1))</f>
        <v>304.32767345253382</v>
      </c>
      <c r="AO39" s="62">
        <f t="shared" si="36"/>
        <v>427.16091343339173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3.9898209829208904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3.9898209829208904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12.4</v>
      </c>
      <c r="BD39" s="13">
        <f>IF('Données projet'!$A$88&gt;35,BD38+BC39-BL38,IF(A39&lt;'Données projet'!$A$88,$BA$205^A39,IF(A39='Données projet'!$A$88,'Données projet'!$B$88,BD38+BC39-BL38)))</f>
        <v>158.4</v>
      </c>
      <c r="BE39" s="14">
        <f>BD39*VLOOKUP('Données projet'!$B$11,Paramètres!$A$1:$I$89,3,0)*VLOOKUP('Données projet'!$B$11,Paramètres!$A$1:$I$89,5,0)</f>
        <v>94.723200000000006</v>
      </c>
      <c r="BF39" s="14">
        <f t="shared" si="37"/>
        <v>25.700933959119112</v>
      </c>
      <c r="BG39" s="22">
        <f t="shared" si="7"/>
        <v>209.7386999787991</v>
      </c>
      <c r="BH39" s="62">
        <f t="shared" si="8"/>
        <v>503.07203331213242</v>
      </c>
      <c r="BI39" s="62">
        <f ca="1">AVERAGE(OFFSET($BH$3,0,0,'Données projet'!$E$11+1,1))-AVERAGE(OFFSET($H$3,0,0,'Données projet'!$E$11+1,1))</f>
        <v>294.26495752303765</v>
      </c>
      <c r="BJ39" s="62">
        <f t="shared" si="38"/>
        <v>212.24900914818096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2.0123755953461204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8.8088069043919965</v>
      </c>
      <c r="BS39" s="24">
        <f t="shared" si="9"/>
        <v>10.821182499738118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7</v>
      </c>
      <c r="N40" s="14">
        <f>IF('Données projet'!$A$36&gt;35,N39+M40-V39,IF(A40&lt;'Données projet'!$A$36,$K$205^A40,IF(A40='Données projet'!$A$36,'Données projet'!$B$36,N39+M40-V39)))</f>
        <v>228.99999999999991</v>
      </c>
      <c r="O40" s="14">
        <f>N40*VLOOKUP('Données projet'!$B$9,Paramètres!$A$1:$I$89,3,0)*VLOOKUP('Données projet'!$B$9,Paramètres!$A$1:$I$89,5,0)</f>
        <v>107.17199999999997</v>
      </c>
      <c r="P40" s="14">
        <f t="shared" si="33"/>
        <v>28.663679082578788</v>
      </c>
      <c r="Q40" s="22">
        <f t="shared" si="53"/>
        <v>236.58047440215805</v>
      </c>
      <c r="R40" s="62">
        <f t="shared" si="0"/>
        <v>529.91380773549133</v>
      </c>
      <c r="S40" s="62">
        <f ca="1">AVERAGE(OFFSET($R$3,0,0,'Données projet'!$E$9+1,1))-AVERAGE(OFFSET($H$3,0,0,'Données projet'!$E$9+1,1))</f>
        <v>260.49759897936531</v>
      </c>
      <c r="T40" s="62">
        <f t="shared" si="34"/>
        <v>223.74038909289635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12.4</v>
      </c>
      <c r="AI40" s="14">
        <f>IF('Données projet'!$A$62&gt;35,AI39+AH40-AQ39,IF(A40&lt;'Données projet'!$A$62,$AF$205^A40,IF(A40='Données projet'!$A$62,'Données projet'!$B$62,AI39+AH40-AQ39)))</f>
        <v>197.8000000000001</v>
      </c>
      <c r="AJ40" s="14">
        <f>AI40*VLOOKUP('Données projet'!$B$10,Paramètres!$A$1:$I$89,3,0)*VLOOKUP('Données projet'!$B$10,Paramètres!$A$1:$I$89,5,0)</f>
        <v>172.79808000000011</v>
      </c>
      <c r="AK40" s="14">
        <f t="shared" si="35"/>
        <v>43.716103757502459</v>
      </c>
      <c r="AL40" s="22">
        <f t="shared" si="4"/>
        <v>377.09553671098365</v>
      </c>
      <c r="AM40" s="62">
        <f t="shared" si="5"/>
        <v>670.42887004431691</v>
      </c>
      <c r="AN40" s="62">
        <f ca="1">AVERAGE(OFFSET($AM$3,0,0,'Données projet'!$E$10+1,1))-AVERAGE(OFFSET($H$3,0,0,'Données projet'!$E$10+1,1))</f>
        <v>304.32767345253382</v>
      </c>
      <c r="AO40" s="62">
        <f t="shared" si="36"/>
        <v>427.16091343339173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3.9115830269963183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3.9115830269963183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12.4</v>
      </c>
      <c r="BD40" s="13">
        <f>IF('Données projet'!$A$88&gt;35,BD39+BC40-BL39,IF(A40&lt;'Données projet'!$A$88,$BA$205^A40,IF(A40='Données projet'!$A$88,'Données projet'!$B$88,BD39+BC40-BL39)))</f>
        <v>170.8</v>
      </c>
      <c r="BE40" s="14">
        <f>BD40*VLOOKUP('Données projet'!$B$11,Paramètres!$A$1:$I$89,3,0)*VLOOKUP('Données projet'!$B$11,Paramètres!$A$1:$I$89,5,0)</f>
        <v>102.13840000000002</v>
      </c>
      <c r="BF40" s="14">
        <f t="shared" si="37"/>
        <v>27.470812821300004</v>
      </c>
      <c r="BG40" s="22">
        <f t="shared" si="7"/>
        <v>225.7360456637642</v>
      </c>
      <c r="BH40" s="62">
        <f t="shared" si="8"/>
        <v>519.06937899709749</v>
      </c>
      <c r="BI40" s="62">
        <f ca="1">AVERAGE(OFFSET($BH$3,0,0,'Données projet'!$E$11+1,1))-AVERAGE(OFFSET($H$3,0,0,'Données projet'!$E$11+1,1))</f>
        <v>294.26495752303765</v>
      </c>
      <c r="BJ40" s="62">
        <f t="shared" si="38"/>
        <v>212.24900914818096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1.9729141373492978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6.2287670962584611</v>
      </c>
      <c r="BS40" s="24">
        <f t="shared" si="9"/>
        <v>8.2016812336077596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7</v>
      </c>
      <c r="N41" s="14">
        <f>IF('Données projet'!$A$36&gt;35,N40+M41-V40,IF(A41&lt;'Données projet'!$A$36,$K$205^A41,IF(A41='Données projet'!$A$36,'Données projet'!$B$36,N40+M41-V40)))</f>
        <v>235.99999999999991</v>
      </c>
      <c r="O41" s="14">
        <f>N41*VLOOKUP('Données projet'!$B$9,Paramètres!$A$1:$I$89,3,0)*VLOOKUP('Données projet'!$B$9,Paramètres!$A$1:$I$89,5,0)</f>
        <v>110.44799999999996</v>
      </c>
      <c r="P41" s="14">
        <f t="shared" si="33"/>
        <v>29.436511885319536</v>
      </c>
      <c r="Q41" s="22">
        <f t="shared" si="53"/>
        <v>243.63219153359816</v>
      </c>
      <c r="R41" s="62">
        <f t="shared" si="0"/>
        <v>536.96552486693145</v>
      </c>
      <c r="S41" s="62">
        <f ca="1">AVERAGE(OFFSET($R$3,0,0,'Données projet'!$E$9+1,1))-AVERAGE(OFFSET($H$3,0,0,'Données projet'!$E$9+1,1))</f>
        <v>260.49759897936531</v>
      </c>
      <c r="T41" s="62">
        <f t="shared" si="34"/>
        <v>223.74038909289635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12.4</v>
      </c>
      <c r="AI41" s="14">
        <f>IF('Données projet'!$A$62&gt;35,AI40+AH41-AQ40,IF(A41&lt;'Données projet'!$A$62,$AF$205^A41,IF(A41='Données projet'!$A$62,'Données projet'!$B$62,AI40+AH41-AQ40)))</f>
        <v>210.2000000000001</v>
      </c>
      <c r="AJ41" s="14">
        <f>AI41*VLOOKUP('Données projet'!$B$10,Paramètres!$A$1:$I$89,3,0)*VLOOKUP('Données projet'!$B$10,Paramètres!$A$1:$I$89,5,0)</f>
        <v>183.63072000000011</v>
      </c>
      <c r="AK41" s="14">
        <f t="shared" si="35"/>
        <v>46.129013251634483</v>
      </c>
      <c r="AL41" s="22">
        <f t="shared" si="4"/>
        <v>400.16486874659694</v>
      </c>
      <c r="AM41" s="62">
        <f t="shared" si="5"/>
        <v>693.49820207993025</v>
      </c>
      <c r="AN41" s="62">
        <f ca="1">AVERAGE(OFFSET($AM$3,0,0,'Données projet'!$E$10+1,1))-AVERAGE(OFFSET($H$3,0,0,'Données projet'!$E$10+1,1))</f>
        <v>304.32767345253382</v>
      </c>
      <c r="AO41" s="62">
        <f t="shared" si="36"/>
        <v>427.16091343339173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3.834879269666986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3.834879269666986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12.4</v>
      </c>
      <c r="BD41" s="13">
        <f>IF('Données projet'!$A$88&gt;35,BD40+BC41-BL40,IF(A41&lt;'Données projet'!$A$88,$BA$205^A41,IF(A41='Données projet'!$A$88,'Données projet'!$B$88,BD40+BC41-BL40)))</f>
        <v>183.20000000000002</v>
      </c>
      <c r="BE41" s="14">
        <f>BD41*VLOOKUP('Données projet'!$B$11,Paramètres!$A$1:$I$89,3,0)*VLOOKUP('Données projet'!$B$11,Paramètres!$A$1:$I$89,5,0)</f>
        <v>109.55360000000002</v>
      </c>
      <c r="BF41" s="14">
        <f t="shared" si="37"/>
        <v>29.225784372214765</v>
      </c>
      <c r="BG41" s="22">
        <f t="shared" si="7"/>
        <v>241.70742778160744</v>
      </c>
      <c r="BH41" s="62">
        <f t="shared" si="8"/>
        <v>535.04076111494078</v>
      </c>
      <c r="BI41" s="62">
        <f ca="1">AVERAGE(OFFSET($BH$3,0,0,'Données projet'!$E$11+1,1))-AVERAGE(OFFSET($H$3,0,0,'Données projet'!$E$11+1,1))</f>
        <v>294.26495752303765</v>
      </c>
      <c r="BJ41" s="62">
        <f t="shared" si="38"/>
        <v>212.24900914818096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1.9342264944746801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4.4044034521959992</v>
      </c>
      <c r="BS41" s="24">
        <f t="shared" si="9"/>
        <v>6.3386299466706788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7</v>
      </c>
      <c r="N42" s="14">
        <f>IF('Données projet'!$A$36&gt;35,N41+M42-V41,IF(A42&lt;'Données projet'!$A$36,$K$205^A42,IF(A42='Données projet'!$A$36,'Données projet'!$B$36,N41+M42-V41)))</f>
        <v>242.99999999999991</v>
      </c>
      <c r="O42" s="14">
        <f>N42*VLOOKUP('Données projet'!$B$9,Paramètres!$A$1:$I$89,3,0)*VLOOKUP('Données projet'!$B$9,Paramètres!$A$1:$I$89,5,0)</f>
        <v>113.72399999999995</v>
      </c>
      <c r="P42" s="14">
        <f t="shared" si="33"/>
        <v>30.206680638130489</v>
      </c>
      <c r="Q42" s="22">
        <f t="shared" si="53"/>
        <v>250.67926877807716</v>
      </c>
      <c r="R42" s="62">
        <f t="shared" si="0"/>
        <v>544.0126021114105</v>
      </c>
      <c r="S42" s="62">
        <f ca="1">AVERAGE(OFFSET($R$3,0,0,'Données projet'!$E$9+1,1))-AVERAGE(OFFSET($H$3,0,0,'Données projet'!$E$9+1,1))</f>
        <v>260.49759897936531</v>
      </c>
      <c r="T42" s="62">
        <f t="shared" si="34"/>
        <v>223.74038909289635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12.4</v>
      </c>
      <c r="AI42" s="14">
        <f>IF('Données projet'!$A$62&gt;35,AI41+AH42-AQ41,IF(A42&lt;'Données projet'!$A$62,$AF$205^A42,IF(A42='Données projet'!$A$62,'Données projet'!$B$62,AI41+AH42-AQ41)))</f>
        <v>222.60000000000011</v>
      </c>
      <c r="AJ42" s="14">
        <f>AI42*VLOOKUP('Données projet'!$B$10,Paramètres!$A$1:$I$89,3,0)*VLOOKUP('Données projet'!$B$10,Paramètres!$A$1:$I$89,5,0)</f>
        <v>194.46336000000014</v>
      </c>
      <c r="AK42" s="14">
        <f t="shared" si="35"/>
        <v>48.525400894162686</v>
      </c>
      <c r="AL42" s="22">
        <f t="shared" si="4"/>
        <v>423.20542522400024</v>
      </c>
      <c r="AM42" s="62">
        <f t="shared" si="5"/>
        <v>716.53875855733349</v>
      </c>
      <c r="AN42" s="62">
        <f ca="1">AVERAGE(OFFSET($AM$3,0,0,'Données projet'!$E$10+1,1))-AVERAGE(OFFSET($H$3,0,0,'Données projet'!$E$10+1,1))</f>
        <v>304.32767345253382</v>
      </c>
      <c r="AO42" s="62">
        <f t="shared" si="36"/>
        <v>427.16091343339173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3.7596796262342091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3.7596796262342091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12.4</v>
      </c>
      <c r="BD42" s="13">
        <f>IF('Données projet'!$A$88&gt;35,BD41+BC42-BL41,IF(A42&lt;'Données projet'!$A$88,$BA$205^A42,IF(A42='Données projet'!$A$88,'Données projet'!$B$88,BD41+BC42-BL41)))</f>
        <v>195.60000000000002</v>
      </c>
      <c r="BE42" s="14">
        <f>BD42*VLOOKUP('Données projet'!$B$11,Paramètres!$A$1:$I$89,3,0)*VLOOKUP('Données projet'!$B$11,Paramètres!$A$1:$I$89,5,0)</f>
        <v>116.96880000000002</v>
      </c>
      <c r="BF42" s="14">
        <f t="shared" si="37"/>
        <v>30.966972418998537</v>
      </c>
      <c r="BG42" s="22">
        <f t="shared" si="7"/>
        <v>257.6548036297558</v>
      </c>
      <c r="BH42" s="62">
        <f t="shared" si="8"/>
        <v>550.98813696308912</v>
      </c>
      <c r="BI42" s="62">
        <f ca="1">AVERAGE(OFFSET($BH$3,0,0,'Données projet'!$E$11+1,1))-AVERAGE(OFFSET($H$3,0,0,'Données projet'!$E$11+1,1))</f>
        <v>294.26495752303765</v>
      </c>
      <c r="BJ42" s="62">
        <f t="shared" si="38"/>
        <v>212.24900914818096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1.8962974926797014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3.114383548129231</v>
      </c>
      <c r="BS42" s="24">
        <f t="shared" si="9"/>
        <v>5.0106810408089322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250</v>
      </c>
      <c r="L43" s="13">
        <f>VLOOKUP(A43,'Données projet'!$A$35:$I$55,9,0)</f>
        <v>7</v>
      </c>
      <c r="M43" s="13">
        <f t="array" ref="M43">INDEX(L:L,MIN(IF(ISNUMBER(L43:L239),ROW(L43:L239),"")))</f>
        <v>7</v>
      </c>
      <c r="N43" s="14">
        <f>IF('Données projet'!$A$36&gt;35,N42+M43-V42,IF(A43&lt;'Données projet'!$A$36,$K$205^A43,IF(A43='Données projet'!$A$36,'Données projet'!$B$36,N42+M43-V42)))</f>
        <v>249.99999999999991</v>
      </c>
      <c r="O43" s="14">
        <f>N43*VLOOKUP('Données projet'!$B$9,Paramètres!$A$1:$I$89,3,0)*VLOOKUP('Données projet'!$B$9,Paramètres!$A$1:$I$89,5,0)</f>
        <v>116.99999999999997</v>
      </c>
      <c r="P43" s="14">
        <f t="shared" si="33"/>
        <v>30.974270896484146</v>
      </c>
      <c r="Q43" s="22">
        <f t="shared" si="53"/>
        <v>257.72185514470982</v>
      </c>
      <c r="R43" s="62">
        <f t="shared" si="0"/>
        <v>551.05518847804319</v>
      </c>
      <c r="S43" s="62">
        <f ca="1">AVERAGE(OFFSET($R$3,0,0,'Données projet'!$E$9+1,1))-AVERAGE(OFFSET($H$3,0,0,'Données projet'!$E$9+1,1))</f>
        <v>260.49759897936531</v>
      </c>
      <c r="T43" s="62">
        <f t="shared" si="34"/>
        <v>223.74038909289635</v>
      </c>
      <c r="U43" s="16">
        <f>IF(ISNA(VLOOKUP(A43,'Données projet'!$A$35:$I$55,3,0)),0,VLOOKUP(A43,'Données projet'!$A$35:$I$55,3,0))</f>
        <v>1</v>
      </c>
      <c r="V43" s="16">
        <f>IF(ISNA(VLOOKUP(A43,'Données projet'!$A$35:$I$55,4,0)),0,VLOOKUP(A43,'Données projet'!$A$35:$I$55,4,0))</f>
        <v>63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235</v>
      </c>
      <c r="AG43" s="13">
        <f>VLOOKUP(A43,'Données projet'!$A$61:$I$81,9,0)</f>
        <v>12.4</v>
      </c>
      <c r="AH43" s="13">
        <f t="array" ref="AH43">INDEX(AG:AG,MIN(IF(ISNUMBER(AG43:AG239),ROW(AG43:AG239),"")))</f>
        <v>12.4</v>
      </c>
      <c r="AI43" s="14">
        <f>IF('Données projet'!$A$62&gt;35,AI42+AH43-AQ42,IF(A43&lt;'Données projet'!$A$62,$AF$205^A43,IF(A43='Données projet'!$A$62,'Données projet'!$B$62,AI42+AH43-AQ42)))</f>
        <v>235.00000000000011</v>
      </c>
      <c r="AJ43" s="14">
        <f>AI43*VLOOKUP('Données projet'!$B$10,Paramètres!$A$1:$I$89,3,0)*VLOOKUP('Données projet'!$B$10,Paramètres!$A$1:$I$89,5,0)</f>
        <v>205.29600000000013</v>
      </c>
      <c r="AK43" s="14">
        <f t="shared" si="35"/>
        <v>50.906291934375396</v>
      </c>
      <c r="AL43" s="22">
        <f t="shared" si="4"/>
        <v>446.21899178570402</v>
      </c>
      <c r="AM43" s="62">
        <f t="shared" si="5"/>
        <v>739.55232511903728</v>
      </c>
      <c r="AN43" s="62">
        <f ca="1">AVERAGE(OFFSET($AM$3,0,0,'Données projet'!$E$10+1,1))-AVERAGE(OFFSET($H$3,0,0,'Données projet'!$E$10+1,1))</f>
        <v>304.32767345253382</v>
      </c>
      <c r="AO43" s="62">
        <f t="shared" si="36"/>
        <v>427.16091343339173</v>
      </c>
      <c r="AP43" s="16">
        <f>IF(ISNA(VLOOKUP(A43,'Données projet'!$A$61:$I$81,3,0)),0,VLOOKUP(A43,'Données projet'!$A$61:$I$81,3,0))</f>
        <v>6</v>
      </c>
      <c r="AQ43" s="16">
        <f>IF(ISNA(VLOOKUP(A43,'Données projet'!$A$61:$I$81,4,0)),0,VLOOKUP(A43,'Données projet'!$A$61:$I$81,4,0))</f>
        <v>45</v>
      </c>
      <c r="AR43" s="17">
        <f>IF(ISNA(VLOOKUP(A43,'Données projet'!$A$61:$I$81,5,0)),0%,VLOOKUP(A43,'Données projet'!$A$61:$I$81,5,0)*VLOOKUP('Données projet'!$B$10,Paramètres!$A$1:$I$89,7,0))</f>
        <v>0.17200000000000001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11.160773870296181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11.160773870296181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208</v>
      </c>
      <c r="BB43" s="13">
        <f>VLOOKUP(A43,'Données projet'!$A$87:$I$107,9,0)</f>
        <v>12.4</v>
      </c>
      <c r="BC43" s="13">
        <f t="array" ref="BC43">INDEX(BB:BB,MIN(IF(ISNUMBER(BB43:BB239),ROW(BB43:BB239),"")))</f>
        <v>12.4</v>
      </c>
      <c r="BD43" s="13">
        <f>IF('Données projet'!$A$88&gt;35,BD42+BC43-BL42,IF(A43&lt;'Données projet'!$A$88,$BA$205^A43,IF(A43='Données projet'!$A$88,'Données projet'!$B$88,BD42+BC43-BL42)))</f>
        <v>208.00000000000003</v>
      </c>
      <c r="BE43" s="14">
        <f>BD43*VLOOKUP('Données projet'!$B$11,Paramètres!$A$1:$I$89,3,0)*VLOOKUP('Données projet'!$B$11,Paramètres!$A$1:$I$89,5,0)</f>
        <v>124.38400000000003</v>
      </c>
      <c r="BF43" s="14">
        <f t="shared" si="37"/>
        <v>32.695350227217695</v>
      </c>
      <c r="BG43" s="22">
        <f t="shared" si="7"/>
        <v>273.57986831240419</v>
      </c>
      <c r="BH43" s="62">
        <f t="shared" si="8"/>
        <v>566.91320164573744</v>
      </c>
      <c r="BI43" s="62">
        <f ca="1">AVERAGE(OFFSET($BH$3,0,0,'Données projet'!$E$11+1,1))-AVERAGE(OFFSET($H$3,0,0,'Données projet'!$E$11+1,1))</f>
        <v>294.26495752303765</v>
      </c>
      <c r="BJ43" s="62">
        <f t="shared" si="38"/>
        <v>212.24900914818096</v>
      </c>
      <c r="BK43" s="16">
        <f>IF(ISNA(VLOOKUP(A43,'Données projet'!$A$87:$I$107,3,0)),0,VLOOKUP(A43,'Données projet'!$A$87:$I$107,3,0))</f>
        <v>4</v>
      </c>
      <c r="BL43" s="16">
        <f>IF(ISNA(VLOOKUP(A43,'Données projet'!$A$87:$I$107,4,0)),0,VLOOKUP(A43,'Données projet'!$A$87:$I$107,4,0))</f>
        <v>34</v>
      </c>
      <c r="BM43" s="17">
        <f>IF(ISNA(VLOOKUP(A43,'Données projet'!$A$87:$I$107,5,0)),0%,VLOOKUP(A43,'Données projet'!$A$87:$I$107,5,0)*VLOOKUP('Données projet'!$B$11,Paramètres!$A$1:$I$89,7,0))</f>
        <v>0.1575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0.65</v>
      </c>
      <c r="BP43" s="23">
        <f>EXP(-LN(2)/35)*BP42+(1-EXP(-LN(2)/35))/(LN(2)/35)*BL43*BM43*VLOOKUP('Données projet'!$B$11,Paramètres!$A$1:$I$89,3,0)*0.475*44/12</f>
        <v>6.1071563454850004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17.165557323748271</v>
      </c>
      <c r="BS43" s="24">
        <f t="shared" si="9"/>
        <v>23.272713669233269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7.5</v>
      </c>
      <c r="N44" s="14">
        <f>IF('Données projet'!$A$36&gt;35,N43+M44-V43,IF(A44&lt;'Données projet'!$A$36,$K$205^A44,IF(A44='Données projet'!$A$36,'Données projet'!$B$36,N43+M44-V43)))</f>
        <v>194.49999999999989</v>
      </c>
      <c r="O44" s="14">
        <f>N44*VLOOKUP('Données projet'!$B$9,Paramètres!$A$1:$I$89,3,0)*VLOOKUP('Données projet'!$B$9,Paramètres!$A$1:$I$89,5,0)</f>
        <v>91.025999999999939</v>
      </c>
      <c r="P44" s="14">
        <f t="shared" si="33"/>
        <v>24.812508004397124</v>
      </c>
      <c r="Q44" s="22">
        <f t="shared" si="53"/>
        <v>201.75206810765823</v>
      </c>
      <c r="R44" s="62">
        <f t="shared" si="0"/>
        <v>495.08540144099152</v>
      </c>
      <c r="S44" s="62">
        <f ca="1">AVERAGE(OFFSET($R$3,0,0,'Données projet'!$E$9+1,1))-AVERAGE(OFFSET($H$3,0,0,'Données projet'!$E$9+1,1))</f>
        <v>260.49759897936531</v>
      </c>
      <c r="T44" s="62">
        <f t="shared" si="34"/>
        <v>223.74038909289635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</v>
      </c>
      <c r="AI44" s="14">
        <f>IF('Données projet'!$A$62&gt;35,AI43+AH44-AQ43,IF(A44&lt;'Données projet'!$A$62,$AF$205^A44,IF(A44='Données projet'!$A$62,'Données projet'!$B$62,AI43+AH44-AQ43)))</f>
        <v>201.00000000000011</v>
      </c>
      <c r="AJ44" s="14">
        <f>AI44*VLOOKUP('Données projet'!$B$10,Paramètres!$A$1:$I$89,3,0)*VLOOKUP('Données projet'!$B$10,Paramètres!$A$1:$I$89,5,0)</f>
        <v>175.59360000000012</v>
      </c>
      <c r="AK44" s="14">
        <f t="shared" si="35"/>
        <v>44.340433728638573</v>
      </c>
      <c r="AL44" s="22">
        <f t="shared" si="4"/>
        <v>383.05177541071242</v>
      </c>
      <c r="AM44" s="62">
        <f t="shared" si="5"/>
        <v>676.38510874404574</v>
      </c>
      <c r="AN44" s="62">
        <f ca="1">AVERAGE(OFFSET($AM$3,0,0,'Données projet'!$E$10+1,1))-AVERAGE(OFFSET($H$3,0,0,'Données projet'!$E$10+1,1))</f>
        <v>304.32767345253382</v>
      </c>
      <c r="AO44" s="62">
        <f t="shared" si="36"/>
        <v>427.16091343339173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10.941917902099558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10.941917902099558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13.1</v>
      </c>
      <c r="BD44" s="13">
        <f>IF('Données projet'!$A$88&gt;35,BD43+BC44-BL43,IF(A44&lt;'Données projet'!$A$88,$BA$205^A44,IF(A44='Données projet'!$A$88,'Données projet'!$B$88,BD43+BC44-BL43)))</f>
        <v>187.10000000000002</v>
      </c>
      <c r="BE44" s="14">
        <f>BD44*VLOOKUP('Données projet'!$B$11,Paramètres!$A$1:$I$89,3,0)*VLOOKUP('Données projet'!$B$11,Paramètres!$A$1:$I$89,5,0)</f>
        <v>111.88580000000003</v>
      </c>
      <c r="BF44" s="14">
        <f t="shared" si="37"/>
        <v>29.774853250315406</v>
      </c>
      <c r="BG44" s="22">
        <f t="shared" si="7"/>
        <v>246.72563774429935</v>
      </c>
      <c r="BH44" s="62">
        <f t="shared" si="8"/>
        <v>540.05897107763269</v>
      </c>
      <c r="BI44" s="62">
        <f ca="1">AVERAGE(OFFSET($BH$3,0,0,'Données projet'!$E$11+1,1))-AVERAGE(OFFSET($H$3,0,0,'Données projet'!$E$11+1,1))</f>
        <v>294.26495752303765</v>
      </c>
      <c r="BJ44" s="62">
        <f t="shared" si="38"/>
        <v>212.24900914818096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5.9873987345475976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12.137881986468807</v>
      </c>
      <c r="BS44" s="24">
        <f t="shared" si="9"/>
        <v>18.125280721016406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7.5</v>
      </c>
      <c r="N45" s="14">
        <f>IF('Données projet'!$A$36&gt;35,N44+M45-V44,IF(A45&lt;'Données projet'!$A$36,$K$205^A45,IF(A45='Données projet'!$A$36,'Données projet'!$B$36,N44+M45-V44)))</f>
        <v>201.99999999999989</v>
      </c>
      <c r="O45" s="14">
        <f>N45*VLOOKUP('Données projet'!$B$9,Paramètres!$A$1:$I$89,3,0)*VLOOKUP('Données projet'!$B$9,Paramètres!$A$1:$I$89,5,0)</f>
        <v>94.535999999999945</v>
      </c>
      <c r="P45" s="14">
        <f t="shared" si="33"/>
        <v>25.656048664271697</v>
      </c>
      <c r="Q45" s="22">
        <f t="shared" si="53"/>
        <v>209.33448475693976</v>
      </c>
      <c r="R45" s="62">
        <f t="shared" si="0"/>
        <v>502.66781809027304</v>
      </c>
      <c r="S45" s="62">
        <f ca="1">AVERAGE(OFFSET($R$3,0,0,'Données projet'!$E$9+1,1))-AVERAGE(OFFSET($H$3,0,0,'Données projet'!$E$9+1,1))</f>
        <v>260.49759897936531</v>
      </c>
      <c r="T45" s="62">
        <f t="shared" si="34"/>
        <v>223.74038909289635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</v>
      </c>
      <c r="AI45" s="14">
        <f>IF('Données projet'!$A$62&gt;35,AI44+AH45-AQ44,IF(A45&lt;'Données projet'!$A$62,$AF$205^A45,IF(A45='Données projet'!$A$62,'Données projet'!$B$62,AI44+AH45-AQ44)))</f>
        <v>212.00000000000011</v>
      </c>
      <c r="AJ45" s="14">
        <f>AI45*VLOOKUP('Données projet'!$B$10,Paramètres!$A$1:$I$89,3,0)*VLOOKUP('Données projet'!$B$10,Paramètres!$A$1:$I$89,5,0)</f>
        <v>185.20320000000012</v>
      </c>
      <c r="AK45" s="14">
        <f t="shared" si="35"/>
        <v>46.477875402099386</v>
      </c>
      <c r="AL45" s="22">
        <f t="shared" si="4"/>
        <v>403.51120632532326</v>
      </c>
      <c r="AM45" s="62">
        <f t="shared" si="5"/>
        <v>696.84453965865657</v>
      </c>
      <c r="AN45" s="62">
        <f ca="1">AVERAGE(OFFSET($AM$3,0,0,'Données projet'!$E$10+1,1))-AVERAGE(OFFSET($H$3,0,0,'Données projet'!$E$10+1,1))</f>
        <v>304.32767345253382</v>
      </c>
      <c r="AO45" s="62">
        <f t="shared" si="36"/>
        <v>427.16091343339173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10.727353565950311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10.727353565950311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13.1</v>
      </c>
      <c r="BD45" s="13">
        <f>IF('Données projet'!$A$88&gt;35,BD44+BC45-BL44,IF(A45&lt;'Données projet'!$A$88,$BA$205^A45,IF(A45='Données projet'!$A$88,'Données projet'!$B$88,BD44+BC45-BL44)))</f>
        <v>200.20000000000002</v>
      </c>
      <c r="BE45" s="14">
        <f>BD45*VLOOKUP('Données projet'!$B$11,Paramètres!$A$1:$I$89,3,0)*VLOOKUP('Données projet'!$B$11,Paramètres!$A$1:$I$89,5,0)</f>
        <v>119.71960000000001</v>
      </c>
      <c r="BF45" s="14">
        <f t="shared" si="37"/>
        <v>31.609591697240411</v>
      </c>
      <c r="BG45" s="22">
        <f t="shared" si="7"/>
        <v>263.56500887269368</v>
      </c>
      <c r="BH45" s="62">
        <f t="shared" si="8"/>
        <v>556.898342206027</v>
      </c>
      <c r="BI45" s="62">
        <f ca="1">AVERAGE(OFFSET($BH$3,0,0,'Données projet'!$E$11+1,1))-AVERAGE(OFFSET($H$3,0,0,'Données projet'!$E$11+1,1))</f>
        <v>294.26495752303765</v>
      </c>
      <c r="BJ45" s="62">
        <f t="shared" si="38"/>
        <v>212.24900914818096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5.8699894973157472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8.5827786618741371</v>
      </c>
      <c r="BS45" s="24">
        <f t="shared" si="9"/>
        <v>14.452768159189883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7.5</v>
      </c>
      <c r="N46" s="14">
        <f>IF('Données projet'!$A$36&gt;35,N45+M46-V45,IF(A46&lt;'Données projet'!$A$36,$K$205^A46,IF(A46='Données projet'!$A$36,'Données projet'!$B$36,N45+M46-V45)))</f>
        <v>209.49999999999989</v>
      </c>
      <c r="O46" s="14">
        <f>N46*VLOOKUP('Données projet'!$B$9,Paramètres!$A$1:$I$89,3,0)*VLOOKUP('Données projet'!$B$9,Paramètres!$A$1:$I$89,5,0)</f>
        <v>98.04599999999995</v>
      </c>
      <c r="P46" s="14">
        <f t="shared" si="33"/>
        <v>26.495950708524894</v>
      </c>
      <c r="Q46" s="22">
        <f t="shared" si="53"/>
        <v>216.91056415068076</v>
      </c>
      <c r="R46" s="62">
        <f t="shared" si="0"/>
        <v>510.24389748401404</v>
      </c>
      <c r="S46" s="62">
        <f ca="1">AVERAGE(OFFSET($R$3,0,0,'Données projet'!$E$9+1,1))-AVERAGE(OFFSET($H$3,0,0,'Données projet'!$E$9+1,1))</f>
        <v>260.49759897936531</v>
      </c>
      <c r="T46" s="62">
        <f t="shared" si="34"/>
        <v>223.74038909289635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</v>
      </c>
      <c r="AI46" s="14">
        <f>IF('Données projet'!$A$62&gt;35,AI45+AH46-AQ45,IF(A46&lt;'Données projet'!$A$62,$AF$205^A46,IF(A46='Données projet'!$A$62,'Données projet'!$B$62,AI45+AH46-AQ45)))</f>
        <v>223.00000000000011</v>
      </c>
      <c r="AJ46" s="14">
        <f>AI46*VLOOKUP('Données projet'!$B$10,Paramètres!$A$1:$I$89,3,0)*VLOOKUP('Données projet'!$B$10,Paramètres!$A$1:$I$89,5,0)</f>
        <v>194.81280000000012</v>
      </c>
      <c r="AK46" s="14">
        <f t="shared" si="35"/>
        <v>48.602440540253902</v>
      </c>
      <c r="AL46" s="22">
        <f t="shared" si="4"/>
        <v>423.9482106076091</v>
      </c>
      <c r="AM46" s="62">
        <f t="shared" si="5"/>
        <v>717.28154394094236</v>
      </c>
      <c r="AN46" s="62">
        <f ca="1">AVERAGE(OFFSET($AM$3,0,0,'Données projet'!$E$10+1,1))-AVERAGE(OFFSET($H$3,0,0,'Données projet'!$E$10+1,1))</f>
        <v>304.32767345253382</v>
      </c>
      <c r="AO46" s="62">
        <f t="shared" si="36"/>
        <v>427.16091343339173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10.516996705561629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10.516996705561629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13.1</v>
      </c>
      <c r="BD46" s="13">
        <f>IF('Données projet'!$A$88&gt;35,BD45+BC46-BL45,IF(A46&lt;'Données projet'!$A$88,$BA$205^A46,IF(A46='Données projet'!$A$88,'Données projet'!$B$88,BD45+BC46-BL45)))</f>
        <v>213.3</v>
      </c>
      <c r="BE46" s="14">
        <f>BD46*VLOOKUP('Données projet'!$B$11,Paramètres!$A$1:$I$89,3,0)*VLOOKUP('Données projet'!$B$11,Paramètres!$A$1:$I$89,5,0)</f>
        <v>127.55340000000001</v>
      </c>
      <c r="BF46" s="14">
        <f t="shared" si="37"/>
        <v>33.430398298153889</v>
      </c>
      <c r="BG46" s="22">
        <f t="shared" si="7"/>
        <v>280.38011536928462</v>
      </c>
      <c r="BH46" s="62">
        <f t="shared" si="8"/>
        <v>573.71344870261794</v>
      </c>
      <c r="BI46" s="62">
        <f ca="1">AVERAGE(OFFSET($BH$3,0,0,'Données projet'!$E$11+1,1))-AVERAGE(OFFSET($H$3,0,0,'Données projet'!$E$11+1,1))</f>
        <v>294.26495752303765</v>
      </c>
      <c r="BJ46" s="62">
        <f t="shared" si="38"/>
        <v>212.24900914818096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5.7548825836134494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6.0689409932344054</v>
      </c>
      <c r="BS46" s="24">
        <f t="shared" si="9"/>
        <v>11.823823576847854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7.5</v>
      </c>
      <c r="N47" s="14">
        <f>IF('Données projet'!$A$36&gt;35,N46+M47-V46,IF(A47&lt;'Données projet'!$A$36,$K$205^A47,IF(A47='Données projet'!$A$36,'Données projet'!$B$36,N46+M47-V46)))</f>
        <v>216.99999999999989</v>
      </c>
      <c r="O47" s="14">
        <f>N47*VLOOKUP('Données projet'!$B$9,Paramètres!$A$1:$I$89,3,0)*VLOOKUP('Données projet'!$B$9,Paramètres!$A$1:$I$89,5,0)</f>
        <v>101.55599999999995</v>
      </c>
      <c r="P47" s="14">
        <f t="shared" si="33"/>
        <v>27.332359320696909</v>
      </c>
      <c r="Q47" s="22">
        <f t="shared" si="53"/>
        <v>224.48055915021368</v>
      </c>
      <c r="R47" s="62">
        <f t="shared" si="0"/>
        <v>517.81389248354697</v>
      </c>
      <c r="S47" s="62">
        <f ca="1">AVERAGE(OFFSET($R$3,0,0,'Données projet'!$E$9+1,1))-AVERAGE(OFFSET($H$3,0,0,'Données projet'!$E$9+1,1))</f>
        <v>260.49759897936531</v>
      </c>
      <c r="T47" s="62">
        <f t="shared" si="34"/>
        <v>223.74038909289635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</v>
      </c>
      <c r="AI47" s="14">
        <f>IF('Données projet'!$A$62&gt;35,AI46+AH47-AQ46,IF(A47&lt;'Données projet'!$A$62,$AF$205^A47,IF(A47='Données projet'!$A$62,'Données projet'!$B$62,AI46+AH47-AQ46)))</f>
        <v>234.00000000000011</v>
      </c>
      <c r="AJ47" s="14">
        <f>AI47*VLOOKUP('Données projet'!$B$10,Paramètres!$A$1:$I$89,3,0)*VLOOKUP('Données projet'!$B$10,Paramètres!$A$1:$I$89,5,0)</f>
        <v>204.42240000000012</v>
      </c>
      <c r="AK47" s="14">
        <f t="shared" si="35"/>
        <v>50.714836797527312</v>
      </c>
      <c r="AL47" s="22">
        <f t="shared" si="4"/>
        <v>444.36402075569362</v>
      </c>
      <c r="AM47" s="62">
        <f t="shared" si="5"/>
        <v>737.69735408902693</v>
      </c>
      <c r="AN47" s="62">
        <f ca="1">AVERAGE(OFFSET($AM$3,0,0,'Données projet'!$E$10+1,1))-AVERAGE(OFFSET($H$3,0,0,'Données projet'!$E$10+1,1))</f>
        <v>304.32767345253382</v>
      </c>
      <c r="AO47" s="62">
        <f t="shared" si="36"/>
        <v>427.16091343339173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10.310764814900153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10.310764814900153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13.1</v>
      </c>
      <c r="BD47" s="13">
        <f>IF('Données projet'!$A$88&gt;35,BD46+BC47-BL46,IF(A47&lt;'Données projet'!$A$88,$BA$205^A47,IF(A47='Données projet'!$A$88,'Données projet'!$B$88,BD46+BC47-BL46)))</f>
        <v>226.4</v>
      </c>
      <c r="BE47" s="14">
        <f>BD47*VLOOKUP('Données projet'!$B$11,Paramètres!$A$1:$I$89,3,0)*VLOOKUP('Données projet'!$B$11,Paramètres!$A$1:$I$89,5,0)</f>
        <v>135.38720000000001</v>
      </c>
      <c r="BF47" s="14">
        <f t="shared" si="37"/>
        <v>35.238226113459085</v>
      </c>
      <c r="BG47" s="22">
        <f t="shared" si="7"/>
        <v>297.17261714760792</v>
      </c>
      <c r="BH47" s="62">
        <f t="shared" si="8"/>
        <v>590.50595048094124</v>
      </c>
      <c r="BI47" s="62">
        <f ca="1">AVERAGE(OFFSET($BH$3,0,0,'Données projet'!$E$11+1,1))-AVERAGE(OFFSET($H$3,0,0,'Données projet'!$E$11+1,1))</f>
        <v>294.26495752303765</v>
      </c>
      <c r="BJ47" s="62">
        <f t="shared" si="38"/>
        <v>212.24900914818096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5.6420328462805687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4.2913893309370694</v>
      </c>
      <c r="BS47" s="24">
        <f t="shared" si="9"/>
        <v>9.9334221772176381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7.5</v>
      </c>
      <c r="N48" s="14">
        <f>IF('Données projet'!$A$36&gt;35,N47+M48-V47,IF(A48&lt;'Données projet'!$A$36,$K$205^A48,IF(A48='Données projet'!$A$36,'Données projet'!$B$36,N47+M48-V47)))</f>
        <v>224.49999999999989</v>
      </c>
      <c r="O48" s="14">
        <f>N48*VLOOKUP('Données projet'!$B$9,Paramètres!$A$1:$I$89,3,0)*VLOOKUP('Données projet'!$B$9,Paramètres!$A$1:$I$89,5,0)</f>
        <v>105.06599999999995</v>
      </c>
      <c r="P48" s="14">
        <f t="shared" si="33"/>
        <v>28.165409079424791</v>
      </c>
      <c r="Q48" s="22">
        <f t="shared" si="53"/>
        <v>232.04470414666477</v>
      </c>
      <c r="R48" s="62">
        <f t="shared" si="0"/>
        <v>525.37803747999806</v>
      </c>
      <c r="S48" s="62">
        <f ca="1">AVERAGE(OFFSET($R$3,0,0,'Données projet'!$E$9+1,1))-AVERAGE(OFFSET($H$3,0,0,'Données projet'!$E$9+1,1))</f>
        <v>260.49759897936531</v>
      </c>
      <c r="T48" s="62">
        <f t="shared" si="34"/>
        <v>223.74038909289635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245</v>
      </c>
      <c r="AG48" s="13">
        <f>VLOOKUP(A48,'Données projet'!$A$61:$I$81,9,0)</f>
        <v>11</v>
      </c>
      <c r="AH48" s="13">
        <f t="array" ref="AH48">INDEX(AG:AG,MIN(IF(ISNUMBER(AG48:AG244),ROW(AG48:AG244),"")))</f>
        <v>11</v>
      </c>
      <c r="AI48" s="14">
        <f>IF('Données projet'!$A$62&gt;35,AI47+AH48-AQ47,IF(A48&lt;'Données projet'!$A$62,$AF$205^A48,IF(A48='Données projet'!$A$62,'Données projet'!$B$62,AI47+AH48-AQ47)))</f>
        <v>245.00000000000011</v>
      </c>
      <c r="AJ48" s="14">
        <f>AI48*VLOOKUP('Données projet'!$B$10,Paramètres!$A$1:$I$89,3,0)*VLOOKUP('Données projet'!$B$10,Paramètres!$A$1:$I$89,5,0)</f>
        <v>214.03200000000012</v>
      </c>
      <c r="AK48" s="14">
        <f t="shared" si="35"/>
        <v>52.815701536972284</v>
      </c>
      <c r="AL48" s="22">
        <f t="shared" si="4"/>
        <v>464.75974684356021</v>
      </c>
      <c r="AM48" s="62">
        <f t="shared" si="5"/>
        <v>758.09308017689352</v>
      </c>
      <c r="AN48" s="62">
        <f ca="1">AVERAGE(OFFSET($AM$3,0,0,'Données projet'!$E$10+1,1))-AVERAGE(OFFSET($H$3,0,0,'Données projet'!$E$10+1,1))</f>
        <v>304.32767345253382</v>
      </c>
      <c r="AO48" s="62">
        <f t="shared" si="36"/>
        <v>427.16091343339173</v>
      </c>
      <c r="AP48" s="16">
        <f>IF(ISNA(VLOOKUP(A48,'Données projet'!$A$61:$I$81,3,0)),0,VLOOKUP(A48,'Données projet'!$A$61:$I$81,3,0))</f>
        <v>7</v>
      </c>
      <c r="AQ48" s="16">
        <f>IF(ISNA(VLOOKUP(A48,'Données projet'!$A$61:$I$81,4,0)),0,VLOOKUP(A48,'Données projet'!$A$61:$I$81,4,0))</f>
        <v>41</v>
      </c>
      <c r="AR48" s="17">
        <f>IF(ISNA(VLOOKUP(A48,'Données projet'!$A$61:$I$81,5,0)),0%,VLOOKUP(A48,'Données projet'!$A$61:$I$81,5,0)*VLOOKUP('Données projet'!$B$10,Paramètres!$A$1:$I$89,7,0))</f>
        <v>0.215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18.621565617006787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18.621565617006787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13.1</v>
      </c>
      <c r="BD48" s="13">
        <f>IF('Données projet'!$A$88&gt;35,BD47+BC48-BL47,IF(A48&lt;'Données projet'!$A$88,$BA$205^A48,IF(A48='Données projet'!$A$88,'Données projet'!$B$88,BD47+BC48-BL47)))</f>
        <v>239.5</v>
      </c>
      <c r="BE48" s="14">
        <f>BD48*VLOOKUP('Données projet'!$B$11,Paramètres!$A$1:$I$89,3,0)*VLOOKUP('Données projet'!$B$11,Paramètres!$A$1:$I$89,5,0)</f>
        <v>143.221</v>
      </c>
      <c r="BF48" s="14">
        <f t="shared" si="37"/>
        <v>37.033911681276003</v>
      </c>
      <c r="BG48" s="22">
        <f t="shared" si="7"/>
        <v>313.94397117822234</v>
      </c>
      <c r="BH48" s="62">
        <f t="shared" si="8"/>
        <v>607.27730451155571</v>
      </c>
      <c r="BI48" s="62">
        <f ca="1">AVERAGE(OFFSET($BH$3,0,0,'Données projet'!$E$11+1,1))-AVERAGE(OFFSET($H$3,0,0,'Données projet'!$E$11+1,1))</f>
        <v>294.26495752303765</v>
      </c>
      <c r="BJ48" s="62">
        <f t="shared" si="38"/>
        <v>212.24900914818096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5.5313960234652431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3.0344704966172031</v>
      </c>
      <c r="BS48" s="24">
        <f t="shared" si="9"/>
        <v>8.5658665200824462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7.5</v>
      </c>
      <c r="N49" s="14">
        <f>IF('Données projet'!$A$36&gt;35,N48+M49-V48,IF(A49&lt;'Données projet'!$A$36,$K$205^A49,IF(A49='Données projet'!$A$36,'Données projet'!$B$36,N48+M49-V48)))</f>
        <v>231.99999999999989</v>
      </c>
      <c r="O49" s="14">
        <f>N49*VLOOKUP('Données projet'!$B$9,Paramètres!$A$1:$I$89,3,0)*VLOOKUP('Données projet'!$B$9,Paramètres!$A$1:$I$89,5,0)</f>
        <v>108.57599999999994</v>
      </c>
      <c r="P49" s="14">
        <f t="shared" si="33"/>
        <v>28.995225061228002</v>
      </c>
      <c r="Q49" s="22">
        <f t="shared" si="53"/>
        <v>239.60321698163867</v>
      </c>
      <c r="R49" s="62">
        <f t="shared" si="0"/>
        <v>532.93655031497201</v>
      </c>
      <c r="S49" s="62">
        <f ca="1">AVERAGE(OFFSET($R$3,0,0,'Données projet'!$E$9+1,1))-AVERAGE(OFFSET($H$3,0,0,'Données projet'!$E$9+1,1))</f>
        <v>260.49759897936531</v>
      </c>
      <c r="T49" s="62">
        <f t="shared" si="34"/>
        <v>223.74038909289635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9.6</v>
      </c>
      <c r="AI49" s="14">
        <f>IF('Données projet'!$A$62&gt;35,AI48+AH49-AQ48,IF(A49&lt;'Données projet'!$A$62,$AF$205^A49,IF(A49='Données projet'!$A$62,'Données projet'!$B$62,AI48+AH49-AQ48)))</f>
        <v>213.60000000000011</v>
      </c>
      <c r="AJ49" s="14">
        <f>AI49*VLOOKUP('Données projet'!$B$10,Paramètres!$A$1:$I$89,3,0)*VLOOKUP('Données projet'!$B$10,Paramètres!$A$1:$I$89,5,0)</f>
        <v>186.60096000000013</v>
      </c>
      <c r="AK49" s="14">
        <f t="shared" si="35"/>
        <v>46.787685683664144</v>
      </c>
      <c r="AL49" s="22">
        <f t="shared" si="4"/>
        <v>406.48522456571527</v>
      </c>
      <c r="AM49" s="62">
        <f t="shared" si="5"/>
        <v>699.81855789904853</v>
      </c>
      <c r="AN49" s="62">
        <f ca="1">AVERAGE(OFFSET($AM$3,0,0,'Données projet'!$E$10+1,1))-AVERAGE(OFFSET($H$3,0,0,'Données projet'!$E$10+1,1))</f>
        <v>304.32767345253382</v>
      </c>
      <c r="AO49" s="62">
        <f t="shared" si="36"/>
        <v>427.16091343339173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18.2564080732908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18.2564080732908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13.1</v>
      </c>
      <c r="BD49" s="13">
        <f>IF('Données projet'!$A$88&gt;35,BD48+BC49-BL48,IF(A49&lt;'Données projet'!$A$88,$BA$205^A49,IF(A49='Données projet'!$A$88,'Données projet'!$B$88,BD48+BC49-BL48)))</f>
        <v>252.6</v>
      </c>
      <c r="BE49" s="14">
        <f>BD49*VLOOKUP('Données projet'!$B$11,Paramètres!$A$1:$I$89,3,0)*VLOOKUP('Données projet'!$B$11,Paramètres!$A$1:$I$89,5,0)</f>
        <v>151.0548</v>
      </c>
      <c r="BF49" s="14">
        <f t="shared" si="37"/>
        <v>38.818194858532301</v>
      </c>
      <c r="BG49" s="22">
        <f t="shared" si="7"/>
        <v>330.6954660452771</v>
      </c>
      <c r="BH49" s="62">
        <f t="shared" si="8"/>
        <v>624.02879937861042</v>
      </c>
      <c r="BI49" s="62">
        <f ca="1">AVERAGE(OFFSET($BH$3,0,0,'Données projet'!$E$11+1,1))-AVERAGE(OFFSET($H$3,0,0,'Données projet'!$E$11+1,1))</f>
        <v>294.26495752303765</v>
      </c>
      <c r="BJ49" s="62">
        <f t="shared" si="38"/>
        <v>212.24900914818096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5.4229287212635269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2.1456946654685352</v>
      </c>
      <c r="BS49" s="24">
        <f t="shared" si="9"/>
        <v>7.568623386732062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7.5</v>
      </c>
      <c r="N50" s="14">
        <f>IF('Données projet'!$A$36&gt;35,N49+M50-V49,IF(A50&lt;'Données projet'!$A$36,$K$205^A50,IF(A50='Données projet'!$A$36,'Données projet'!$B$36,N49+M50-V49)))</f>
        <v>239.49999999999989</v>
      </c>
      <c r="O50" s="14">
        <f>N50*VLOOKUP('Données projet'!$B$9,Paramètres!$A$1:$I$89,3,0)*VLOOKUP('Données projet'!$B$9,Paramètres!$A$1:$I$89,5,0)</f>
        <v>112.08599999999994</v>
      </c>
      <c r="P50" s="14">
        <f t="shared" si="33"/>
        <v>29.821923796686832</v>
      </c>
      <c r="Q50" s="22">
        <f t="shared" si="53"/>
        <v>247.15630061256277</v>
      </c>
      <c r="R50" s="62">
        <f t="shared" si="0"/>
        <v>540.48963394589612</v>
      </c>
      <c r="S50" s="62">
        <f ca="1">AVERAGE(OFFSET($R$3,0,0,'Données projet'!$E$9+1,1))-AVERAGE(OFFSET($H$3,0,0,'Données projet'!$E$9+1,1))</f>
        <v>260.49759897936531</v>
      </c>
      <c r="T50" s="62">
        <f t="shared" si="34"/>
        <v>223.74038909289635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9.6</v>
      </c>
      <c r="AI50" s="14">
        <f>IF('Données projet'!$A$62&gt;35,AI49+AH50-AQ49,IF(A50&lt;'Données projet'!$A$62,$AF$205^A50,IF(A50='Données projet'!$A$62,'Données projet'!$B$62,AI49+AH50-AQ49)))</f>
        <v>223.2000000000001</v>
      </c>
      <c r="AJ50" s="14">
        <f>AI50*VLOOKUP('Données projet'!$B$10,Paramètres!$A$1:$I$89,3,0)*VLOOKUP('Données projet'!$B$10,Paramètres!$A$1:$I$89,5,0)</f>
        <v>194.98752000000013</v>
      </c>
      <c r="AK50" s="14">
        <f t="shared" si="35"/>
        <v>48.640954330020385</v>
      </c>
      <c r="AL50" s="22">
        <f t="shared" si="4"/>
        <v>424.31959279145235</v>
      </c>
      <c r="AM50" s="62">
        <f t="shared" si="5"/>
        <v>717.65292612478561</v>
      </c>
      <c r="AN50" s="62">
        <f ca="1">AVERAGE(OFFSET($AM$3,0,0,'Données projet'!$E$10+1,1))-AVERAGE(OFFSET($H$3,0,0,'Données projet'!$E$10+1,1))</f>
        <v>304.32767345253382</v>
      </c>
      <c r="AO50" s="62">
        <f t="shared" si="36"/>
        <v>427.16091343339173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17.89841104628297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17.89841104628297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13.1</v>
      </c>
      <c r="BD50" s="13">
        <f>IF('Données projet'!$A$88&gt;35,BD49+BC50-BL49,IF(A50&lt;'Données projet'!$A$88,$BA$205^A50,IF(A50='Données projet'!$A$88,'Données projet'!$B$88,BD49+BC50-BL49)))</f>
        <v>265.7</v>
      </c>
      <c r="BE50" s="14">
        <f>BD50*VLOOKUP('Données projet'!$B$11,Paramètres!$A$1:$I$89,3,0)*VLOOKUP('Données projet'!$B$11,Paramètres!$A$1:$I$89,5,0)</f>
        <v>158.8886</v>
      </c>
      <c r="BF50" s="14">
        <f t="shared" si="37"/>
        <v>40.591734428888685</v>
      </c>
      <c r="BG50" s="22">
        <f t="shared" si="7"/>
        <v>347.42824913031444</v>
      </c>
      <c r="BH50" s="62">
        <f t="shared" si="8"/>
        <v>640.76158246364776</v>
      </c>
      <c r="BI50" s="62">
        <f ca="1">AVERAGE(OFFSET($BH$3,0,0,'Données projet'!$E$11+1,1))-AVERAGE(OFFSET($H$3,0,0,'Données projet'!$E$11+1,1))</f>
        <v>294.26495752303765</v>
      </c>
      <c r="BJ50" s="62">
        <f t="shared" si="38"/>
        <v>212.24900914818096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5.3165883966994647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1.5172352483086018</v>
      </c>
      <c r="BS50" s="24">
        <f t="shared" si="9"/>
        <v>6.8338236450080663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7.5</v>
      </c>
      <c r="N51" s="14">
        <f>IF('Données projet'!$A$36&gt;35,N50+M51-V50,IF(A51&lt;'Données projet'!$A$36,$K$205^A51,IF(A51='Données projet'!$A$36,'Données projet'!$B$36,N50+M51-V50)))</f>
        <v>246.99999999999989</v>
      </c>
      <c r="O51" s="14">
        <f>N51*VLOOKUP('Données projet'!$B$9,Paramètres!$A$1:$I$89,3,0)*VLOOKUP('Données projet'!$B$9,Paramètres!$A$1:$I$89,5,0)</f>
        <v>115.59599999999995</v>
      </c>
      <c r="P51" s="14">
        <f t="shared" si="33"/>
        <v>30.645614103483879</v>
      </c>
      <c r="Q51" s="22">
        <f t="shared" si="53"/>
        <v>254.70414456356764</v>
      </c>
      <c r="R51" s="62">
        <f t="shared" si="0"/>
        <v>548.03747789690101</v>
      </c>
      <c r="S51" s="62">
        <f ca="1">AVERAGE(OFFSET($R$3,0,0,'Données projet'!$E$9+1,1))-AVERAGE(OFFSET($H$3,0,0,'Données projet'!$E$9+1,1))</f>
        <v>260.49759897936531</v>
      </c>
      <c r="T51" s="62">
        <f t="shared" si="34"/>
        <v>223.74038909289635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9.6</v>
      </c>
      <c r="AI51" s="14">
        <f>IF('Données projet'!$A$62&gt;35,AI50+AH51-AQ50,IF(A51&lt;'Données projet'!$A$62,$AF$205^A51,IF(A51='Données projet'!$A$62,'Données projet'!$B$62,AI50+AH51-AQ50)))</f>
        <v>232.8000000000001</v>
      </c>
      <c r="AJ51" s="14">
        <f>AI51*VLOOKUP('Données projet'!$B$10,Paramètres!$A$1:$I$89,3,0)*VLOOKUP('Données projet'!$B$10,Paramètres!$A$1:$I$89,5,0)</f>
        <v>203.37408000000013</v>
      </c>
      <c r="AK51" s="14">
        <f t="shared" si="35"/>
        <v>50.484964849140624</v>
      </c>
      <c r="AL51" s="22">
        <f t="shared" si="4"/>
        <v>442.1378364455868</v>
      </c>
      <c r="AM51" s="62">
        <f t="shared" si="5"/>
        <v>735.47116977892006</v>
      </c>
      <c r="AN51" s="62">
        <f ca="1">AVERAGE(OFFSET($AM$3,0,0,'Données projet'!$E$10+1,1))-AVERAGE(OFFSET($H$3,0,0,'Données projet'!$E$10+1,1))</f>
        <v>304.32767345253382</v>
      </c>
      <c r="AO51" s="62">
        <f t="shared" si="36"/>
        <v>427.16091343339173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17.547434122618139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17.547434122618139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13.1</v>
      </c>
      <c r="BD51" s="13">
        <f>IF('Données projet'!$A$88&gt;35,BD50+BC51-BL50,IF(A51&lt;'Données projet'!$A$88,$BA$205^A51,IF(A51='Données projet'!$A$88,'Données projet'!$B$88,BD50+BC51-BL50)))</f>
        <v>278.8</v>
      </c>
      <c r="BE51" s="14">
        <f>BD51*VLOOKUP('Données projet'!$B$11,Paramètres!$A$1:$I$89,3,0)*VLOOKUP('Données projet'!$B$11,Paramètres!$A$1:$I$89,5,0)</f>
        <v>166.72240000000002</v>
      </c>
      <c r="BF51" s="14">
        <f t="shared" si="37"/>
        <v>42.35512054515479</v>
      </c>
      <c r="BG51" s="22">
        <f t="shared" si="7"/>
        <v>364.14334828281125</v>
      </c>
      <c r="BH51" s="62">
        <f t="shared" si="8"/>
        <v>657.47668161614456</v>
      </c>
      <c r="BI51" s="62">
        <f ca="1">AVERAGE(OFFSET($BH$3,0,0,'Données projet'!$E$11+1,1))-AVERAGE(OFFSET($H$3,0,0,'Données projet'!$E$11+1,1))</f>
        <v>294.26495752303765</v>
      </c>
      <c r="BJ51" s="62">
        <f t="shared" si="38"/>
        <v>212.24900914818096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5.2123333410389101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1.0728473327342676</v>
      </c>
      <c r="BS51" s="24">
        <f t="shared" si="9"/>
        <v>6.2851806737731781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7.5</v>
      </c>
      <c r="N52" s="14">
        <f>IF('Données projet'!$A$36&gt;35,N51+M52-V51,IF(A52&lt;'Données projet'!$A$36,$K$205^A52,IF(A52='Données projet'!$A$36,'Données projet'!$B$36,N51+M52-V51)))</f>
        <v>254.49999999999989</v>
      </c>
      <c r="O52" s="14">
        <f>N52*VLOOKUP('Données projet'!$B$9,Paramètres!$A$1:$I$89,3,0)*VLOOKUP('Données projet'!$B$9,Paramètres!$A$1:$I$89,5,0)</f>
        <v>119.10599999999995</v>
      </c>
      <c r="P52" s="14">
        <f t="shared" si="33"/>
        <v>31.466397815424038</v>
      </c>
      <c r="Q52" s="22">
        <f t="shared" si="53"/>
        <v>262.24692619519675</v>
      </c>
      <c r="R52" s="62">
        <f t="shared" si="0"/>
        <v>555.58025952853006</v>
      </c>
      <c r="S52" s="62">
        <f ca="1">AVERAGE(OFFSET($R$3,0,0,'Données projet'!$E$9+1,1))-AVERAGE(OFFSET($H$3,0,0,'Données projet'!$E$9+1,1))</f>
        <v>260.49759897936531</v>
      </c>
      <c r="T52" s="62">
        <f t="shared" si="34"/>
        <v>223.74038909289635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9.6</v>
      </c>
      <c r="AI52" s="14">
        <f>IF('Données projet'!$A$62&gt;35,AI51+AH52-AQ51,IF(A52&lt;'Données projet'!$A$62,$AF$205^A52,IF(A52='Données projet'!$A$62,'Données projet'!$B$62,AI51+AH52-AQ51)))</f>
        <v>242.40000000000009</v>
      </c>
      <c r="AJ52" s="14">
        <f>AI52*VLOOKUP('Données projet'!$B$10,Paramètres!$A$1:$I$89,3,0)*VLOOKUP('Données projet'!$B$10,Paramètres!$A$1:$I$89,5,0)</f>
        <v>211.76064000000011</v>
      </c>
      <c r="AK52" s="14">
        <f t="shared" si="35"/>
        <v>52.320142683061327</v>
      </c>
      <c r="AL52" s="22">
        <f t="shared" si="4"/>
        <v>459.94069650633202</v>
      </c>
      <c r="AM52" s="62">
        <f t="shared" si="5"/>
        <v>753.27402983966533</v>
      </c>
      <c r="AN52" s="62">
        <f ca="1">AVERAGE(OFFSET($AM$3,0,0,'Données projet'!$E$10+1,1))-AVERAGE(OFFSET($H$3,0,0,'Données projet'!$E$10+1,1))</f>
        <v>304.32767345253382</v>
      </c>
      <c r="AO52" s="62">
        <f t="shared" si="36"/>
        <v>427.16091343339173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17.20333964235159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17.20333964235159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13.1</v>
      </c>
      <c r="BD52" s="13">
        <f>IF('Données projet'!$A$88&gt;35,BD51+BC52-BL51,IF(A52&lt;'Données projet'!$A$88,$BA$205^A52,IF(A52='Données projet'!$A$88,'Données projet'!$B$88,BD51+BC52-BL51)))</f>
        <v>291.90000000000003</v>
      </c>
      <c r="BE52" s="14">
        <f>BD52*VLOOKUP('Données projet'!$B$11,Paramètres!$A$1:$I$89,3,0)*VLOOKUP('Données projet'!$B$11,Paramètres!$A$1:$I$89,5,0)</f>
        <v>174.55620000000005</v>
      </c>
      <c r="BF52" s="14">
        <f t="shared" si="37"/>
        <v>44.108884766962227</v>
      </c>
      <c r="BG52" s="22">
        <f t="shared" si="7"/>
        <v>380.84168930245932</v>
      </c>
      <c r="BH52" s="62">
        <f t="shared" si="8"/>
        <v>674.17502263579263</v>
      </c>
      <c r="BI52" s="62">
        <f ca="1">AVERAGE(OFFSET($BH$3,0,0,'Données projet'!$E$11+1,1))-AVERAGE(OFFSET($H$3,0,0,'Données projet'!$E$11+1,1))</f>
        <v>294.26495752303765</v>
      </c>
      <c r="BJ52" s="62">
        <f t="shared" si="38"/>
        <v>212.24900914818096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5.1101226634305545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0.7586176241543009</v>
      </c>
      <c r="BS52" s="24">
        <f t="shared" si="9"/>
        <v>5.8687402875848553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7.5</v>
      </c>
      <c r="N53" s="14">
        <f>IF('Données projet'!$A$36&gt;35,N52+M53-V52,IF(A53&lt;'Données projet'!$A$36,$K$205^A53,IF(A53='Données projet'!$A$36,'Données projet'!$B$36,N52+M53-V52)))</f>
        <v>261.99999999999989</v>
      </c>
      <c r="O53" s="14">
        <f>N53*VLOOKUP('Données projet'!$B$9,Paramètres!$A$1:$I$89,3,0)*VLOOKUP('Données projet'!$B$9,Paramètres!$A$1:$I$89,5,0)</f>
        <v>122.61599999999994</v>
      </c>
      <c r="P53" s="14">
        <f t="shared" si="33"/>
        <v>32.284370423104136</v>
      </c>
      <c r="Q53" s="22">
        <f t="shared" si="53"/>
        <v>269.78481182023961</v>
      </c>
      <c r="R53" s="62">
        <f t="shared" si="0"/>
        <v>563.11814515357287</v>
      </c>
      <c r="S53" s="62">
        <f ca="1">AVERAGE(OFFSET($R$3,0,0,'Données projet'!$E$9+1,1))-AVERAGE(OFFSET($H$3,0,0,'Données projet'!$E$9+1,1))</f>
        <v>260.49759897936531</v>
      </c>
      <c r="T53" s="62">
        <f t="shared" si="34"/>
        <v>223.74038909289635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252</v>
      </c>
      <c r="AG53" s="13">
        <f>VLOOKUP(A53,'Données projet'!$A$61:$I$81,9,0)</f>
        <v>9.6</v>
      </c>
      <c r="AH53" s="13">
        <f t="array" ref="AH53">INDEX(AG:AG,MIN(IF(ISNUMBER(AG53:AG249),ROW(AG53:AG249),"")))</f>
        <v>9.6</v>
      </c>
      <c r="AI53" s="14">
        <f>IF('Données projet'!$A$62&gt;35,AI52+AH53-AQ52,IF(A53&lt;'Données projet'!$A$62,$AF$205^A53,IF(A53='Données projet'!$A$62,'Données projet'!$B$62,AI52+AH53-AQ52)))</f>
        <v>252.00000000000009</v>
      </c>
      <c r="AJ53" s="14">
        <f>AI53*VLOOKUP('Données projet'!$B$10,Paramètres!$A$1:$I$89,3,0)*VLOOKUP('Données projet'!$B$10,Paramètres!$A$1:$I$89,5,0)</f>
        <v>220.14720000000011</v>
      </c>
      <c r="AK53" s="14">
        <f t="shared" si="35"/>
        <v>54.146877667769687</v>
      </c>
      <c r="AL53" s="22">
        <f t="shared" si="4"/>
        <v>477.72885193803239</v>
      </c>
      <c r="AM53" s="62">
        <f t="shared" si="5"/>
        <v>771.06218527136571</v>
      </c>
      <c r="AN53" s="62">
        <f ca="1">AVERAGE(OFFSET($AM$3,0,0,'Données projet'!$E$10+1,1))-AVERAGE(OFFSET($H$3,0,0,'Données projet'!$E$10+1,1))</f>
        <v>304.32767345253382</v>
      </c>
      <c r="AO53" s="62">
        <f t="shared" si="36"/>
        <v>427.16091343339173</v>
      </c>
      <c r="AP53" s="16">
        <f>IF(ISNA(VLOOKUP(A53,'Données projet'!$A$61:$I$81,3,0)),0,VLOOKUP(A53,'Données projet'!$A$61:$I$81,3,0))</f>
        <v>8</v>
      </c>
      <c r="AQ53" s="16">
        <f>IF(ISNA(VLOOKUP(A53,'Données projet'!$A$61:$I$81,4,0)),0,VLOOKUP(A53,'Données projet'!$A$61:$I$81,4,0))</f>
        <v>37</v>
      </c>
      <c r="AR53" s="17">
        <f>IF(ISNA(VLOOKUP(A53,'Données projet'!$A$61:$I$81,5,0)),0%,VLOOKUP(A53,'Données projet'!$A$61:$I$81,5,0)*VLOOKUP('Données projet'!$B$10,Paramètres!$A$1:$I$89,7,0))</f>
        <v>0.25800000000000001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26.08493640926978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26.08493640926978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305</v>
      </c>
      <c r="BB53" s="13">
        <f>VLOOKUP(A53,'Données projet'!$A$87:$I$107,9,0)</f>
        <v>13.1</v>
      </c>
      <c r="BC53" s="13">
        <f t="array" ref="BC53">INDEX(BB:BB,MIN(IF(ISNUMBER(BB53:BB249),ROW(BB53:BB249),"")))</f>
        <v>13.1</v>
      </c>
      <c r="BD53" s="13">
        <f>IF('Données projet'!$A$88&gt;35,BD52+BC53-BL52,IF(A53&lt;'Données projet'!$A$88,$BA$205^A53,IF(A53='Données projet'!$A$88,'Données projet'!$B$88,BD52+BC53-BL52)))</f>
        <v>305.00000000000006</v>
      </c>
      <c r="BE53" s="14">
        <f>BD53*VLOOKUP('Données projet'!$B$11,Paramètres!$A$1:$I$89,3,0)*VLOOKUP('Données projet'!$B$11,Paramètres!$A$1:$I$89,5,0)</f>
        <v>182.39000000000007</v>
      </c>
      <c r="BF53" s="14">
        <f t="shared" si="37"/>
        <v>45.853508245632504</v>
      </c>
      <c r="BG53" s="22">
        <f t="shared" si="7"/>
        <v>397.52411019447669</v>
      </c>
      <c r="BH53" s="62">
        <f t="shared" si="8"/>
        <v>690.85744352781001</v>
      </c>
      <c r="BI53" s="62">
        <f ca="1">AVERAGE(OFFSET($BH$3,0,0,'Données projet'!$E$11+1,1))-AVERAGE(OFFSET($H$3,0,0,'Données projet'!$E$11+1,1))</f>
        <v>294.26495752303765</v>
      </c>
      <c r="BJ53" s="62">
        <f t="shared" si="38"/>
        <v>212.24900914818096</v>
      </c>
      <c r="BK53" s="16">
        <f>IF(ISNA(VLOOKUP(A53,'Données projet'!$A$87:$I$107,3,0)),0,VLOOKUP(A53,'Données projet'!$A$87:$I$107,3,0))</f>
        <v>5</v>
      </c>
      <c r="BL53" s="16">
        <f>IF(ISNA(VLOOKUP(A53,'Données projet'!$A$87:$I$107,4,0)),0,VLOOKUP(A53,'Données projet'!$A$87:$I$107,4,0))</f>
        <v>79</v>
      </c>
      <c r="BM53" s="17">
        <f>IF(ISNA(VLOOKUP(A53,'Données projet'!$A$87:$I$107,5,0)),0%,VLOOKUP(A53,'Données projet'!$A$87:$I$107,5,0)*VLOOKUP('Données projet'!$B$11,Paramètres!$A$1:$I$89,7,0))</f>
        <v>0.22500000000000001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0.5</v>
      </c>
      <c r="BP53" s="23">
        <f>EXP(-LN(2)/35)*BP52+(1-EXP(-LN(2)/35))/(LN(2)/35)*BL53*BM53*VLOOKUP('Données projet'!$B$11,Paramètres!$A$1:$I$89,3,0)*0.475*44/12</f>
        <v>19.110566825739561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27.280882766239781</v>
      </c>
      <c r="BS53" s="24">
        <f t="shared" si="9"/>
        <v>46.391449591979338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7.5</v>
      </c>
      <c r="N54" s="14">
        <f>IF('Données projet'!$A$36&gt;35,N53+M54-V53,IF(A54&lt;'Données projet'!$A$36,$K$205^A54,IF(A54='Données projet'!$A$36,'Données projet'!$B$36,N53+M54-V53)))</f>
        <v>269.49999999999989</v>
      </c>
      <c r="O54" s="14">
        <f>N54*VLOOKUP('Données projet'!$B$9,Paramètres!$A$1:$I$89,3,0)*VLOOKUP('Données projet'!$B$9,Paramètres!$A$1:$I$89,5,0)</f>
        <v>126.12599999999995</v>
      </c>
      <c r="P54" s="14">
        <f t="shared" si="33"/>
        <v>33.099621639161363</v>
      </c>
      <c r="Q54" s="22">
        <f t="shared" si="53"/>
        <v>277.31795768820592</v>
      </c>
      <c r="R54" s="62">
        <f t="shared" si="0"/>
        <v>570.65129102153924</v>
      </c>
      <c r="S54" s="62">
        <f ca="1">AVERAGE(OFFSET($R$3,0,0,'Données projet'!$E$9+1,1))-AVERAGE(OFFSET($H$3,0,0,'Données projet'!$E$9+1,1))</f>
        <v>260.49759897936531</v>
      </c>
      <c r="T54" s="62">
        <f t="shared" si="34"/>
        <v>223.74038909289635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8.6</v>
      </c>
      <c r="AI54" s="14">
        <f>IF('Données projet'!$A$62&gt;35,AI53+AH54-AQ53,IF(A54&lt;'Données projet'!$A$62,$AF$205^A54,IF(A54='Données projet'!$A$62,'Données projet'!$B$62,AI53+AH54-AQ53)))</f>
        <v>223.60000000000008</v>
      </c>
      <c r="AJ54" s="14">
        <f>AI54*VLOOKUP('Données projet'!$B$10,Paramètres!$A$1:$I$89,3,0)*VLOOKUP('Données projet'!$B$10,Paramètres!$A$1:$I$89,5,0)</f>
        <v>195.33696000000009</v>
      </c>
      <c r="AK54" s="14">
        <f t="shared" si="35"/>
        <v>48.717969863105488</v>
      </c>
      <c r="AL54" s="22">
        <f t="shared" si="4"/>
        <v>425.06233617824211</v>
      </c>
      <c r="AM54" s="62">
        <f t="shared" si="5"/>
        <v>718.39566951157542</v>
      </c>
      <c r="AN54" s="62">
        <f ca="1">AVERAGE(OFFSET($AM$3,0,0,'Données projet'!$E$10+1,1))-AVERAGE(OFFSET($H$3,0,0,'Données projet'!$E$10+1,1))</f>
        <v>304.32767345253382</v>
      </c>
      <c r="AO54" s="62">
        <f t="shared" si="36"/>
        <v>427.16091343339173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25.573426716524203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25.573426716524203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16.7</v>
      </c>
      <c r="BD54" s="13">
        <f>IF('Données projet'!$A$88&gt;35,BD53+BC54-BL53,IF(A54&lt;'Données projet'!$A$88,$BA$205^A54,IF(A54='Données projet'!$A$88,'Données projet'!$B$88,BD53+BC54-BL53)))</f>
        <v>242.70000000000005</v>
      </c>
      <c r="BE54" s="14">
        <f>BD54*VLOOKUP('Données projet'!$B$11,Paramètres!$A$1:$I$89,3,0)*VLOOKUP('Données projet'!$B$11,Paramètres!$A$1:$I$89,5,0)</f>
        <v>145.13460000000003</v>
      </c>
      <c r="BF54" s="14">
        <f t="shared" si="37"/>
        <v>37.470793101675262</v>
      </c>
      <c r="BG54" s="22">
        <f t="shared" si="7"/>
        <v>318.03772631875114</v>
      </c>
      <c r="BH54" s="62">
        <f t="shared" si="8"/>
        <v>611.37105965208445</v>
      </c>
      <c r="BI54" s="62">
        <f ca="1">AVERAGE(OFFSET($BH$3,0,0,'Données projet'!$E$11+1,1))-AVERAGE(OFFSET($H$3,0,0,'Données projet'!$E$11+1,1))</f>
        <v>294.26495752303765</v>
      </c>
      <c r="BJ54" s="62">
        <f t="shared" si="38"/>
        <v>212.24900914818096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18.735820266581609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19.290497200763369</v>
      </c>
      <c r="BS54" s="24">
        <f t="shared" si="9"/>
        <v>38.026317467344981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7.5</v>
      </c>
      <c r="N55" s="14">
        <f>IF('Données projet'!$A$36&gt;35,N54+M55-V54,IF(A55&lt;'Données projet'!$A$36,$K$205^A55,IF(A55='Données projet'!$A$36,'Données projet'!$B$36,N54+M55-V54)))</f>
        <v>276.99999999999989</v>
      </c>
      <c r="O55" s="14">
        <f>N55*VLOOKUP('Données projet'!$B$9,Paramètres!$A$1:$I$89,3,0)*VLOOKUP('Données projet'!$B$9,Paramètres!$A$1:$I$89,5,0)</f>
        <v>129.63599999999994</v>
      </c>
      <c r="P55" s="14">
        <f t="shared" si="33"/>
        <v>33.912235898830978</v>
      </c>
      <c r="Q55" s="22">
        <f t="shared" si="53"/>
        <v>284.84651085713051</v>
      </c>
      <c r="R55" s="62">
        <f t="shared" si="0"/>
        <v>578.17984419046388</v>
      </c>
      <c r="S55" s="62">
        <f ca="1">AVERAGE(OFFSET($R$3,0,0,'Données projet'!$E$9+1,1))-AVERAGE(OFFSET($H$3,0,0,'Données projet'!$E$9+1,1))</f>
        <v>260.49759897936531</v>
      </c>
      <c r="T55" s="62">
        <f t="shared" si="34"/>
        <v>223.74038909289635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8.6</v>
      </c>
      <c r="AI55" s="14">
        <f>IF('Données projet'!$A$62&gt;35,AI54+AH55-AQ54,IF(A55&lt;'Données projet'!$A$62,$AF$205^A55,IF(A55='Données projet'!$A$62,'Données projet'!$B$62,AI54+AH55-AQ54)))</f>
        <v>232.20000000000007</v>
      </c>
      <c r="AJ55" s="14">
        <f>AI55*VLOOKUP('Données projet'!$B$10,Paramètres!$A$1:$I$89,3,0)*VLOOKUP('Données projet'!$B$10,Paramètres!$A$1:$I$89,5,0)</f>
        <v>202.84992000000011</v>
      </c>
      <c r="AK55" s="14">
        <f t="shared" si="35"/>
        <v>50.369977187686075</v>
      </c>
      <c r="AL55" s="22">
        <f t="shared" si="4"/>
        <v>441.02465426855338</v>
      </c>
      <c r="AM55" s="62">
        <f t="shared" si="5"/>
        <v>734.35798760188663</v>
      </c>
      <c r="AN55" s="62">
        <f ca="1">AVERAGE(OFFSET($AM$3,0,0,'Données projet'!$E$10+1,1))-AVERAGE(OFFSET($H$3,0,0,'Données projet'!$E$10+1,1))</f>
        <v>304.32767345253382</v>
      </c>
      <c r="AO55" s="62">
        <f t="shared" si="36"/>
        <v>427.16091343339173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25.07194741686326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25.07194741686326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16.7</v>
      </c>
      <c r="BD55" s="13">
        <f>IF('Données projet'!$A$88&gt;35,BD54+BC55-BL54,IF(A55&lt;'Données projet'!$A$88,$BA$205^A55,IF(A55='Données projet'!$A$88,'Données projet'!$B$88,BD54+BC55-BL54)))</f>
        <v>259.40000000000003</v>
      </c>
      <c r="BE55" s="14">
        <f>BD55*VLOOKUP('Données projet'!$B$11,Paramètres!$A$1:$I$89,3,0)*VLOOKUP('Données projet'!$B$11,Paramètres!$A$1:$I$89,5,0)</f>
        <v>155.12120000000004</v>
      </c>
      <c r="BF55" s="14">
        <f t="shared" si="37"/>
        <v>39.740113036367603</v>
      </c>
      <c r="BG55" s="22">
        <f t="shared" si="7"/>
        <v>339.38345353834029</v>
      </c>
      <c r="BH55" s="62">
        <f t="shared" si="8"/>
        <v>632.71678687167355</v>
      </c>
      <c r="BI55" s="62">
        <f ca="1">AVERAGE(OFFSET($BH$3,0,0,'Données projet'!$E$11+1,1))-AVERAGE(OFFSET($H$3,0,0,'Données projet'!$E$11+1,1))</f>
        <v>294.26495752303765</v>
      </c>
      <c r="BJ55" s="62">
        <f t="shared" si="38"/>
        <v>212.24900914818096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18.368422258875913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13.640441383119892</v>
      </c>
      <c r="BS55" s="24">
        <f t="shared" si="9"/>
        <v>32.008863641995802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7.5</v>
      </c>
      <c r="N56" s="14">
        <f>IF('Données projet'!$A$36&gt;35,N55+M56-V55,IF(A56&lt;'Données projet'!$A$36,$K$205^A56,IF(A56='Données projet'!$A$36,'Données projet'!$B$36,N55+M56-V55)))</f>
        <v>284.49999999999989</v>
      </c>
      <c r="O56" s="14">
        <f>N56*VLOOKUP('Données projet'!$B$9,Paramètres!$A$1:$I$89,3,0)*VLOOKUP('Données projet'!$B$9,Paramètres!$A$1:$I$89,5,0)</f>
        <v>133.14599999999996</v>
      </c>
      <c r="P56" s="14">
        <f t="shared" si="33"/>
        <v>34.722292804767491</v>
      </c>
      <c r="Q56" s="22">
        <f t="shared" si="53"/>
        <v>292.37060996830331</v>
      </c>
      <c r="R56" s="62">
        <f t="shared" si="0"/>
        <v>585.70394330163663</v>
      </c>
      <c r="S56" s="62">
        <f ca="1">AVERAGE(OFFSET($R$3,0,0,'Données projet'!$E$9+1,1))-AVERAGE(OFFSET($H$3,0,0,'Données projet'!$E$9+1,1))</f>
        <v>260.49759897936531</v>
      </c>
      <c r="T56" s="62">
        <f t="shared" si="34"/>
        <v>223.74038909289635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8.6</v>
      </c>
      <c r="AI56" s="14">
        <f>IF('Données projet'!$A$62&gt;35,AI55+AH56-AQ55,IF(A56&lt;'Données projet'!$A$62,$AF$205^A56,IF(A56='Données projet'!$A$62,'Données projet'!$B$62,AI55+AH56-AQ55)))</f>
        <v>240.80000000000007</v>
      </c>
      <c r="AJ56" s="14">
        <f>AI56*VLOOKUP('Données projet'!$B$10,Paramètres!$A$1:$I$89,3,0)*VLOOKUP('Données projet'!$B$10,Paramètres!$A$1:$I$89,5,0)</f>
        <v>210.36288000000008</v>
      </c>
      <c r="AK56" s="14">
        <f t="shared" si="35"/>
        <v>52.014876138342963</v>
      </c>
      <c r="AL56" s="22">
        <f t="shared" si="4"/>
        <v>456.97459194094745</v>
      </c>
      <c r="AM56" s="62">
        <f t="shared" si="5"/>
        <v>750.30792527428071</v>
      </c>
      <c r="AN56" s="62">
        <f ca="1">AVERAGE(OFFSET($AM$3,0,0,'Données projet'!$E$10+1,1))-AVERAGE(OFFSET($H$3,0,0,'Données projet'!$E$10+1,1))</f>
        <v>304.32767345253382</v>
      </c>
      <c r="AO56" s="62">
        <f t="shared" si="36"/>
        <v>427.16091343339173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24.5803018203965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24.5803018203965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16.7</v>
      </c>
      <c r="BD56" s="13">
        <f>IF('Données projet'!$A$88&gt;35,BD55+BC56-BL55,IF(A56&lt;'Données projet'!$A$88,$BA$205^A56,IF(A56='Données projet'!$A$88,'Données projet'!$B$88,BD55+BC56-BL55)))</f>
        <v>276.10000000000002</v>
      </c>
      <c r="BE56" s="14">
        <f>BD56*VLOOKUP('Données projet'!$B$11,Paramètres!$A$1:$I$89,3,0)*VLOOKUP('Données projet'!$B$11,Paramètres!$A$1:$I$89,5,0)</f>
        <v>165.10780000000003</v>
      </c>
      <c r="BF56" s="14">
        <f t="shared" si="37"/>
        <v>41.99247844378921</v>
      </c>
      <c r="BG56" s="22">
        <f t="shared" si="7"/>
        <v>360.69965162293289</v>
      </c>
      <c r="BH56" s="62">
        <f t="shared" si="8"/>
        <v>654.0329849562662</v>
      </c>
      <c r="BI56" s="62">
        <f ca="1">AVERAGE(OFFSET($BH$3,0,0,'Données projet'!$E$11+1,1))-AVERAGE(OFFSET($H$3,0,0,'Données projet'!$E$11+1,1))</f>
        <v>294.26495752303765</v>
      </c>
      <c r="BJ56" s="62">
        <f t="shared" si="38"/>
        <v>212.24900914818096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18.008228702010669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9.6452486003816862</v>
      </c>
      <c r="BS56" s="24">
        <f t="shared" si="9"/>
        <v>27.653477302392353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7.5</v>
      </c>
      <c r="N57" s="14">
        <f>IF('Données projet'!$A$36&gt;35,N56+M57-V56,IF(A57&lt;'Données projet'!$A$36,$K$205^A57,IF(A57='Données projet'!$A$36,'Données projet'!$B$36,N56+M57-V56)))</f>
        <v>291.99999999999989</v>
      </c>
      <c r="O57" s="14">
        <f>N57*VLOOKUP('Données projet'!$B$9,Paramètres!$A$1:$I$89,3,0)*VLOOKUP('Données projet'!$B$9,Paramètres!$A$1:$I$89,5,0)</f>
        <v>136.65599999999995</v>
      </c>
      <c r="P57" s="14">
        <f t="shared" si="33"/>
        <v>35.52986752364091</v>
      </c>
      <c r="Q57" s="22">
        <f t="shared" si="53"/>
        <v>299.89038593700781</v>
      </c>
      <c r="R57" s="62">
        <f t="shared" si="0"/>
        <v>593.22371927034112</v>
      </c>
      <c r="S57" s="62">
        <f ca="1">AVERAGE(OFFSET($R$3,0,0,'Données projet'!$E$9+1,1))-AVERAGE(OFFSET($H$3,0,0,'Données projet'!$E$9+1,1))</f>
        <v>260.49759897936531</v>
      </c>
      <c r="T57" s="62">
        <f t="shared" si="34"/>
        <v>223.74038909289635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8.6</v>
      </c>
      <c r="AI57" s="14">
        <f>IF('Données projet'!$A$62&gt;35,AI56+AH57-AQ56,IF(A57&lt;'Données projet'!$A$62,$AF$205^A57,IF(A57='Données projet'!$A$62,'Données projet'!$B$62,AI56+AH57-AQ56)))</f>
        <v>249.40000000000006</v>
      </c>
      <c r="AJ57" s="14">
        <f>AI57*VLOOKUP('Données projet'!$B$10,Paramètres!$A$1:$I$89,3,0)*VLOOKUP('Données projet'!$B$10,Paramètres!$A$1:$I$89,5,0)</f>
        <v>217.87584000000007</v>
      </c>
      <c r="AK57" s="14">
        <f t="shared" si="35"/>
        <v>53.652949670124926</v>
      </c>
      <c r="AL57" s="22">
        <f t="shared" si="4"/>
        <v>472.91264200880101</v>
      </c>
      <c r="AM57" s="62">
        <f t="shared" si="5"/>
        <v>766.24597534213433</v>
      </c>
      <c r="AN57" s="62">
        <f ca="1">AVERAGE(OFFSET($AM$3,0,0,'Données projet'!$E$10+1,1))-AVERAGE(OFFSET($H$3,0,0,'Données projet'!$E$10+1,1))</f>
        <v>304.32767345253382</v>
      </c>
      <c r="AO57" s="62">
        <f t="shared" si="36"/>
        <v>427.16091343339173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24.098297094202248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24.098297094202248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16.7</v>
      </c>
      <c r="BD57" s="13">
        <f>IF('Données projet'!$A$88&gt;35,BD56+BC57-BL56,IF(A57&lt;'Données projet'!$A$88,$BA$205^A57,IF(A57='Données projet'!$A$88,'Données projet'!$B$88,BD56+BC57-BL56)))</f>
        <v>292.8</v>
      </c>
      <c r="BE57" s="14">
        <f>BD57*VLOOKUP('Données projet'!$B$11,Paramètres!$A$1:$I$89,3,0)*VLOOKUP('Données projet'!$B$11,Paramètres!$A$1:$I$89,5,0)</f>
        <v>175.09440000000004</v>
      </c>
      <c r="BF57" s="14">
        <f t="shared" si="37"/>
        <v>44.229031605991956</v>
      </c>
      <c r="BG57" s="22">
        <f t="shared" si="7"/>
        <v>381.98831004710274</v>
      </c>
      <c r="BH57" s="62">
        <f t="shared" si="8"/>
        <v>675.32164338043606</v>
      </c>
      <c r="BI57" s="62">
        <f ca="1">AVERAGE(OFFSET($BH$3,0,0,'Données projet'!$E$11+1,1))-AVERAGE(OFFSET($H$3,0,0,'Données projet'!$E$11+1,1))</f>
        <v>294.26495752303765</v>
      </c>
      <c r="BJ57" s="62">
        <f t="shared" si="38"/>
        <v>212.24900914818096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17.655098321099175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6.820220691559947</v>
      </c>
      <c r="BS57" s="24">
        <f t="shared" si="9"/>
        <v>24.475319012659121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7.5</v>
      </c>
      <c r="N58" s="14">
        <f>IF('Données projet'!$A$36&gt;35,N57+M58-V57,IF(A58&lt;'Données projet'!$A$36,$K$205^A58,IF(A58='Données projet'!$A$36,'Données projet'!$B$36,N57+M58-V57)))</f>
        <v>299.49999999999989</v>
      </c>
      <c r="O58" s="14">
        <f>N58*VLOOKUP('Données projet'!$B$9,Paramètres!$A$1:$I$89,3,0)*VLOOKUP('Données projet'!$B$9,Paramètres!$A$1:$I$89,5,0)</f>
        <v>140.16599999999994</v>
      </c>
      <c r="P58" s="14">
        <f t="shared" si="33"/>
        <v>36.33503114084008</v>
      </c>
      <c r="Q58" s="22">
        <f t="shared" si="53"/>
        <v>307.40596257029637</v>
      </c>
      <c r="R58" s="62">
        <f t="shared" si="0"/>
        <v>600.73929590362968</v>
      </c>
      <c r="S58" s="62">
        <f ca="1">AVERAGE(OFFSET($R$3,0,0,'Données projet'!$E$9+1,1))-AVERAGE(OFFSET($H$3,0,0,'Données projet'!$E$9+1,1))</f>
        <v>260.49759897936531</v>
      </c>
      <c r="T58" s="62">
        <f t="shared" si="34"/>
        <v>223.74038909289635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258</v>
      </c>
      <c r="AG58" s="13">
        <f>VLOOKUP(A58,'Données projet'!$A$61:$I$81,9,0)</f>
        <v>8.6</v>
      </c>
      <c r="AH58" s="13">
        <f t="array" ref="AH58">INDEX(AG:AG,MIN(IF(ISNUMBER(AG58:AG254),ROW(AG58:AG254),"")))</f>
        <v>8.6</v>
      </c>
      <c r="AI58" s="14">
        <f>IF('Données projet'!$A$62&gt;35,AI57+AH58-AQ57,IF(A58&lt;'Données projet'!$A$62,$AF$205^A58,IF(A58='Données projet'!$A$62,'Données projet'!$B$62,AI57+AH58-AQ57)))</f>
        <v>258.00000000000006</v>
      </c>
      <c r="AJ58" s="14">
        <f>AI58*VLOOKUP('Données projet'!$B$10,Paramètres!$A$1:$I$89,3,0)*VLOOKUP('Données projet'!$B$10,Paramètres!$A$1:$I$89,5,0)</f>
        <v>225.38880000000009</v>
      </c>
      <c r="AK58" s="14">
        <f t="shared" si="35"/>
        <v>55.284460117161593</v>
      </c>
      <c r="AL58" s="22">
        <f t="shared" si="4"/>
        <v>488.83926137072331</v>
      </c>
      <c r="AM58" s="62">
        <f t="shared" si="5"/>
        <v>782.17259470405656</v>
      </c>
      <c r="AN58" s="62">
        <f ca="1">AVERAGE(OFFSET($AM$3,0,0,'Données projet'!$E$10+1,1))-AVERAGE(OFFSET($H$3,0,0,'Données projet'!$E$10+1,1))</f>
        <v>304.32767345253382</v>
      </c>
      <c r="AO58" s="62">
        <f t="shared" si="36"/>
        <v>427.16091343339173</v>
      </c>
      <c r="AP58" s="16">
        <f>IF(ISNA(VLOOKUP(A58,'Données projet'!$A$61:$I$81,3,0)),0,VLOOKUP(A58,'Données projet'!$A$61:$I$81,3,0))</f>
        <v>9</v>
      </c>
      <c r="AQ58" s="16">
        <f>IF(ISNA(VLOOKUP(A58,'Données projet'!$A$61:$I$81,4,0)),0,VLOOKUP(A58,'Données projet'!$A$61:$I$81,4,0))</f>
        <v>258</v>
      </c>
      <c r="AR58" s="17">
        <f>IF(ISNA(VLOOKUP(A58,'Données projet'!$A$61:$I$81,5,0)),0%,VLOOKUP(A58,'Données projet'!$A$61:$I$81,5,0)*VLOOKUP('Données projet'!$B$10,Paramètres!$A$1:$I$89,7,0))</f>
        <v>0.30099999999999999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98.623097512516168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98.623097512516168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16.7</v>
      </c>
      <c r="BD58" s="13">
        <f>IF('Données projet'!$A$88&gt;35,BD57+BC58-BL57,IF(A58&lt;'Données projet'!$A$88,$BA$205^A58,IF(A58='Données projet'!$A$88,'Données projet'!$B$88,BD57+BC58-BL57)))</f>
        <v>309.5</v>
      </c>
      <c r="BE58" s="14">
        <f>BD58*VLOOKUP('Données projet'!$B$11,Paramètres!$A$1:$I$89,3,0)*VLOOKUP('Données projet'!$B$11,Paramètres!$A$1:$I$89,5,0)</f>
        <v>185.08100000000002</v>
      </c>
      <c r="BF58" s="14">
        <f t="shared" si="37"/>
        <v>46.450777143969837</v>
      </c>
      <c r="BG58" s="22">
        <f t="shared" si="7"/>
        <v>403.25117852574749</v>
      </c>
      <c r="BH58" s="62">
        <f t="shared" si="8"/>
        <v>696.58451185908075</v>
      </c>
      <c r="BI58" s="62">
        <f ca="1">AVERAGE(OFFSET($BH$3,0,0,'Données projet'!$E$11+1,1))-AVERAGE(OFFSET($H$3,0,0,'Données projet'!$E$11+1,1))</f>
        <v>294.26495752303765</v>
      </c>
      <c r="BJ58" s="62">
        <f t="shared" si="38"/>
        <v>212.24900914818096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17.308892611569089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4.822624300190844</v>
      </c>
      <c r="BS58" s="24">
        <f t="shared" si="9"/>
        <v>22.131516911759931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7.5</v>
      </c>
      <c r="N59" s="14">
        <f>IF('Données projet'!$A$36&gt;35,N58+M59-V58,IF(A59&lt;'Données projet'!$A$36,$K$205^A59,IF(A59='Données projet'!$A$36,'Données projet'!$B$36,N58+M59-V58)))</f>
        <v>306.99999999999989</v>
      </c>
      <c r="O59" s="14">
        <f>N59*VLOOKUP('Données projet'!$B$9,Paramètres!$A$1:$I$89,3,0)*VLOOKUP('Données projet'!$B$9,Paramètres!$A$1:$I$89,5,0)</f>
        <v>143.67599999999993</v>
      </c>
      <c r="P59" s="14">
        <f t="shared" si="33"/>
        <v>37.137850978646618</v>
      </c>
      <c r="Q59" s="22">
        <f t="shared" si="53"/>
        <v>314.91745712114272</v>
      </c>
      <c r="R59" s="62">
        <f t="shared" si="0"/>
        <v>608.25079045447603</v>
      </c>
      <c r="S59" s="62">
        <f ca="1">AVERAGE(OFFSET($R$3,0,0,'Données projet'!$E$9+1,1))-AVERAGE(OFFSET($H$3,0,0,'Données projet'!$E$9+1,1))</f>
        <v>260.49759897936531</v>
      </c>
      <c r="T59" s="62">
        <f t="shared" si="34"/>
        <v>223.74038909289635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5.6843418860808015E-14</v>
      </c>
      <c r="AJ59" s="14">
        <f>AI59*VLOOKUP('Données projet'!$B$10,Paramètres!$A$1:$I$89,3,0)*VLOOKUP('Données projet'!$B$10,Paramètres!$A$1:$I$89,5,0)</f>
        <v>4.9658410716801891E-14</v>
      </c>
      <c r="AK59" s="14">
        <f t="shared" si="35"/>
        <v>8.0934058173791862E-13</v>
      </c>
      <c r="AL59" s="22">
        <f t="shared" si="4"/>
        <v>1.4960899118586383E-12</v>
      </c>
      <c r="AM59" s="62">
        <f t="shared" si="5"/>
        <v>293.33333333333479</v>
      </c>
      <c r="AN59" s="62">
        <f ca="1">AVERAGE(OFFSET($AM$3,0,0,'Données projet'!$E$10+1,1))-AVERAGE(OFFSET($H$3,0,0,'Données projet'!$E$10+1,1))</f>
        <v>304.32767345253382</v>
      </c>
      <c r="AO59" s="62">
        <f t="shared" si="36"/>
        <v>427.16091343339173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96.689158724445477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96.689158724445477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16.7</v>
      </c>
      <c r="BD59" s="13">
        <f>IF('Données projet'!$A$88&gt;35,BD58+BC59-BL58,IF(A59&lt;'Données projet'!$A$88,$BA$205^A59,IF(A59='Données projet'!$A$88,'Données projet'!$B$88,BD58+BC59-BL58)))</f>
        <v>326.2</v>
      </c>
      <c r="BE59" s="14">
        <f>BD59*VLOOKUP('Données projet'!$B$11,Paramètres!$A$1:$I$89,3,0)*VLOOKUP('Données projet'!$B$11,Paramètres!$A$1:$I$89,5,0)</f>
        <v>195.0676</v>
      </c>
      <c r="BF59" s="14">
        <f t="shared" si="37"/>
        <v>48.658605140993856</v>
      </c>
      <c r="BG59" s="22">
        <f t="shared" si="7"/>
        <v>424.48980728723092</v>
      </c>
      <c r="BH59" s="62">
        <f t="shared" si="8"/>
        <v>717.82314062056423</v>
      </c>
      <c r="BI59" s="62">
        <f ca="1">AVERAGE(OFFSET($BH$3,0,0,'Données projet'!$E$11+1,1))-AVERAGE(OFFSET($H$3,0,0,'Données projet'!$E$11+1,1))</f>
        <v>294.26495752303765</v>
      </c>
      <c r="BJ59" s="62">
        <f t="shared" si="38"/>
        <v>212.24900914818096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16.969475784838256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3.4101103457799744</v>
      </c>
      <c r="BS59" s="24">
        <f t="shared" si="9"/>
        <v>20.379586130618229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7.5</v>
      </c>
      <c r="N60" s="14">
        <f>IF('Données projet'!$A$36&gt;35,N59+M60-V59,IF(A60&lt;'Données projet'!$A$36,$K$205^A60,IF(A60='Données projet'!$A$36,'Données projet'!$B$36,N59+M60-V59)))</f>
        <v>314.49999999999989</v>
      </c>
      <c r="O60" s="14">
        <f>N60*VLOOKUP('Données projet'!$B$9,Paramètres!$A$1:$I$89,3,0)*VLOOKUP('Données projet'!$B$9,Paramètres!$A$1:$I$89,5,0)</f>
        <v>147.18599999999995</v>
      </c>
      <c r="P60" s="14">
        <f t="shared" si="33"/>
        <v>37.938390882441361</v>
      </c>
      <c r="Q60" s="22">
        <f t="shared" si="53"/>
        <v>322.42498078691858</v>
      </c>
      <c r="R60" s="62">
        <f t="shared" si="0"/>
        <v>615.75831412025195</v>
      </c>
      <c r="S60" s="62">
        <f ca="1">AVERAGE(OFFSET($R$3,0,0,'Données projet'!$E$9+1,1))-AVERAGE(OFFSET($H$3,0,0,'Données projet'!$E$9+1,1))</f>
        <v>260.49759897936531</v>
      </c>
      <c r="T60" s="62">
        <f t="shared" si="34"/>
        <v>223.74038909289635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5.6843418860808015E-14</v>
      </c>
      <c r="AJ60" s="14">
        <f>AI60*VLOOKUP('Données projet'!$B$10,Paramètres!$A$1:$I$89,3,0)*VLOOKUP('Données projet'!$B$10,Paramètres!$A$1:$I$89,5,0)</f>
        <v>4.9658410716801891E-14</v>
      </c>
      <c r="AK60" s="14">
        <f t="shared" si="35"/>
        <v>8.0934058173791862E-13</v>
      </c>
      <c r="AL60" s="22">
        <f t="shared" si="4"/>
        <v>1.4960899118586383E-12</v>
      </c>
      <c r="AM60" s="62">
        <f t="shared" si="5"/>
        <v>293.33333333333479</v>
      </c>
      <c r="AN60" s="62">
        <f ca="1">AVERAGE(OFFSET($AM$3,0,0,'Données projet'!$E$10+1,1))-AVERAGE(OFFSET($H$3,0,0,'Données projet'!$E$10+1,1))</f>
        <v>304.32767345253382</v>
      </c>
      <c r="AO60" s="62">
        <f t="shared" si="36"/>
        <v>427.16091343339173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94.79314329642267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94.79314329642267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16.7</v>
      </c>
      <c r="BD60" s="13">
        <f>IF('Données projet'!$A$88&gt;35,BD59+BC60-BL59,IF(A60&lt;'Données projet'!$A$88,$BA$205^A60,IF(A60='Données projet'!$A$88,'Données projet'!$B$88,BD59+BC60-BL59)))</f>
        <v>342.9</v>
      </c>
      <c r="BE60" s="14">
        <f>BD60*VLOOKUP('Données projet'!$B$11,Paramètres!$A$1:$I$89,3,0)*VLOOKUP('Données projet'!$B$11,Paramètres!$A$1:$I$89,5,0)</f>
        <v>205.05420000000001</v>
      </c>
      <c r="BF60" s="14">
        <f t="shared" si="37"/>
        <v>50.853309395902258</v>
      </c>
      <c r="BG60" s="22">
        <f t="shared" si="7"/>
        <v>445.70557886452974</v>
      </c>
      <c r="BH60" s="62">
        <f t="shared" si="8"/>
        <v>739.03891219786306</v>
      </c>
      <c r="BI60" s="62">
        <f ca="1">AVERAGE(OFFSET($BH$3,0,0,'Données projet'!$E$11+1,1))-AVERAGE(OFFSET($H$3,0,0,'Données projet'!$E$11+1,1))</f>
        <v>294.26495752303765</v>
      </c>
      <c r="BJ60" s="62">
        <f t="shared" si="38"/>
        <v>212.24900914818096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16.636714715055792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2.4113121500954224</v>
      </c>
      <c r="BS60" s="24">
        <f t="shared" si="9"/>
        <v>19.048026865151215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7.5</v>
      </c>
      <c r="N61" s="14">
        <f>IF('Données projet'!$A$36&gt;35,N60+M61-V60,IF(A61&lt;'Données projet'!$A$36,$K$205^A61,IF(A61='Données projet'!$A$36,'Données projet'!$B$36,N60+M61-V60)))</f>
        <v>321.99999999999989</v>
      </c>
      <c r="O61" s="14">
        <f>N61*VLOOKUP('Données projet'!$B$9,Paramètres!$A$1:$I$89,3,0)*VLOOKUP('Données projet'!$B$9,Paramètres!$A$1:$I$89,5,0)</f>
        <v>150.69599999999994</v>
      </c>
      <c r="P61" s="14">
        <f t="shared" si="33"/>
        <v>38.736711478840633</v>
      </c>
      <c r="Q61" s="22">
        <f t="shared" si="53"/>
        <v>329.92863915898073</v>
      </c>
      <c r="R61" s="62">
        <f t="shared" si="0"/>
        <v>623.26197249231404</v>
      </c>
      <c r="S61" s="62">
        <f ca="1">AVERAGE(OFFSET($R$3,0,0,'Données projet'!$E$9+1,1))-AVERAGE(OFFSET($H$3,0,0,'Données projet'!$E$9+1,1))</f>
        <v>260.49759897936531</v>
      </c>
      <c r="T61" s="62">
        <f t="shared" si="34"/>
        <v>223.74038909289635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5.6843418860808015E-14</v>
      </c>
      <c r="AJ61" s="14">
        <f>AI61*VLOOKUP('Données projet'!$B$10,Paramètres!$A$1:$I$89,3,0)*VLOOKUP('Données projet'!$B$10,Paramètres!$A$1:$I$89,5,0)</f>
        <v>4.9658410716801891E-14</v>
      </c>
      <c r="AK61" s="14">
        <f t="shared" si="35"/>
        <v>8.0934058173791862E-13</v>
      </c>
      <c r="AL61" s="22">
        <f t="shared" si="4"/>
        <v>1.4960899118586383E-12</v>
      </c>
      <c r="AM61" s="62">
        <f t="shared" si="5"/>
        <v>293.33333333333479</v>
      </c>
      <c r="AN61" s="62">
        <f ca="1">AVERAGE(OFFSET($AM$3,0,0,'Données projet'!$E$10+1,1))-AVERAGE(OFFSET($H$3,0,0,'Données projet'!$E$10+1,1))</f>
        <v>304.32767345253382</v>
      </c>
      <c r="AO61" s="62">
        <f t="shared" si="36"/>
        <v>427.16091343339173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92.934307574488173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92.934307574488173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16.7</v>
      </c>
      <c r="BD61" s="13">
        <f>IF('Données projet'!$A$88&gt;35,BD60+BC61-BL60,IF(A61&lt;'Données projet'!$A$88,$BA$205^A61,IF(A61='Données projet'!$A$88,'Données projet'!$B$88,BD60+BC61-BL60)))</f>
        <v>359.59999999999997</v>
      </c>
      <c r="BE61" s="14">
        <f>BD61*VLOOKUP('Données projet'!$B$11,Paramètres!$A$1:$I$89,3,0)*VLOOKUP('Données projet'!$B$11,Paramètres!$A$1:$I$89,5,0)</f>
        <v>215.04079999999999</v>
      </c>
      <c r="BF61" s="14">
        <f t="shared" si="37"/>
        <v>53.035602019604312</v>
      </c>
      <c r="BG61" s="22">
        <f t="shared" si="7"/>
        <v>466.89973351747744</v>
      </c>
      <c r="BH61" s="62">
        <f t="shared" si="8"/>
        <v>760.2330668508107</v>
      </c>
      <c r="BI61" s="62">
        <f ca="1">AVERAGE(OFFSET($BH$3,0,0,'Données projet'!$E$11+1,1))-AVERAGE(OFFSET($H$3,0,0,'Données projet'!$E$11+1,1))</f>
        <v>294.26495752303765</v>
      </c>
      <c r="BJ61" s="62">
        <f t="shared" si="38"/>
        <v>212.24900914818096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16.310478886887552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1.7050551728899874</v>
      </c>
      <c r="BS61" s="24">
        <f t="shared" si="9"/>
        <v>18.01553405977754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7.5</v>
      </c>
      <c r="N62" s="14">
        <f>IF('Données projet'!$A$36&gt;35,N61+M62-V61,IF(A62&lt;'Données projet'!$A$36,$K$205^A62,IF(A62='Données projet'!$A$36,'Données projet'!$B$36,N61+M62-V61)))</f>
        <v>329.49999999999989</v>
      </c>
      <c r="O62" s="14">
        <f>N62*VLOOKUP('Données projet'!$B$9,Paramètres!$A$1:$I$89,3,0)*VLOOKUP('Données projet'!$B$9,Paramètres!$A$1:$I$89,5,0)</f>
        <v>154.20599999999993</v>
      </c>
      <c r="P62" s="14">
        <f t="shared" si="33"/>
        <v>39.532870409105215</v>
      </c>
      <c r="Q62" s="22">
        <f t="shared" si="53"/>
        <v>337.42853262919147</v>
      </c>
      <c r="R62" s="62">
        <f t="shared" si="0"/>
        <v>630.76186596252478</v>
      </c>
      <c r="S62" s="62">
        <f ca="1">AVERAGE(OFFSET($R$3,0,0,'Données projet'!$E$9+1,1))-AVERAGE(OFFSET($H$3,0,0,'Données projet'!$E$9+1,1))</f>
        <v>260.49759897936531</v>
      </c>
      <c r="T62" s="62">
        <f t="shared" si="34"/>
        <v>223.74038909289635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5.6843418860808015E-14</v>
      </c>
      <c r="AJ62" s="14">
        <f>AI62*VLOOKUP('Données projet'!$B$10,Paramètres!$A$1:$I$89,3,0)*VLOOKUP('Données projet'!$B$10,Paramètres!$A$1:$I$89,5,0)</f>
        <v>4.9658410716801891E-14</v>
      </c>
      <c r="AK62" s="14">
        <f t="shared" si="35"/>
        <v>8.0934058173791862E-13</v>
      </c>
      <c r="AL62" s="22">
        <f t="shared" si="4"/>
        <v>1.4960899118586383E-12</v>
      </c>
      <c r="AM62" s="62">
        <f t="shared" si="5"/>
        <v>293.33333333333479</v>
      </c>
      <c r="AN62" s="62">
        <f ca="1">AVERAGE(OFFSET($AM$3,0,0,'Données projet'!$E$10+1,1))-AVERAGE(OFFSET($H$3,0,0,'Données projet'!$E$10+1,1))</f>
        <v>304.32767345253382</v>
      </c>
      <c r="AO62" s="62">
        <f t="shared" si="36"/>
        <v>427.16091343339173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91.111922487282968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91.111922487282968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16.7</v>
      </c>
      <c r="BD62" s="13">
        <f>IF('Données projet'!$A$88&gt;35,BD61+BC62-BL61,IF(A62&lt;'Données projet'!$A$88,$BA$205^A62,IF(A62='Données projet'!$A$88,'Données projet'!$B$88,BD61+BC62-BL61)))</f>
        <v>376.29999999999995</v>
      </c>
      <c r="BE62" s="14">
        <f>BD62*VLOOKUP('Données projet'!$B$11,Paramètres!$A$1:$I$89,3,0)*VLOOKUP('Données projet'!$B$11,Paramètres!$A$1:$I$89,5,0)</f>
        <v>225.0274</v>
      </c>
      <c r="BF62" s="14">
        <f t="shared" si="37"/>
        <v>55.206125243383319</v>
      </c>
      <c r="BG62" s="22">
        <f t="shared" si="7"/>
        <v>488.07338979889255</v>
      </c>
      <c r="BH62" s="62">
        <f t="shared" si="8"/>
        <v>781.40672313222581</v>
      </c>
      <c r="BI62" s="62">
        <f ca="1">AVERAGE(OFFSET($BH$3,0,0,'Données projet'!$E$11+1,1))-AVERAGE(OFFSET($H$3,0,0,'Données projet'!$E$11+1,1))</f>
        <v>294.26495752303765</v>
      </c>
      <c r="BJ62" s="62">
        <f t="shared" si="38"/>
        <v>212.24900914818096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15.990640344325485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1.2056560750477114</v>
      </c>
      <c r="BS62" s="24">
        <f t="shared" si="9"/>
        <v>17.196296419373198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337</v>
      </c>
      <c r="L63" s="13">
        <f>VLOOKUP(A63,'Données projet'!$A$35:$I$55,9,0)</f>
        <v>7.5</v>
      </c>
      <c r="M63" s="13">
        <f t="array" ref="M63">INDEX(L:L,MIN(IF(ISNUMBER(L63:L259),ROW(L63:L259),"")))</f>
        <v>7.5</v>
      </c>
      <c r="N63" s="14">
        <f>IF('Données projet'!$A$36&gt;35,N62+M63-V62,IF(A63&lt;'Données projet'!$A$36,$K$205^A63,IF(A63='Données projet'!$A$36,'Données projet'!$B$36,N62+M63-V62)))</f>
        <v>336.99999999999989</v>
      </c>
      <c r="O63" s="14">
        <f>N63*VLOOKUP('Données projet'!$B$9,Paramètres!$A$1:$I$89,3,0)*VLOOKUP('Données projet'!$B$9,Paramètres!$A$1:$I$89,5,0)</f>
        <v>157.71599999999995</v>
      </c>
      <c r="P63" s="14">
        <f t="shared" si="33"/>
        <v>40.326922540698838</v>
      </c>
      <c r="Q63" s="22">
        <f t="shared" si="53"/>
        <v>344.92475675838369</v>
      </c>
      <c r="R63" s="62">
        <f t="shared" si="0"/>
        <v>638.25809009171701</v>
      </c>
      <c r="S63" s="62">
        <f ca="1">AVERAGE(OFFSET($R$3,0,0,'Données projet'!$E$9+1,1))-AVERAGE(OFFSET($H$3,0,0,'Données projet'!$E$9+1,1))</f>
        <v>260.49759897936531</v>
      </c>
      <c r="T63" s="62">
        <f t="shared" si="34"/>
        <v>223.74038909289635</v>
      </c>
      <c r="U63" s="16">
        <f>IF(ISNA(VLOOKUP(A63,'Données projet'!$A$35:$I$55,3,0)),0,VLOOKUP(A63,'Données projet'!$A$35:$I$55,3,0))</f>
        <v>2</v>
      </c>
      <c r="V63" s="16">
        <f>IF(ISNA(VLOOKUP(A63,'Données projet'!$A$35:$I$55,4,0)),0,VLOOKUP(A63,'Données projet'!$A$35:$I$55,4,0))</f>
        <v>67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0.5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17.751137960619932</v>
      </c>
      <c r="AC63" s="24">
        <f t="shared" si="3"/>
        <v>17.751137960619932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5.6843418860808015E-14</v>
      </c>
      <c r="AJ63" s="14">
        <f>AI63*VLOOKUP('Données projet'!$B$10,Paramètres!$A$1:$I$89,3,0)*VLOOKUP('Données projet'!$B$10,Paramètres!$A$1:$I$89,5,0)</f>
        <v>4.9658410716801891E-14</v>
      </c>
      <c r="AK63" s="14">
        <f t="shared" si="35"/>
        <v>8.0934058173791862E-13</v>
      </c>
      <c r="AL63" s="22">
        <f t="shared" si="4"/>
        <v>1.4960899118586383E-12</v>
      </c>
      <c r="AM63" s="62">
        <f t="shared" si="5"/>
        <v>293.33333333333479</v>
      </c>
      <c r="AN63" s="62">
        <f ca="1">AVERAGE(OFFSET($AM$3,0,0,'Données projet'!$E$10+1,1))-AVERAGE(OFFSET($H$3,0,0,'Données projet'!$E$10+1,1))</f>
        <v>304.32767345253382</v>
      </c>
      <c r="AO63" s="62">
        <f t="shared" si="36"/>
        <v>427.16091343339173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89.325273260092715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89.325273260092715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393</v>
      </c>
      <c r="BB63" s="13">
        <f>VLOOKUP(A63,'Données projet'!$A$87:$I$107,9,0)</f>
        <v>16.7</v>
      </c>
      <c r="BC63" s="13">
        <f t="array" ref="BC63">INDEX(BB:BB,MIN(IF(ISNUMBER(BB63:BB259),ROW(BB63:BB259),"")))</f>
        <v>16.7</v>
      </c>
      <c r="BD63" s="13">
        <f>IF('Données projet'!$A$88&gt;35,BD62+BC63-BL62,IF(A63&lt;'Données projet'!$A$88,$BA$205^A63,IF(A63='Données projet'!$A$88,'Données projet'!$B$88,BD62+BC63-BL62)))</f>
        <v>392.99999999999994</v>
      </c>
      <c r="BE63" s="14">
        <f>BD63*VLOOKUP('Données projet'!$B$11,Paramètres!$A$1:$I$89,3,0)*VLOOKUP('Données projet'!$B$11,Paramètres!$A$1:$I$89,5,0)</f>
        <v>235.01399999999998</v>
      </c>
      <c r="BF63" s="14">
        <f t="shared" si="37"/>
        <v>57.365461071820548</v>
      </c>
      <c r="BG63" s="22">
        <f t="shared" si="7"/>
        <v>509.22756136675406</v>
      </c>
      <c r="BH63" s="62">
        <f t="shared" si="8"/>
        <v>802.56089470008737</v>
      </c>
      <c r="BI63" s="62">
        <f ca="1">AVERAGE(OFFSET($BH$3,0,0,'Données projet'!$E$11+1,1))-AVERAGE(OFFSET($H$3,0,0,'Données projet'!$E$11+1,1))</f>
        <v>294.26495752303765</v>
      </c>
      <c r="BJ63" s="62">
        <f t="shared" si="38"/>
        <v>212.24900914818096</v>
      </c>
      <c r="BK63" s="16">
        <f>IF(ISNA(VLOOKUP(A63,'Données projet'!$A$87:$I$107,3,0)),0,VLOOKUP(A63,'Données projet'!$A$87:$I$107,3,0))</f>
        <v>6</v>
      </c>
      <c r="BL63" s="16">
        <f>IF(ISNA(VLOOKUP(A63,'Données projet'!$A$87:$I$107,4,0)),0,VLOOKUP(A63,'Données projet'!$A$87:$I$107,4,0))</f>
        <v>88</v>
      </c>
      <c r="BM63" s="17">
        <f>IF(ISNA(VLOOKUP(A63,'Données projet'!$A$87:$I$107,5,0)),0%,VLOOKUP(A63,'Données projet'!$A$87:$I$107,5,0)*VLOOKUP('Données projet'!$B$11,Paramètres!$A$1:$I$89,7,0))</f>
        <v>0.29250000000000004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0.35</v>
      </c>
      <c r="BP63" s="23">
        <f>EXP(-LN(2)/35)*BP62+(1-EXP(-LN(2)/35))/(LN(2)/35)*BL63*BM63*VLOOKUP('Données projet'!$B$11,Paramètres!$A$1:$I$89,3,0)*0.475*44/12</f>
        <v>36.096243552143051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21.706434935206449</v>
      </c>
      <c r="BS63" s="24">
        <f t="shared" si="9"/>
        <v>57.802678487349496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7.5</v>
      </c>
      <c r="N64" s="14">
        <f>IF('Données projet'!$A$36&gt;35,N63+M64-V63,IF(A64&lt;'Données projet'!$A$36,$K$205^A64,IF(A64='Données projet'!$A$36,'Données projet'!$B$36,N63+M64-V63)))</f>
        <v>277.49999999999989</v>
      </c>
      <c r="O64" s="14">
        <f>N64*VLOOKUP('Données projet'!$B$9,Paramètres!$A$1:$I$89,3,0)*VLOOKUP('Données projet'!$B$9,Paramètres!$A$1:$I$89,5,0)</f>
        <v>129.86999999999995</v>
      </c>
      <c r="P64" s="14">
        <f t="shared" si="33"/>
        <v>33.966318400312289</v>
      </c>
      <c r="Q64" s="22">
        <f t="shared" si="53"/>
        <v>285.34825454721044</v>
      </c>
      <c r="R64" s="62">
        <f t="shared" si="0"/>
        <v>578.6815878805437</v>
      </c>
      <c r="S64" s="62">
        <f ca="1">AVERAGE(OFFSET($R$3,0,0,'Données projet'!$E$9+1,1))-AVERAGE(OFFSET($H$3,0,0,'Données projet'!$E$9+1,1))</f>
        <v>260.49759897936531</v>
      </c>
      <c r="T64" s="62">
        <f t="shared" si="34"/>
        <v>223.74038909289635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12.551950025732296</v>
      </c>
      <c r="AC64" s="24">
        <f t="shared" si="3"/>
        <v>12.551950025732296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5.6843418860808015E-14</v>
      </c>
      <c r="AJ64" s="14">
        <f>AI64*VLOOKUP('Données projet'!$B$10,Paramètres!$A$1:$I$89,3,0)*VLOOKUP('Données projet'!$B$10,Paramètres!$A$1:$I$89,5,0)</f>
        <v>4.9658410716801891E-14</v>
      </c>
      <c r="AK64" s="14">
        <f t="shared" si="35"/>
        <v>8.0934058173791862E-13</v>
      </c>
      <c r="AL64" s="22">
        <f t="shared" si="4"/>
        <v>1.4960899118586383E-12</v>
      </c>
      <c r="AM64" s="62">
        <f t="shared" si="5"/>
        <v>293.33333333333479</v>
      </c>
      <c r="AN64" s="62">
        <f ca="1">AVERAGE(OFFSET($AM$3,0,0,'Données projet'!$E$10+1,1))-AVERAGE(OFFSET($H$3,0,0,'Données projet'!$E$10+1,1))</f>
        <v>304.32767345253382</v>
      </c>
      <c r="AO64" s="62">
        <f t="shared" si="36"/>
        <v>427.16091343339173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87.573659134499238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87.573659134499238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14.3</v>
      </c>
      <c r="BD64" s="13">
        <f>IF('Données projet'!$A$88&gt;35,BD63+BC64-BL63,IF(A64&lt;'Données projet'!$A$88,$BA$205^A64,IF(A64='Données projet'!$A$88,'Données projet'!$B$88,BD63+BC64-BL63)))</f>
        <v>319.29999999999995</v>
      </c>
      <c r="BE64" s="14">
        <f>BD64*VLOOKUP('Données projet'!$B$11,Paramètres!$A$1:$I$89,3,0)*VLOOKUP('Données projet'!$B$11,Paramètres!$A$1:$I$89,5,0)</f>
        <v>190.94139999999999</v>
      </c>
      <c r="BF64" s="14">
        <f t="shared" si="37"/>
        <v>47.748023117802013</v>
      </c>
      <c r="BG64" s="22">
        <f t="shared" si="7"/>
        <v>415.71741193017175</v>
      </c>
      <c r="BH64" s="62">
        <f t="shared" si="8"/>
        <v>709.05074526350506</v>
      </c>
      <c r="BI64" s="62">
        <f ca="1">AVERAGE(OFFSET($BH$3,0,0,'Données projet'!$E$11+1,1))-AVERAGE(OFFSET($H$3,0,0,'Données projet'!$E$11+1,1))</f>
        <v>294.26495752303765</v>
      </c>
      <c r="BJ64" s="62">
        <f t="shared" si="38"/>
        <v>212.24900914818096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35.38841823262014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15.348767338069058</v>
      </c>
      <c r="BS64" s="24">
        <f t="shared" si="9"/>
        <v>50.737185570689199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7.5</v>
      </c>
      <c r="N65" s="14">
        <f>IF('Données projet'!$A$36&gt;35,N64+M65-V64,IF(A65&lt;'Données projet'!$A$36,$K$205^A65,IF(A65='Données projet'!$A$36,'Données projet'!$B$36,N64+M65-V64)))</f>
        <v>284.99999999999989</v>
      </c>
      <c r="O65" s="14">
        <f>N65*VLOOKUP('Données projet'!$B$9,Paramètres!$A$1:$I$89,3,0)*VLOOKUP('Données projet'!$B$9,Paramètres!$A$1:$I$89,5,0)</f>
        <v>133.37999999999994</v>
      </c>
      <c r="P65" s="14">
        <f t="shared" si="33"/>
        <v>34.776207535548991</v>
      </c>
      <c r="Q65" s="22">
        <f t="shared" si="53"/>
        <v>292.87206145774769</v>
      </c>
      <c r="R65" s="62">
        <f t="shared" si="0"/>
        <v>586.20539479108106</v>
      </c>
      <c r="S65" s="62">
        <f ca="1">AVERAGE(OFFSET($R$3,0,0,'Données projet'!$E$9+1,1))-AVERAGE(OFFSET($H$3,0,0,'Données projet'!$E$9+1,1))</f>
        <v>260.49759897936531</v>
      </c>
      <c r="T65" s="62">
        <f t="shared" si="34"/>
        <v>223.74038909289635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8.875568980309966</v>
      </c>
      <c r="AC65" s="24">
        <f t="shared" si="3"/>
        <v>8.875568980309966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5.6843418860808015E-14</v>
      </c>
      <c r="AJ65" s="14">
        <f>AI65*VLOOKUP('Données projet'!$B$10,Paramètres!$A$1:$I$89,3,0)*VLOOKUP('Données projet'!$B$10,Paramètres!$A$1:$I$89,5,0)</f>
        <v>4.9658410716801891E-14</v>
      </c>
      <c r="AK65" s="14">
        <f t="shared" si="35"/>
        <v>8.0934058173791862E-13</v>
      </c>
      <c r="AL65" s="22">
        <f t="shared" si="4"/>
        <v>1.4960899118586383E-12</v>
      </c>
      <c r="AM65" s="62">
        <f t="shared" si="5"/>
        <v>293.33333333333479</v>
      </c>
      <c r="AN65" s="62">
        <f ca="1">AVERAGE(OFFSET($AM$3,0,0,'Données projet'!$E$10+1,1))-AVERAGE(OFFSET($H$3,0,0,'Données projet'!$E$10+1,1))</f>
        <v>304.32767345253382</v>
      </c>
      <c r="AO65" s="62">
        <f t="shared" si="36"/>
        <v>427.16091343339173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85.856393093529519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85.856393093529519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14.3</v>
      </c>
      <c r="BD65" s="13">
        <f>IF('Données projet'!$A$88&gt;35,BD64+BC65-BL64,IF(A65&lt;'Données projet'!$A$88,$BA$205^A65,IF(A65='Données projet'!$A$88,'Données projet'!$B$88,BD64+BC65-BL64)))</f>
        <v>333.59999999999997</v>
      </c>
      <c r="BE65" s="14">
        <f>BD65*VLOOKUP('Données projet'!$B$11,Paramètres!$A$1:$I$89,3,0)*VLOOKUP('Données projet'!$B$11,Paramètres!$A$1:$I$89,5,0)</f>
        <v>199.49279999999999</v>
      </c>
      <c r="BF65" s="14">
        <f t="shared" si="37"/>
        <v>49.632684049228061</v>
      </c>
      <c r="BG65" s="22">
        <f t="shared" si="7"/>
        <v>433.89355138573887</v>
      </c>
      <c r="BH65" s="62">
        <f t="shared" si="8"/>
        <v>727.22688471907213</v>
      </c>
      <c r="BI65" s="62">
        <f ca="1">AVERAGE(OFFSET($BH$3,0,0,'Données projet'!$E$11+1,1))-AVERAGE(OFFSET($H$3,0,0,'Données projet'!$E$11+1,1))</f>
        <v>294.26495752303765</v>
      </c>
      <c r="BJ65" s="62">
        <f t="shared" si="38"/>
        <v>212.24900914818096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34.69447293588226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10.853217467603226</v>
      </c>
      <c r="BS65" s="24">
        <f t="shared" si="9"/>
        <v>45.54769040348549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7.5</v>
      </c>
      <c r="N66" s="14">
        <f>IF('Données projet'!$A$36&gt;35,N65+M66-V65,IF(A66&lt;'Données projet'!$A$36,$K$205^A66,IF(A66='Données projet'!$A$36,'Données projet'!$B$36,N65+M66-V65)))</f>
        <v>292.49999999999989</v>
      </c>
      <c r="O66" s="14">
        <f>N66*VLOOKUP('Données projet'!$B$9,Paramètres!$A$1:$I$89,3,0)*VLOOKUP('Données projet'!$B$9,Paramètres!$A$1:$I$89,5,0)</f>
        <v>136.88999999999996</v>
      </c>
      <c r="P66" s="14">
        <f t="shared" si="33"/>
        <v>35.583619346017713</v>
      </c>
      <c r="Q66" s="22">
        <f t="shared" si="53"/>
        <v>300.3915536943141</v>
      </c>
      <c r="R66" s="62">
        <f t="shared" si="0"/>
        <v>593.72488702764736</v>
      </c>
      <c r="S66" s="62">
        <f ca="1">AVERAGE(OFFSET($R$3,0,0,'Données projet'!$E$9+1,1))-AVERAGE(OFFSET($H$3,0,0,'Données projet'!$E$9+1,1))</f>
        <v>260.49759897936531</v>
      </c>
      <c r="T66" s="62">
        <f t="shared" si="34"/>
        <v>223.74038909289635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6.275975012866148</v>
      </c>
      <c r="AC66" s="24">
        <f t="shared" si="3"/>
        <v>6.275975012866148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5.6843418860808015E-14</v>
      </c>
      <c r="AJ66" s="14">
        <f>AI66*VLOOKUP('Données projet'!$B$10,Paramètres!$A$1:$I$89,3,0)*VLOOKUP('Données projet'!$B$10,Paramètres!$A$1:$I$89,5,0)</f>
        <v>4.9658410716801891E-14</v>
      </c>
      <c r="AK66" s="14">
        <f t="shared" si="35"/>
        <v>8.0934058173791862E-13</v>
      </c>
      <c r="AL66" s="22">
        <f t="shared" si="4"/>
        <v>1.4960899118586383E-12</v>
      </c>
      <c r="AM66" s="62">
        <f t="shared" si="5"/>
        <v>293.33333333333479</v>
      </c>
      <c r="AN66" s="62">
        <f ca="1">AVERAGE(OFFSET($AM$3,0,0,'Données projet'!$E$10+1,1))-AVERAGE(OFFSET($H$3,0,0,'Données projet'!$E$10+1,1))</f>
        <v>304.32767345253382</v>
      </c>
      <c r="AO66" s="62">
        <f t="shared" si="36"/>
        <v>427.16091343339173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84.172801592194361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84.172801592194361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14.3</v>
      </c>
      <c r="BD66" s="13">
        <f>IF('Données projet'!$A$88&gt;35,BD65+BC66-BL65,IF(A66&lt;'Données projet'!$A$88,$BA$205^A66,IF(A66='Données projet'!$A$88,'Données projet'!$B$88,BD65+BC66-BL65)))</f>
        <v>347.9</v>
      </c>
      <c r="BE66" s="14">
        <f>BD66*VLOOKUP('Données projet'!$B$11,Paramètres!$A$1:$I$89,3,0)*VLOOKUP('Données projet'!$B$11,Paramètres!$A$1:$I$89,5,0)</f>
        <v>208.04419999999999</v>
      </c>
      <c r="BF66" s="14">
        <f t="shared" si="37"/>
        <v>51.507961722634242</v>
      </c>
      <c r="BG66" s="22">
        <f t="shared" si="7"/>
        <v>452.05334833358796</v>
      </c>
      <c r="BH66" s="62">
        <f t="shared" si="8"/>
        <v>745.38668166692128</v>
      </c>
      <c r="BI66" s="62">
        <f ca="1">AVERAGE(OFFSET($BH$3,0,0,'Données projet'!$E$11+1,1))-AVERAGE(OFFSET($H$3,0,0,'Données projet'!$E$11+1,1))</f>
        <v>294.26495752303765</v>
      </c>
      <c r="BJ66" s="62">
        <f t="shared" si="38"/>
        <v>212.24900914818096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34.014135483148571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7.6743836690345306</v>
      </c>
      <c r="BS66" s="24">
        <f t="shared" si="9"/>
        <v>41.688519152183105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7.5</v>
      </c>
      <c r="N67" s="14">
        <f>IF('Données projet'!$A$36&gt;35,N66+M67-V66,IF(A67&lt;'Données projet'!$A$36,$K$205^A67,IF(A67='Données projet'!$A$36,'Données projet'!$B$36,N66+M67-V66)))</f>
        <v>299.99999999999989</v>
      </c>
      <c r="O67" s="14">
        <f>N67*VLOOKUP('Données projet'!$B$9,Paramètres!$A$1:$I$89,3,0)*VLOOKUP('Données projet'!$B$9,Paramètres!$A$1:$I$89,5,0)</f>
        <v>140.39999999999995</v>
      </c>
      <c r="P67" s="14">
        <f t="shared" si="33"/>
        <v>36.388624656711166</v>
      </c>
      <c r="Q67" s="22">
        <f t="shared" ref="Q67:Q98" si="54">(O67+P67)*0.475*44/12</f>
        <v>307.90685461043853</v>
      </c>
      <c r="R67" s="62">
        <f t="shared" ref="R67:R130" si="55">Q67+(I67+J67)*44/12</f>
        <v>601.24018794377184</v>
      </c>
      <c r="S67" s="62">
        <f ca="1">AVERAGE(OFFSET($R$3,0,0,'Données projet'!$E$9+1,1))-AVERAGE(OFFSET($H$3,0,0,'Données projet'!$E$9+1,1))</f>
        <v>260.49759897936531</v>
      </c>
      <c r="T67" s="62">
        <f t="shared" si="34"/>
        <v>223.74038909289635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4.437784490154983</v>
      </c>
      <c r="AC67" s="24">
        <f t="shared" si="3"/>
        <v>4.437784490154983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5.6843418860808015E-14</v>
      </c>
      <c r="AJ67" s="14">
        <f>AI67*VLOOKUP('Données projet'!$B$10,Paramètres!$A$1:$I$89,3,0)*VLOOKUP('Données projet'!$B$10,Paramètres!$A$1:$I$89,5,0)</f>
        <v>4.9658410716801891E-14</v>
      </c>
      <c r="AK67" s="14">
        <f t="shared" si="35"/>
        <v>8.0934058173791862E-13</v>
      </c>
      <c r="AL67" s="22">
        <f t="shared" si="4"/>
        <v>1.4960899118586383E-12</v>
      </c>
      <c r="AM67" s="62">
        <f t="shared" si="5"/>
        <v>293.33333333333479</v>
      </c>
      <c r="AN67" s="62">
        <f ca="1">AVERAGE(OFFSET($AM$3,0,0,'Données projet'!$E$10+1,1))-AVERAGE(OFFSET($H$3,0,0,'Données projet'!$E$10+1,1))</f>
        <v>304.32767345253382</v>
      </c>
      <c r="AO67" s="62">
        <f t="shared" si="36"/>
        <v>427.16091343339173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82.52222429331097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82.52222429331097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14.3</v>
      </c>
      <c r="BD67" s="13">
        <f>IF('Données projet'!$A$88&gt;35,BD66+BC67-BL66,IF(A67&lt;'Données projet'!$A$88,$BA$205^A67,IF(A67='Données projet'!$A$88,'Données projet'!$B$88,BD66+BC67-BL66)))</f>
        <v>362.2</v>
      </c>
      <c r="BE67" s="14">
        <f>BD67*VLOOKUP('Données projet'!$B$11,Paramètres!$A$1:$I$89,3,0)*VLOOKUP('Données projet'!$B$11,Paramètres!$A$1:$I$89,5,0)</f>
        <v>216.59559999999999</v>
      </c>
      <c r="BF67" s="14">
        <f t="shared" si="37"/>
        <v>53.374285937607603</v>
      </c>
      <c r="BG67" s="22">
        <f t="shared" si="7"/>
        <v>470.19755134133328</v>
      </c>
      <c r="BH67" s="62">
        <f t="shared" si="8"/>
        <v>763.53088467466659</v>
      </c>
      <c r="BI67" s="62">
        <f ca="1">AVERAGE(OFFSET($BH$3,0,0,'Données projet'!$E$11+1,1))-AVERAGE(OFFSET($H$3,0,0,'Données projet'!$E$11+1,1))</f>
        <v>294.26495752303765</v>
      </c>
      <c r="BJ67" s="62">
        <f t="shared" si="38"/>
        <v>212.24900914818096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33.34713903289812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5.426608733801614</v>
      </c>
      <c r="BS67" s="24">
        <f t="shared" si="9"/>
        <v>38.773747766699735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7.5</v>
      </c>
      <c r="N68" s="14">
        <f>IF('Données projet'!$A$36&gt;35,N67+M68-V67,IF(A68&lt;'Données projet'!$A$36,$K$205^A68,IF(A68='Données projet'!$A$36,'Données projet'!$B$36,N67+M68-V67)))</f>
        <v>307.49999999999989</v>
      </c>
      <c r="O68" s="14">
        <f>N68*VLOOKUP('Données projet'!$B$9,Paramètres!$A$1:$I$89,3,0)*VLOOKUP('Données projet'!$B$9,Paramètres!$A$1:$I$89,5,0)</f>
        <v>143.90999999999994</v>
      </c>
      <c r="P68" s="14">
        <f t="shared" si="33"/>
        <v>37.191290549543396</v>
      </c>
      <c r="Q68" s="22">
        <f t="shared" si="54"/>
        <v>315.41808104045464</v>
      </c>
      <c r="R68" s="62">
        <f t="shared" si="55"/>
        <v>608.75141437378795</v>
      </c>
      <c r="S68" s="62">
        <f ca="1">AVERAGE(OFFSET($R$3,0,0,'Données projet'!$E$9+1,1))-AVERAGE(OFFSET($H$3,0,0,'Données projet'!$E$9+1,1))</f>
        <v>260.49759897936531</v>
      </c>
      <c r="T68" s="62">
        <f t="shared" si="34"/>
        <v>223.74038909289635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3.137987506433074</v>
      </c>
      <c r="AC68" s="24">
        <f t="shared" ref="AC68:AC131" si="57">SUM(Z68:AB68)</f>
        <v>3.137987506433074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5.6843418860808015E-14</v>
      </c>
      <c r="AJ68" s="14">
        <f>AI68*VLOOKUP('Données projet'!$B$10,Paramètres!$A$1:$I$89,3,0)*VLOOKUP('Données projet'!$B$10,Paramètres!$A$1:$I$89,5,0)</f>
        <v>4.9658410716801891E-14</v>
      </c>
      <c r="AK68" s="14">
        <f t="shared" si="35"/>
        <v>8.0934058173791862E-13</v>
      </c>
      <c r="AL68" s="22">
        <f t="shared" ref="AL68:AL131" si="58">(AJ68+AK68)*0.475*44/12</f>
        <v>1.4960899118586383E-12</v>
      </c>
      <c r="AM68" s="62">
        <f t="shared" ref="AM68:AM131" si="59">AL68+(AD68+AE68)*44/12</f>
        <v>293.33333333333479</v>
      </c>
      <c r="AN68" s="62">
        <f ca="1">AVERAGE(OFFSET($AM$3,0,0,'Données projet'!$E$10+1,1))-AVERAGE(OFFSET($H$3,0,0,'Données projet'!$E$10+1,1))</f>
        <v>304.32767345253382</v>
      </c>
      <c r="AO68" s="62">
        <f t="shared" si="36"/>
        <v>427.16091343339173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80.904013808505937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80.904013808505937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14.3</v>
      </c>
      <c r="BD68" s="13">
        <f>IF('Données projet'!$A$88&gt;35,BD67+BC68-BL67,IF(A68&lt;'Données projet'!$A$88,$BA$205^A68,IF(A68='Données projet'!$A$88,'Données projet'!$B$88,BD67+BC68-BL67)))</f>
        <v>376.5</v>
      </c>
      <c r="BE68" s="14">
        <f>BD68*VLOOKUP('Données projet'!$B$11,Paramètres!$A$1:$I$89,3,0)*VLOOKUP('Données projet'!$B$11,Paramètres!$A$1:$I$89,5,0)</f>
        <v>225.14699999999999</v>
      </c>
      <c r="BF68" s="14">
        <f t="shared" si="37"/>
        <v>55.232050634645063</v>
      </c>
      <c r="BG68" s="22">
        <f t="shared" ref="BG68:BG131" si="61">(BE68+BF68)*0.475*44/12</f>
        <v>488.32684652200675</v>
      </c>
      <c r="BH68" s="62">
        <f t="shared" ref="BH68:BH131" si="62">BG68+(AY68+AZ68)*44/12</f>
        <v>781.66017985534006</v>
      </c>
      <c r="BI68" s="62">
        <f ca="1">AVERAGE(OFFSET($BH$3,0,0,'Données projet'!$E$11+1,1))-AVERAGE(OFFSET($H$3,0,0,'Données projet'!$E$11+1,1))</f>
        <v>294.26495752303765</v>
      </c>
      <c r="BJ68" s="62">
        <f t="shared" si="38"/>
        <v>212.24900914818096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32.693221976209415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3.8371918345172658</v>
      </c>
      <c r="BS68" s="24">
        <f t="shared" ref="BS68:BS131" si="63">SUM(BP68:BR68)</f>
        <v>36.530413810726678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7.5</v>
      </c>
      <c r="N69" s="14">
        <f>IF('Données projet'!$A$36&gt;35,N68+M69-V68,IF(A69&lt;'Données projet'!$A$36,$K$205^A69,IF(A69='Données projet'!$A$36,'Données projet'!$B$36,N68+M69-V68)))</f>
        <v>314.99999999999989</v>
      </c>
      <c r="O69" s="14">
        <f>N69*VLOOKUP('Données projet'!$B$9,Paramètres!$A$1:$I$89,3,0)*VLOOKUP('Données projet'!$B$9,Paramètres!$A$1:$I$89,5,0)</f>
        <v>147.41999999999993</v>
      </c>
      <c r="P69" s="14">
        <f t="shared" ref="P69:P132" si="87">EXP(-1.0587+0.8836*LN(O69)+0.284)</f>
        <v>37.991680647570291</v>
      </c>
      <c r="Q69" s="22">
        <f t="shared" si="54"/>
        <v>322.92534379451814</v>
      </c>
      <c r="R69" s="62">
        <f t="shared" si="55"/>
        <v>616.25867712785146</v>
      </c>
      <c r="S69" s="62">
        <f ca="1">AVERAGE(OFFSET($R$3,0,0,'Données projet'!$E$9+1,1))-AVERAGE(OFFSET($H$3,0,0,'Données projet'!$E$9+1,1))</f>
        <v>260.49759897936531</v>
      </c>
      <c r="T69" s="62">
        <f t="shared" ref="T69:T132" si="88">$T$3</f>
        <v>223.74038909289635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2.2188922450774915</v>
      </c>
      <c r="AC69" s="24">
        <f t="shared" si="57"/>
        <v>2.2188922450774915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5.6843418860808015E-14</v>
      </c>
      <c r="AJ69" s="14">
        <f>AI69*VLOOKUP('Données projet'!$B$10,Paramètres!$A$1:$I$89,3,0)*VLOOKUP('Données projet'!$B$10,Paramètres!$A$1:$I$89,5,0)</f>
        <v>4.9658410716801891E-14</v>
      </c>
      <c r="AK69" s="14">
        <f t="shared" ref="AK69:AK132" si="89">EXP(-1.0587+0.8836*LN(AJ69)+0.284)</f>
        <v>8.0934058173791862E-13</v>
      </c>
      <c r="AL69" s="22">
        <f t="shared" si="58"/>
        <v>1.4960899118586383E-12</v>
      </c>
      <c r="AM69" s="62">
        <f t="shared" si="59"/>
        <v>293.33333333333479</v>
      </c>
      <c r="AN69" s="62">
        <f ca="1">AVERAGE(OFFSET($AM$3,0,0,'Données projet'!$E$10+1,1))-AVERAGE(OFFSET($H$3,0,0,'Données projet'!$E$10+1,1))</f>
        <v>304.32767345253382</v>
      </c>
      <c r="AO69" s="62">
        <f t="shared" ref="AO69:AO132" si="90">$AO$3</f>
        <v>427.16091343339173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79.317535444296993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79.317535444296993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14.3</v>
      </c>
      <c r="BD69" s="13">
        <f>IF('Données projet'!$A$88&gt;35,BD68+BC69-BL68,IF(A69&lt;'Données projet'!$A$88,$BA$205^A69,IF(A69='Données projet'!$A$88,'Données projet'!$B$88,BD68+BC69-BL68)))</f>
        <v>390.8</v>
      </c>
      <c r="BE69" s="14">
        <f>BD69*VLOOKUP('Données projet'!$B$11,Paramètres!$A$1:$I$89,3,0)*VLOOKUP('Données projet'!$B$11,Paramètres!$A$1:$I$89,5,0)</f>
        <v>233.69840000000002</v>
      </c>
      <c r="BF69" s="14">
        <f t="shared" ref="BF69:BF132" si="91">EXP(-1.0587+0.8836*LN(BE69)+0.284)</f>
        <v>57.081618134454175</v>
      </c>
      <c r="BG69" s="22">
        <f t="shared" si="61"/>
        <v>506.44186491750764</v>
      </c>
      <c r="BH69" s="62">
        <f t="shared" si="62"/>
        <v>799.77519825084096</v>
      </c>
      <c r="BI69" s="62">
        <f ca="1">AVERAGE(OFFSET($BH$3,0,0,'Données projet'!$E$11+1,1))-AVERAGE(OFFSET($H$3,0,0,'Données projet'!$E$11+1,1))</f>
        <v>294.26495752303765</v>
      </c>
      <c r="BJ69" s="62">
        <f t="shared" ref="BJ69:BJ132" si="92">$BJ$3</f>
        <v>212.24900914818096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32.052127834152351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2.7133043669008075</v>
      </c>
      <c r="BS69" s="24">
        <f t="shared" si="63"/>
        <v>34.765432201053159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7.5</v>
      </c>
      <c r="N70" s="14">
        <f>IF('Données projet'!$A$36&gt;35,N69+M70-V69,IF(A70&lt;'Données projet'!$A$36,$K$205^A70,IF(A70='Données projet'!$A$36,'Données projet'!$B$36,N69+M70-V69)))</f>
        <v>322.49999999999989</v>
      </c>
      <c r="O70" s="14">
        <f>N70*VLOOKUP('Données projet'!$B$9,Paramètres!$A$1:$I$89,3,0)*VLOOKUP('Données projet'!$B$9,Paramètres!$A$1:$I$89,5,0)</f>
        <v>150.92999999999995</v>
      </c>
      <c r="P70" s="14">
        <f t="shared" si="87"/>
        <v>38.789855371379041</v>
      </c>
      <c r="Q70" s="22">
        <f t="shared" si="54"/>
        <v>330.42874810515173</v>
      </c>
      <c r="R70" s="62">
        <f t="shared" si="55"/>
        <v>623.76208143848498</v>
      </c>
      <c r="S70" s="62">
        <f ca="1">AVERAGE(OFFSET($R$3,0,0,'Données projet'!$E$9+1,1))-AVERAGE(OFFSET($H$3,0,0,'Données projet'!$E$9+1,1))</f>
        <v>260.49759897936531</v>
      </c>
      <c r="T70" s="62">
        <f t="shared" si="88"/>
        <v>223.74038909289635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1.568993753216537</v>
      </c>
      <c r="AC70" s="24">
        <f t="shared" si="57"/>
        <v>1.568993753216537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5.6843418860808015E-14</v>
      </c>
      <c r="AJ70" s="14">
        <f>AI70*VLOOKUP('Données projet'!$B$10,Paramètres!$A$1:$I$89,3,0)*VLOOKUP('Données projet'!$B$10,Paramètres!$A$1:$I$89,5,0)</f>
        <v>4.9658410716801891E-14</v>
      </c>
      <c r="AK70" s="14">
        <f t="shared" si="89"/>
        <v>8.0934058173791862E-13</v>
      </c>
      <c r="AL70" s="22">
        <f t="shared" si="58"/>
        <v>1.4960899118586383E-12</v>
      </c>
      <c r="AM70" s="62">
        <f t="shared" si="59"/>
        <v>293.33333333333479</v>
      </c>
      <c r="AN70" s="62">
        <f ca="1">AVERAGE(OFFSET($AM$3,0,0,'Données projet'!$E$10+1,1))-AVERAGE(OFFSET($H$3,0,0,'Données projet'!$E$10+1,1))</f>
        <v>304.32767345253382</v>
      </c>
      <c r="AO70" s="62">
        <f t="shared" si="90"/>
        <v>427.16091343339173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77.762166953153923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77.762166953153923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14.3</v>
      </c>
      <c r="BD70" s="13">
        <f>IF('Données projet'!$A$88&gt;35,BD69+BC70-BL69,IF(A70&lt;'Données projet'!$A$88,$BA$205^A70,IF(A70='Données projet'!$A$88,'Données projet'!$B$88,BD69+BC70-BL69)))</f>
        <v>405.1</v>
      </c>
      <c r="BE70" s="14">
        <f>BD70*VLOOKUP('Données projet'!$B$11,Paramètres!$A$1:$I$89,3,0)*VLOOKUP('Données projet'!$B$11,Paramètres!$A$1:$I$89,5,0)</f>
        <v>242.24980000000005</v>
      </c>
      <c r="BF70" s="14">
        <f t="shared" si="91"/>
        <v>58.923322739321947</v>
      </c>
      <c r="BG70" s="22">
        <f t="shared" si="61"/>
        <v>524.54318877098581</v>
      </c>
      <c r="BH70" s="62">
        <f t="shared" si="62"/>
        <v>817.87652210431906</v>
      </c>
      <c r="BI70" s="62">
        <f ca="1">AVERAGE(OFFSET($BH$3,0,0,'Données projet'!$E$11+1,1))-AVERAGE(OFFSET($H$3,0,0,'Données projet'!$E$11+1,1))</f>
        <v>294.26495752303765</v>
      </c>
      <c r="BJ70" s="62">
        <f t="shared" si="92"/>
        <v>212.24900914818096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31.423605157192213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1.9185959172586333</v>
      </c>
      <c r="BS70" s="24">
        <f t="shared" si="63"/>
        <v>33.342201074450848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7.5</v>
      </c>
      <c r="N71" s="14">
        <f>IF('Données projet'!$A$36&gt;35,N70+M71-V70,IF(A71&lt;'Données projet'!$A$36,$K$205^A71,IF(A71='Données projet'!$A$36,'Données projet'!$B$36,N70+M71-V70)))</f>
        <v>329.99999999999989</v>
      </c>
      <c r="O71" s="14">
        <f>N71*VLOOKUP('Données projet'!$B$9,Paramètres!$A$1:$I$89,3,0)*VLOOKUP('Données projet'!$B$9,Paramètres!$A$1:$I$89,5,0)</f>
        <v>154.43999999999994</v>
      </c>
      <c r="P71" s="14">
        <f t="shared" si="87"/>
        <v>39.585872170955454</v>
      </c>
      <c r="Q71" s="22">
        <f t="shared" si="54"/>
        <v>337.92839403108059</v>
      </c>
      <c r="R71" s="62">
        <f t="shared" si="55"/>
        <v>631.2617273644139</v>
      </c>
      <c r="S71" s="62">
        <f ca="1">AVERAGE(OFFSET($R$3,0,0,'Données projet'!$E$9+1,1))-AVERAGE(OFFSET($H$3,0,0,'Données projet'!$E$9+1,1))</f>
        <v>260.49759897936531</v>
      </c>
      <c r="T71" s="62">
        <f t="shared" si="88"/>
        <v>223.74038909289635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1.1094461225387457</v>
      </c>
      <c r="AC71" s="24">
        <f t="shared" si="57"/>
        <v>1.1094461225387457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5.6843418860808015E-14</v>
      </c>
      <c r="AJ71" s="14">
        <f>AI71*VLOOKUP('Données projet'!$B$10,Paramètres!$A$1:$I$89,3,0)*VLOOKUP('Données projet'!$B$10,Paramètres!$A$1:$I$89,5,0)</f>
        <v>4.9658410716801891E-14</v>
      </c>
      <c r="AK71" s="14">
        <f t="shared" si="89"/>
        <v>8.0934058173791862E-13</v>
      </c>
      <c r="AL71" s="22">
        <f t="shared" si="58"/>
        <v>1.4960899118586383E-12</v>
      </c>
      <c r="AM71" s="62">
        <f t="shared" si="59"/>
        <v>293.33333333333479</v>
      </c>
      <c r="AN71" s="62">
        <f ca="1">AVERAGE(OFFSET($AM$3,0,0,'Données projet'!$E$10+1,1))-AVERAGE(OFFSET($H$3,0,0,'Données projet'!$E$10+1,1))</f>
        <v>304.32767345253382</v>
      </c>
      <c r="AO71" s="62">
        <f t="shared" si="90"/>
        <v>427.16091343339173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76.237298289441071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76.237298289441071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14.3</v>
      </c>
      <c r="BD71" s="13">
        <f>IF('Données projet'!$A$88&gt;35,BD70+BC71-BL70,IF(A71&lt;'Données projet'!$A$88,$BA$205^A71,IF(A71='Données projet'!$A$88,'Données projet'!$B$88,BD70+BC71-BL70)))</f>
        <v>419.40000000000003</v>
      </c>
      <c r="BE71" s="14">
        <f>BD71*VLOOKUP('Données projet'!$B$11,Paramètres!$A$1:$I$89,3,0)*VLOOKUP('Données projet'!$B$11,Paramètres!$A$1:$I$89,5,0)</f>
        <v>250.80120000000005</v>
      </c>
      <c r="BF71" s="14">
        <f t="shared" si="91"/>
        <v>60.757473811682686</v>
      </c>
      <c r="BG71" s="22">
        <f t="shared" si="61"/>
        <v>542.63135688868078</v>
      </c>
      <c r="BH71" s="62">
        <f t="shared" si="62"/>
        <v>835.96469022201404</v>
      </c>
      <c r="BI71" s="62">
        <f ca="1">AVERAGE(OFFSET($BH$3,0,0,'Données projet'!$E$11+1,1))-AVERAGE(OFFSET($H$3,0,0,'Données projet'!$E$11+1,1))</f>
        <v>294.26495752303765</v>
      </c>
      <c r="BJ71" s="62">
        <f t="shared" si="92"/>
        <v>212.24900914818096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30.807407426566286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1.3566521834504039</v>
      </c>
      <c r="BS71" s="24">
        <f t="shared" si="63"/>
        <v>32.164059610016693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7.5</v>
      </c>
      <c r="N72" s="14">
        <f>IF('Données projet'!$A$36&gt;35,N71+M72-V71,IF(A72&lt;'Données projet'!$A$36,$K$205^A72,IF(A72='Données projet'!$A$36,'Données projet'!$B$36,N71+M72-V71)))</f>
        <v>337.49999999999989</v>
      </c>
      <c r="O72" s="14">
        <f>N72*VLOOKUP('Données projet'!$B$9,Paramètres!$A$1:$I$89,3,0)*VLOOKUP('Données projet'!$B$9,Paramètres!$A$1:$I$89,5,0)</f>
        <v>157.94999999999996</v>
      </c>
      <c r="P72" s="14">
        <f t="shared" si="87"/>
        <v>40.379785735878301</v>
      </c>
      <c r="Q72" s="22">
        <f t="shared" si="54"/>
        <v>345.42437682332121</v>
      </c>
      <c r="R72" s="62">
        <f t="shared" si="55"/>
        <v>638.75771015665453</v>
      </c>
      <c r="S72" s="62">
        <f ca="1">AVERAGE(OFFSET($R$3,0,0,'Données projet'!$E$9+1,1))-AVERAGE(OFFSET($H$3,0,0,'Données projet'!$E$9+1,1))</f>
        <v>260.49759897936531</v>
      </c>
      <c r="T72" s="62">
        <f t="shared" si="88"/>
        <v>223.74038909289635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0.7844968766082685</v>
      </c>
      <c r="AC72" s="24">
        <f t="shared" si="57"/>
        <v>0.7844968766082685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5.6843418860808015E-14</v>
      </c>
      <c r="AJ72" s="14">
        <f>AI72*VLOOKUP('Données projet'!$B$10,Paramètres!$A$1:$I$89,3,0)*VLOOKUP('Données projet'!$B$10,Paramètres!$A$1:$I$89,5,0)</f>
        <v>4.9658410716801891E-14</v>
      </c>
      <c r="AK72" s="14">
        <f t="shared" si="89"/>
        <v>8.0934058173791862E-13</v>
      </c>
      <c r="AL72" s="22">
        <f t="shared" si="58"/>
        <v>1.4960899118586383E-12</v>
      </c>
      <c r="AM72" s="62">
        <f t="shared" si="59"/>
        <v>293.33333333333479</v>
      </c>
      <c r="AN72" s="62">
        <f ca="1">AVERAGE(OFFSET($AM$3,0,0,'Données projet'!$E$10+1,1))-AVERAGE(OFFSET($H$3,0,0,'Données projet'!$E$10+1,1))</f>
        <v>304.32767345253382</v>
      </c>
      <c r="AO72" s="62">
        <f t="shared" si="90"/>
        <v>427.16091343339173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74.742331370145578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74.742331370145578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14.3</v>
      </c>
      <c r="BD72" s="13">
        <f>IF('Données projet'!$A$88&gt;35,BD71+BC72-BL71,IF(A72&lt;'Données projet'!$A$88,$BA$205^A72,IF(A72='Données projet'!$A$88,'Données projet'!$B$88,BD71+BC72-BL71)))</f>
        <v>433.70000000000005</v>
      </c>
      <c r="BE72" s="14">
        <f>BD72*VLOOKUP('Données projet'!$B$11,Paramètres!$A$1:$I$89,3,0)*VLOOKUP('Données projet'!$B$11,Paramètres!$A$1:$I$89,5,0)</f>
        <v>259.35260000000005</v>
      </c>
      <c r="BF72" s="14">
        <f t="shared" si="91"/>
        <v>62.58435842101963</v>
      </c>
      <c r="BG72" s="22">
        <f t="shared" si="61"/>
        <v>560.70686924994254</v>
      </c>
      <c r="BH72" s="62">
        <f t="shared" si="62"/>
        <v>854.04020258327591</v>
      </c>
      <c r="BI72" s="62">
        <f ca="1">AVERAGE(OFFSET($BH$3,0,0,'Données projet'!$E$11+1,1))-AVERAGE(OFFSET($H$3,0,0,'Données projet'!$E$11+1,1))</f>
        <v>294.26495752303765</v>
      </c>
      <c r="BJ72" s="62">
        <f t="shared" si="92"/>
        <v>212.24900914818096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30.203292957594428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0.95929795862931677</v>
      </c>
      <c r="BS72" s="24">
        <f t="shared" si="63"/>
        <v>31.162590916223746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345</v>
      </c>
      <c r="L73" s="13">
        <f>VLOOKUP(A73,'Données projet'!$A$35:$I$55,9,0)</f>
        <v>7.5</v>
      </c>
      <c r="M73" s="13">
        <f t="array" ref="M73">INDEX(L:L,MIN(IF(ISNUMBER(L73:L269),ROW(L73:L269),"")))</f>
        <v>7.5</v>
      </c>
      <c r="N73" s="14">
        <f>IF('Données projet'!$A$36&gt;35,N72+M73-V72,IF(A73&lt;'Données projet'!$A$36,$K$205^A73,IF(A73='Données projet'!$A$36,'Données projet'!$B$36,N72+M73-V72)))</f>
        <v>344.99999999999989</v>
      </c>
      <c r="O73" s="14">
        <f>N73*VLOOKUP('Données projet'!$B$9,Paramètres!$A$1:$I$89,3,0)*VLOOKUP('Données projet'!$B$9,Paramètres!$A$1:$I$89,5,0)</f>
        <v>161.45999999999995</v>
      </c>
      <c r="P73" s="14">
        <f t="shared" si="87"/>
        <v>41.171648186302534</v>
      </c>
      <c r="Q73" s="22">
        <f t="shared" si="54"/>
        <v>352.91678725781009</v>
      </c>
      <c r="R73" s="62">
        <f t="shared" si="55"/>
        <v>646.2501205911434</v>
      </c>
      <c r="S73" s="62">
        <f ca="1">AVERAGE(OFFSET($R$3,0,0,'Données projet'!$E$9+1,1))-AVERAGE(OFFSET($H$3,0,0,'Données projet'!$E$9+1,1))</f>
        <v>260.49759897936531</v>
      </c>
      <c r="T73" s="62">
        <f t="shared" si="88"/>
        <v>223.74038909289635</v>
      </c>
      <c r="U73" s="16">
        <f>IF(ISNA(VLOOKUP(A73,'Données projet'!$A$35:$I$55,3,0)),0,VLOOKUP(A73,'Données projet'!$A$35:$I$55,3,0))</f>
        <v>3</v>
      </c>
      <c r="V73" s="16">
        <f>IF(ISNA(VLOOKUP(A73,'Données projet'!$A$35:$I$55,4,0)),0,VLOOKUP(A73,'Données projet'!$A$35:$I$55,4,0))</f>
        <v>69</v>
      </c>
      <c r="W73" s="17">
        <f>IF(ISNA(VLOOKUP(A73,'Données projet'!$A$35:$I$55,5,0)),0%,VLOOKUP(A73,'Données projet'!$A$35:$I$55,5,0)*VLOOKUP('Données projet'!$B$9,Paramètres!$A$1:$I$89,7,0))</f>
        <v>0.13750000000000001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0.75</v>
      </c>
      <c r="Z73" s="23">
        <f>EXP(-LN(2)/35)*Z72+(1-EXP(-LN(2)/35))/(LN(2)/35)*V73*W73*VLOOKUP('Données projet'!$B$9,Paramètres!$A$1:$I$89,3,0)*0.475*44/12</f>
        <v>5.8901451668198748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27.976257075062851</v>
      </c>
      <c r="AC73" s="24">
        <f t="shared" si="57"/>
        <v>33.866402241882724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5.6843418860808015E-14</v>
      </c>
      <c r="AJ73" s="14">
        <f>AI73*VLOOKUP('Données projet'!$B$10,Paramètres!$A$1:$I$89,3,0)*VLOOKUP('Données projet'!$B$10,Paramètres!$A$1:$I$89,5,0)</f>
        <v>4.9658410716801891E-14</v>
      </c>
      <c r="AK73" s="14">
        <f t="shared" si="89"/>
        <v>8.0934058173791862E-13</v>
      </c>
      <c r="AL73" s="22">
        <f t="shared" si="58"/>
        <v>1.4960899118586383E-12</v>
      </c>
      <c r="AM73" s="62">
        <f t="shared" si="59"/>
        <v>293.33333333333479</v>
      </c>
      <c r="AN73" s="62">
        <f ca="1">AVERAGE(OFFSET($AM$3,0,0,'Données projet'!$E$10+1,1))-AVERAGE(OFFSET($H$3,0,0,'Données projet'!$E$10+1,1))</f>
        <v>304.32767345253382</v>
      </c>
      <c r="AO73" s="62">
        <f t="shared" si="90"/>
        <v>427.16091343339173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73.276679840297689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73.276679840297689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448</v>
      </c>
      <c r="BB73" s="13">
        <f>VLOOKUP(A73,'Données projet'!$A$87:$I$107,9,0)</f>
        <v>14.3</v>
      </c>
      <c r="BC73" s="13">
        <f t="array" ref="BC73">INDEX(BB:BB,MIN(IF(ISNUMBER(BB73:BB269),ROW(BB73:BB269),"")))</f>
        <v>14.3</v>
      </c>
      <c r="BD73" s="13">
        <f>IF('Données projet'!$A$88&gt;35,BD72+BC73-BL72,IF(A73&lt;'Données projet'!$A$88,$BA$205^A73,IF(A73='Données projet'!$A$88,'Données projet'!$B$88,BD72+BC73-BL72)))</f>
        <v>448.00000000000006</v>
      </c>
      <c r="BE73" s="14">
        <f>BD73*VLOOKUP('Données projet'!$B$11,Paramètres!$A$1:$I$89,3,0)*VLOOKUP('Données projet'!$B$11,Paramètres!$A$1:$I$89,5,0)</f>
        <v>267.90400000000005</v>
      </c>
      <c r="BF73" s="14">
        <f t="shared" si="91"/>
        <v>64.404243631863267</v>
      </c>
      <c r="BG73" s="22">
        <f t="shared" si="61"/>
        <v>578.77019099216193</v>
      </c>
      <c r="BH73" s="62">
        <f t="shared" si="62"/>
        <v>872.1035243254953</v>
      </c>
      <c r="BI73" s="62">
        <f ca="1">AVERAGE(OFFSET($BH$3,0,0,'Données projet'!$E$11+1,1))-AVERAGE(OFFSET($H$3,0,0,'Données projet'!$E$11+1,1))</f>
        <v>294.26495752303765</v>
      </c>
      <c r="BJ73" s="62">
        <f t="shared" si="92"/>
        <v>212.24900914818096</v>
      </c>
      <c r="BK73" s="16">
        <f>IF(ISNA(VLOOKUP(A73,'Données projet'!$A$87:$I$107,3,0)),0,VLOOKUP(A73,'Données projet'!$A$87:$I$107,3,0))</f>
        <v>7</v>
      </c>
      <c r="BL73" s="16">
        <f>IF(ISNA(VLOOKUP(A73,'Données projet'!$A$87:$I$107,4,0)),0,VLOOKUP(A73,'Données projet'!$A$87:$I$107,4,0))</f>
        <v>78</v>
      </c>
      <c r="BM73" s="17">
        <f>IF(ISNA(VLOOKUP(A73,'Données projet'!$A$87:$I$107,5,0)),0%,VLOOKUP(A73,'Données projet'!$A$87:$I$107,5,0)*VLOOKUP('Données projet'!$B$11,Paramètres!$A$1:$I$89,7,0))</f>
        <v>0.36000000000000004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0.2</v>
      </c>
      <c r="BP73" s="23">
        <f>EXP(-LN(2)/35)*BP72+(1-EXP(-LN(2)/35))/(LN(2)/35)*BL73*BM73*VLOOKUP('Données projet'!$B$11,Paramètres!$A$1:$I$89,3,0)*0.475*44/12</f>
        <v>51.886482890313559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11.240694748890098</v>
      </c>
      <c r="BS73" s="24">
        <f t="shared" si="63"/>
        <v>63.127177639203659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7.7</v>
      </c>
      <c r="N74" s="14">
        <f>IF('Données projet'!$A$36&gt;35,N73+M74-V73,IF(A74&lt;'Données projet'!$A$36,$K$205^A74,IF(A74='Données projet'!$A$36,'Données projet'!$B$36,N73+M74-V73)))</f>
        <v>283.69999999999987</v>
      </c>
      <c r="O74" s="14">
        <f>N74*VLOOKUP('Données projet'!$B$9,Paramètres!$A$1:$I$89,3,0)*VLOOKUP('Données projet'!$B$9,Paramètres!$A$1:$I$89,5,0)</f>
        <v>132.77159999999995</v>
      </c>
      <c r="P74" s="14">
        <f t="shared" si="87"/>
        <v>34.636006283186532</v>
      </c>
      <c r="Q74" s="22">
        <f t="shared" si="54"/>
        <v>291.56824760988314</v>
      </c>
      <c r="R74" s="62">
        <f t="shared" si="55"/>
        <v>584.90158094321646</v>
      </c>
      <c r="S74" s="62">
        <f ca="1">AVERAGE(OFFSET($R$3,0,0,'Données projet'!$E$9+1,1))-AVERAGE(OFFSET($H$3,0,0,'Données projet'!$E$9+1,1))</f>
        <v>260.49759897936531</v>
      </c>
      <c r="T74" s="62">
        <f t="shared" si="88"/>
        <v>223.74038909289635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5.774643012732346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19.78220108999507</v>
      </c>
      <c r="AC74" s="24">
        <f t="shared" si="57"/>
        <v>25.556844102727418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5.6843418860808015E-14</v>
      </c>
      <c r="AJ74" s="14">
        <f>AI74*VLOOKUP('Données projet'!$B$10,Paramètres!$A$1:$I$89,3,0)*VLOOKUP('Données projet'!$B$10,Paramètres!$A$1:$I$89,5,0)</f>
        <v>4.9658410716801891E-14</v>
      </c>
      <c r="AK74" s="14">
        <f t="shared" si="89"/>
        <v>8.0934058173791862E-13</v>
      </c>
      <c r="AL74" s="22">
        <f t="shared" si="58"/>
        <v>1.4960899118586383E-12</v>
      </c>
      <c r="AM74" s="62">
        <f t="shared" si="59"/>
        <v>293.33333333333479</v>
      </c>
      <c r="AN74" s="62">
        <f ca="1">AVERAGE(OFFSET($AM$3,0,0,'Données projet'!$E$10+1,1))-AVERAGE(OFFSET($H$3,0,0,'Données projet'!$E$10+1,1))</f>
        <v>304.32767345253382</v>
      </c>
      <c r="AO74" s="62">
        <f t="shared" si="90"/>
        <v>427.16091343339173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71.839768842990949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71.839768842990949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9</v>
      </c>
      <c r="BD74" s="13">
        <f>IF('Données projet'!$A$88&gt;35,BD73+BC74-BL73,IF(A74&lt;'Données projet'!$A$88,$BA$205^A74,IF(A74='Données projet'!$A$88,'Données projet'!$B$88,BD73+BC74-BL73)))</f>
        <v>379.00000000000006</v>
      </c>
      <c r="BE74" s="14">
        <f>BD74*VLOOKUP('Données projet'!$B$11,Paramètres!$A$1:$I$89,3,0)*VLOOKUP('Données projet'!$B$11,Paramètres!$A$1:$I$89,5,0)</f>
        <v>226.64200000000005</v>
      </c>
      <c r="BF74" s="14">
        <f t="shared" si="91"/>
        <v>55.555983079812862</v>
      </c>
      <c r="BG74" s="22">
        <f t="shared" si="61"/>
        <v>491.49482053067408</v>
      </c>
      <c r="BH74" s="62">
        <f t="shared" si="62"/>
        <v>784.82815386400739</v>
      </c>
      <c r="BI74" s="62">
        <f ca="1">AVERAGE(OFFSET($BH$3,0,0,'Données projet'!$E$11+1,1))-AVERAGE(OFFSET($H$3,0,0,'Données projet'!$E$11+1,1))</f>
        <v>294.26495752303765</v>
      </c>
      <c r="BJ74" s="62">
        <f t="shared" si="92"/>
        <v>212.24900914818096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50.869020608464126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7.9483714821882048</v>
      </c>
      <c r="BS74" s="24">
        <f t="shared" si="63"/>
        <v>58.817392090652334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7.7</v>
      </c>
      <c r="N75" s="14">
        <f>IF('Données projet'!$A$36&gt;35,N74+M75-V74,IF(A75&lt;'Données projet'!$A$36,$K$205^A75,IF(A75='Données projet'!$A$36,'Données projet'!$B$36,N74+M75-V74)))</f>
        <v>291.39999999999986</v>
      </c>
      <c r="O75" s="14">
        <f>N75*VLOOKUP('Données projet'!$B$9,Paramètres!$A$1:$I$89,3,0)*VLOOKUP('Données projet'!$B$9,Paramètres!$A$1:$I$89,5,0)</f>
        <v>136.37519999999995</v>
      </c>
      <c r="P75" s="14">
        <f t="shared" si="87"/>
        <v>35.465351191683979</v>
      </c>
      <c r="Q75" s="22">
        <f t="shared" si="54"/>
        <v>299.28895999218281</v>
      </c>
      <c r="R75" s="62">
        <f t="shared" si="55"/>
        <v>592.62229332551613</v>
      </c>
      <c r="S75" s="62">
        <f ca="1">AVERAGE(OFFSET($R$3,0,0,'Données projet'!$E$9+1,1))-AVERAGE(OFFSET($H$3,0,0,'Données projet'!$E$9+1,1))</f>
        <v>260.49759897936531</v>
      </c>
      <c r="T75" s="62">
        <f t="shared" si="88"/>
        <v>223.74038909289635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5.6614057854371156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13.988128537531427</v>
      </c>
      <c r="AC75" s="24">
        <f t="shared" si="57"/>
        <v>19.649534322968542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5.6843418860808015E-14</v>
      </c>
      <c r="AJ75" s="14">
        <f>AI75*VLOOKUP('Données projet'!$B$10,Paramètres!$A$1:$I$89,3,0)*VLOOKUP('Données projet'!$B$10,Paramètres!$A$1:$I$89,5,0)</f>
        <v>4.9658410716801891E-14</v>
      </c>
      <c r="AK75" s="14">
        <f t="shared" si="89"/>
        <v>8.0934058173791862E-13</v>
      </c>
      <c r="AL75" s="22">
        <f t="shared" si="58"/>
        <v>1.4960899118586383E-12</v>
      </c>
      <c r="AM75" s="62">
        <f t="shared" si="59"/>
        <v>293.33333333333479</v>
      </c>
      <c r="AN75" s="62">
        <f ca="1">AVERAGE(OFFSET($AM$3,0,0,'Données projet'!$E$10+1,1))-AVERAGE(OFFSET($H$3,0,0,'Données projet'!$E$10+1,1))</f>
        <v>304.32767345253382</v>
      </c>
      <c r="AO75" s="62">
        <f t="shared" si="90"/>
        <v>427.16091343339173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70.431034793912232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70.431034793912232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9</v>
      </c>
      <c r="BD75" s="13">
        <f>IF('Données projet'!$A$88&gt;35,BD74+BC75-BL74,IF(A75&lt;'Données projet'!$A$88,$BA$205^A75,IF(A75='Données projet'!$A$88,'Données projet'!$B$88,BD74+BC75-BL74)))</f>
        <v>388.00000000000006</v>
      </c>
      <c r="BE75" s="14">
        <f>BD75*VLOOKUP('Données projet'!$B$11,Paramètres!$A$1:$I$89,3,0)*VLOOKUP('Données projet'!$B$11,Paramètres!$A$1:$I$89,5,0)</f>
        <v>232.02400000000006</v>
      </c>
      <c r="BF75" s="14">
        <f t="shared" si="91"/>
        <v>56.720094243161071</v>
      </c>
      <c r="BG75" s="22">
        <f t="shared" si="61"/>
        <v>502.89596414017234</v>
      </c>
      <c r="BH75" s="62">
        <f t="shared" si="62"/>
        <v>796.22929747350565</v>
      </c>
      <c r="BI75" s="62">
        <f ca="1">AVERAGE(OFFSET($BH$3,0,0,'Données projet'!$E$11+1,1))-AVERAGE(OFFSET($H$3,0,0,'Données projet'!$E$11+1,1))</f>
        <v>294.26495752303765</v>
      </c>
      <c r="BJ75" s="62">
        <f t="shared" si="92"/>
        <v>212.24900914818096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49.871510141371047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5.6203473744450498</v>
      </c>
      <c r="BS75" s="24">
        <f t="shared" si="63"/>
        <v>55.491857515816093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7.7</v>
      </c>
      <c r="N76" s="14">
        <f>IF('Données projet'!$A$36&gt;35,N75+M76-V75,IF(A76&lt;'Données projet'!$A$36,$K$205^A76,IF(A76='Données projet'!$A$36,'Données projet'!$B$36,N75+M76-V75)))</f>
        <v>299.09999999999985</v>
      </c>
      <c r="O76" s="14">
        <f>N76*VLOOKUP('Données projet'!$B$9,Paramètres!$A$1:$I$89,3,0)*VLOOKUP('Données projet'!$B$9,Paramètres!$A$1:$I$89,5,0)</f>
        <v>139.97879999999992</v>
      </c>
      <c r="P76" s="14">
        <f t="shared" si="87"/>
        <v>36.292148829903653</v>
      </c>
      <c r="Q76" s="22">
        <f t="shared" si="54"/>
        <v>307.00523587874869</v>
      </c>
      <c r="R76" s="62">
        <f t="shared" si="55"/>
        <v>600.33856921208201</v>
      </c>
      <c r="S76" s="62">
        <f ca="1">AVERAGE(OFFSET($R$3,0,0,'Données projet'!$E$9+1,1))-AVERAGE(OFFSET($H$3,0,0,'Données projet'!$E$9+1,1))</f>
        <v>260.49759897936531</v>
      </c>
      <c r="T76" s="62">
        <f t="shared" si="88"/>
        <v>223.74038909289635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5.5503890711012556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9.8911005449975367</v>
      </c>
      <c r="AC76" s="24">
        <f t="shared" si="57"/>
        <v>15.441489616098792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5.6843418860808015E-14</v>
      </c>
      <c r="AJ76" s="14">
        <f>AI76*VLOOKUP('Données projet'!$B$10,Paramètres!$A$1:$I$89,3,0)*VLOOKUP('Données projet'!$B$10,Paramètres!$A$1:$I$89,5,0)</f>
        <v>4.9658410716801891E-14</v>
      </c>
      <c r="AK76" s="14">
        <f t="shared" si="89"/>
        <v>8.0934058173791862E-13</v>
      </c>
      <c r="AL76" s="22">
        <f t="shared" si="58"/>
        <v>1.4960899118586383E-12</v>
      </c>
      <c r="AM76" s="62">
        <f t="shared" si="59"/>
        <v>293.33333333333479</v>
      </c>
      <c r="AN76" s="62">
        <f ca="1">AVERAGE(OFFSET($AM$3,0,0,'Données projet'!$E$10+1,1))-AVERAGE(OFFSET($H$3,0,0,'Données projet'!$E$10+1,1))</f>
        <v>304.32767345253382</v>
      </c>
      <c r="AO76" s="62">
        <f t="shared" si="90"/>
        <v>427.16091343339173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69.049925160293014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69.049925160293014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9</v>
      </c>
      <c r="BD76" s="13">
        <f>IF('Données projet'!$A$88&gt;35,BD75+BC76-BL75,IF(A76&lt;'Données projet'!$A$88,$BA$205^A76,IF(A76='Données projet'!$A$88,'Données projet'!$B$88,BD75+BC76-BL75)))</f>
        <v>397.00000000000006</v>
      </c>
      <c r="BE76" s="14">
        <f>BD76*VLOOKUP('Données projet'!$B$11,Paramètres!$A$1:$I$89,3,0)*VLOOKUP('Données projet'!$B$11,Paramètres!$A$1:$I$89,5,0)</f>
        <v>237.40600000000006</v>
      </c>
      <c r="BF76" s="14">
        <f t="shared" si="91"/>
        <v>57.881066248213493</v>
      </c>
      <c r="BG76" s="22">
        <f t="shared" si="61"/>
        <v>514.29164038230522</v>
      </c>
      <c r="BH76" s="62">
        <f t="shared" si="62"/>
        <v>807.62497371563859</v>
      </c>
      <c r="BI76" s="62">
        <f ca="1">AVERAGE(OFFSET($BH$3,0,0,'Données projet'!$E$11+1,1))-AVERAGE(OFFSET($H$3,0,0,'Données projet'!$E$11+1,1))</f>
        <v>294.26495752303765</v>
      </c>
      <c r="BJ76" s="62">
        <f t="shared" si="92"/>
        <v>212.24900914818096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48.893560246116358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3.9741857410941028</v>
      </c>
      <c r="BS76" s="24">
        <f t="shared" si="63"/>
        <v>52.867745987210462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7.7</v>
      </c>
      <c r="N77" s="14">
        <f>IF('Données projet'!$A$36&gt;35,N76+M77-V76,IF(A77&lt;'Données projet'!$A$36,$K$205^A77,IF(A77='Données projet'!$A$36,'Données projet'!$B$36,N76+M77-V76)))</f>
        <v>306.79999999999984</v>
      </c>
      <c r="O77" s="14">
        <f>N77*VLOOKUP('Données projet'!$B$9,Paramètres!$A$1:$I$89,3,0)*VLOOKUP('Données projet'!$B$9,Paramètres!$A$1:$I$89,5,0)</f>
        <v>143.58239999999992</v>
      </c>
      <c r="P77" s="14">
        <f t="shared" si="87"/>
        <v>37.116472314400653</v>
      </c>
      <c r="Q77" s="22">
        <f t="shared" si="54"/>
        <v>314.71720261424764</v>
      </c>
      <c r="R77" s="62">
        <f t="shared" si="55"/>
        <v>608.05053594758101</v>
      </c>
      <c r="S77" s="62">
        <f ca="1">AVERAGE(OFFSET($R$3,0,0,'Données projet'!$E$9+1,1))-AVERAGE(OFFSET($H$3,0,0,'Données projet'!$E$9+1,1))</f>
        <v>260.49759897936531</v>
      </c>
      <c r="T77" s="62">
        <f t="shared" si="88"/>
        <v>223.74038909289635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5.4415493268200121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6.9940642687657144</v>
      </c>
      <c r="AC77" s="24">
        <f t="shared" si="57"/>
        <v>12.435613595585727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5.6843418860808015E-14</v>
      </c>
      <c r="AJ77" s="14">
        <f>AI77*VLOOKUP('Données projet'!$B$10,Paramètres!$A$1:$I$89,3,0)*VLOOKUP('Données projet'!$B$10,Paramètres!$A$1:$I$89,5,0)</f>
        <v>4.9658410716801891E-14</v>
      </c>
      <c r="AK77" s="14">
        <f t="shared" si="89"/>
        <v>8.0934058173791862E-13</v>
      </c>
      <c r="AL77" s="22">
        <f t="shared" si="58"/>
        <v>1.4960899118586383E-12</v>
      </c>
      <c r="AM77" s="62">
        <f t="shared" si="59"/>
        <v>293.33333333333479</v>
      </c>
      <c r="AN77" s="62">
        <f ca="1">AVERAGE(OFFSET($AM$3,0,0,'Données projet'!$E$10+1,1))-AVERAGE(OFFSET($H$3,0,0,'Données projet'!$E$10+1,1))</f>
        <v>304.32767345253382</v>
      </c>
      <c r="AO77" s="62">
        <f t="shared" si="90"/>
        <v>427.16091343339173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67.695898244195376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67.695898244195376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9</v>
      </c>
      <c r="BD77" s="13">
        <f>IF('Données projet'!$A$88&gt;35,BD76+BC77-BL76,IF(A77&lt;'Données projet'!$A$88,$BA$205^A77,IF(A77='Données projet'!$A$88,'Données projet'!$B$88,BD76+BC77-BL76)))</f>
        <v>406.00000000000006</v>
      </c>
      <c r="BE77" s="14">
        <f>BD77*VLOOKUP('Données projet'!$B$11,Paramètres!$A$1:$I$89,3,0)*VLOOKUP('Données projet'!$B$11,Paramètres!$A$1:$I$89,5,0)</f>
        <v>242.78800000000007</v>
      </c>
      <c r="BF77" s="14">
        <f t="shared" si="91"/>
        <v>59.038978452354563</v>
      </c>
      <c r="BG77" s="22">
        <f t="shared" si="61"/>
        <v>525.68198747118436</v>
      </c>
      <c r="BH77" s="62">
        <f t="shared" si="62"/>
        <v>819.01532080451761</v>
      </c>
      <c r="BI77" s="62">
        <f ca="1">AVERAGE(OFFSET($BH$3,0,0,'Données projet'!$E$11+1,1))-AVERAGE(OFFSET($H$3,0,0,'Données projet'!$E$11+1,1))</f>
        <v>294.26495752303765</v>
      </c>
      <c r="BJ77" s="62">
        <f t="shared" si="92"/>
        <v>212.24900914818096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47.934787351817079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2.8101736872225254</v>
      </c>
      <c r="BS77" s="24">
        <f t="shared" si="63"/>
        <v>50.744961039039602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7.7</v>
      </c>
      <c r="N78" s="14">
        <f>IF('Données projet'!$A$36&gt;35,N77+M78-V77,IF(A78&lt;'Données projet'!$A$36,$K$205^A78,IF(A78='Données projet'!$A$36,'Données projet'!$B$36,N77+M78-V77)))</f>
        <v>314.49999999999983</v>
      </c>
      <c r="O78" s="14">
        <f>N78*VLOOKUP('Données projet'!$B$9,Paramètres!$A$1:$I$89,3,0)*VLOOKUP('Données projet'!$B$9,Paramètres!$A$1:$I$89,5,0)</f>
        <v>147.18599999999992</v>
      </c>
      <c r="P78" s="14">
        <f t="shared" si="87"/>
        <v>37.938390882441325</v>
      </c>
      <c r="Q78" s="22">
        <f t="shared" si="54"/>
        <v>322.42498078691847</v>
      </c>
      <c r="R78" s="62">
        <f t="shared" si="55"/>
        <v>615.75831412025173</v>
      </c>
      <c r="S78" s="62">
        <f ca="1">AVERAGE(OFFSET($R$3,0,0,'Données projet'!$E$9+1,1))-AVERAGE(OFFSET($H$3,0,0,'Données projet'!$E$9+1,1))</f>
        <v>260.49759897936531</v>
      </c>
      <c r="T78" s="62">
        <f t="shared" si="88"/>
        <v>223.74038909289635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5.3348438635384356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4.9455502724987692</v>
      </c>
      <c r="AC78" s="24">
        <f t="shared" si="57"/>
        <v>10.280394136037206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5.6843418860808015E-14</v>
      </c>
      <c r="AJ78" s="14">
        <f>AI78*VLOOKUP('Données projet'!$B$10,Paramètres!$A$1:$I$89,3,0)*VLOOKUP('Données projet'!$B$10,Paramètres!$A$1:$I$89,5,0)</f>
        <v>4.9658410716801891E-14</v>
      </c>
      <c r="AK78" s="14">
        <f t="shared" si="89"/>
        <v>8.0934058173791862E-13</v>
      </c>
      <c r="AL78" s="22">
        <f t="shared" si="58"/>
        <v>1.4960899118586383E-12</v>
      </c>
      <c r="AM78" s="62">
        <f t="shared" si="59"/>
        <v>293.33333333333479</v>
      </c>
      <c r="AN78" s="62">
        <f ca="1">AVERAGE(OFFSET($AM$3,0,0,'Données projet'!$E$10+1,1))-AVERAGE(OFFSET($H$3,0,0,'Données projet'!$E$10+1,1))</f>
        <v>304.32767345253382</v>
      </c>
      <c r="AO78" s="62">
        <f t="shared" si="90"/>
        <v>427.16091343339173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66.368422970047547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66.368422970047547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9</v>
      </c>
      <c r="BD78" s="13">
        <f>IF('Données projet'!$A$88&gt;35,BD77+BC78-BL77,IF(A78&lt;'Données projet'!$A$88,$BA$205^A78,IF(A78='Données projet'!$A$88,'Données projet'!$B$88,BD77+BC78-BL77)))</f>
        <v>415.00000000000006</v>
      </c>
      <c r="BE78" s="14">
        <f>BD78*VLOOKUP('Données projet'!$B$11,Paramètres!$A$1:$I$89,3,0)*VLOOKUP('Données projet'!$B$11,Paramètres!$A$1:$I$89,5,0)</f>
        <v>248.17000000000004</v>
      </c>
      <c r="BF78" s="14">
        <f t="shared" si="91"/>
        <v>60.193906493778854</v>
      </c>
      <c r="BG78" s="22">
        <f t="shared" si="61"/>
        <v>537.06713714333159</v>
      </c>
      <c r="BH78" s="62">
        <f t="shared" si="62"/>
        <v>830.40047047666485</v>
      </c>
      <c r="BI78" s="62">
        <f ca="1">AVERAGE(OFFSET($BH$3,0,0,'Données projet'!$E$11+1,1))-AVERAGE(OFFSET($H$3,0,0,'Données projet'!$E$11+1,1))</f>
        <v>294.26495752303765</v>
      </c>
      <c r="BJ78" s="62">
        <f t="shared" si="92"/>
        <v>212.24900914818096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46.994815409181285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1.9870928705470519</v>
      </c>
      <c r="BS78" s="24">
        <f t="shared" si="63"/>
        <v>48.981908279728337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7.7</v>
      </c>
      <c r="N79" s="14">
        <f>IF('Données projet'!$A$36&gt;35,N78+M79-V78,IF(A79&lt;'Données projet'!$A$36,$K$205^A79,IF(A79='Données projet'!$A$36,'Données projet'!$B$36,N78+M79-V78)))</f>
        <v>322.19999999999982</v>
      </c>
      <c r="O79" s="14">
        <f>N79*VLOOKUP('Données projet'!$B$9,Paramètres!$A$1:$I$89,3,0)*VLOOKUP('Données projet'!$B$9,Paramètres!$A$1:$I$89,5,0)</f>
        <v>150.78959999999992</v>
      </c>
      <c r="P79" s="14">
        <f t="shared" si="87"/>
        <v>38.757970187689686</v>
      </c>
      <c r="Q79" s="22">
        <f t="shared" si="54"/>
        <v>330.1286847435594</v>
      </c>
      <c r="R79" s="62">
        <f t="shared" si="55"/>
        <v>623.46201807689272</v>
      </c>
      <c r="S79" s="62">
        <f ca="1">AVERAGE(OFFSET($R$3,0,0,'Données projet'!$E$9+1,1))-AVERAGE(OFFSET($H$3,0,0,'Données projet'!$E$9+1,1))</f>
        <v>260.49759897936531</v>
      </c>
      <c r="T79" s="62">
        <f t="shared" si="88"/>
        <v>223.74038909289635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5.2302308293079047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3.4970321343828581</v>
      </c>
      <c r="AC79" s="24">
        <f t="shared" si="57"/>
        <v>8.7272629636907624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5.6843418860808015E-14</v>
      </c>
      <c r="AJ79" s="14">
        <f>AI79*VLOOKUP('Données projet'!$B$10,Paramètres!$A$1:$I$89,3,0)*VLOOKUP('Données projet'!$B$10,Paramètres!$A$1:$I$89,5,0)</f>
        <v>4.9658410716801891E-14</v>
      </c>
      <c r="AK79" s="14">
        <f t="shared" si="89"/>
        <v>8.0934058173791862E-13</v>
      </c>
      <c r="AL79" s="22">
        <f t="shared" si="58"/>
        <v>1.4960899118586383E-12</v>
      </c>
      <c r="AM79" s="62">
        <f t="shared" si="59"/>
        <v>293.33333333333479</v>
      </c>
      <c r="AN79" s="62">
        <f ca="1">AVERAGE(OFFSET($AM$3,0,0,'Données projet'!$E$10+1,1))-AVERAGE(OFFSET($H$3,0,0,'Données projet'!$E$10+1,1))</f>
        <v>304.32767345253382</v>
      </c>
      <c r="AO79" s="62">
        <f t="shared" si="90"/>
        <v>427.16091343339173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65.066978676345784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65.066978676345784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9</v>
      </c>
      <c r="BD79" s="13">
        <f>IF('Données projet'!$A$88&gt;35,BD78+BC79-BL78,IF(A79&lt;'Données projet'!$A$88,$BA$205^A79,IF(A79='Données projet'!$A$88,'Données projet'!$B$88,BD78+BC79-BL78)))</f>
        <v>424.00000000000006</v>
      </c>
      <c r="BE79" s="14">
        <f>BD79*VLOOKUP('Données projet'!$B$11,Paramètres!$A$1:$I$89,3,0)*VLOOKUP('Données projet'!$B$11,Paramètres!$A$1:$I$89,5,0)</f>
        <v>253.55200000000005</v>
      </c>
      <c r="BF79" s="14">
        <f t="shared" si="91"/>
        <v>61.345922542613486</v>
      </c>
      <c r="BG79" s="22">
        <f t="shared" si="61"/>
        <v>548.44721509505189</v>
      </c>
      <c r="BH79" s="62">
        <f t="shared" si="62"/>
        <v>841.78054842838515</v>
      </c>
      <c r="BI79" s="62">
        <f ca="1">AVERAGE(OFFSET($BH$3,0,0,'Données projet'!$E$11+1,1))-AVERAGE(OFFSET($H$3,0,0,'Données projet'!$E$11+1,1))</f>
        <v>294.26495752303765</v>
      </c>
      <c r="BJ79" s="62">
        <f t="shared" si="92"/>
        <v>212.24900914818096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46.073275743014307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1.4050868436112629</v>
      </c>
      <c r="BS79" s="24">
        <f t="shared" si="63"/>
        <v>47.478362586625572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7.7</v>
      </c>
      <c r="N80" s="14">
        <f>IF('Données projet'!$A$36&gt;35,N79+M80-V79,IF(A80&lt;'Données projet'!$A$36,$K$205^A80,IF(A80='Données projet'!$A$36,'Données projet'!$B$36,N79+M80-V79)))</f>
        <v>329.89999999999981</v>
      </c>
      <c r="O80" s="14">
        <f>N80*VLOOKUP('Données projet'!$B$9,Paramètres!$A$1:$I$89,3,0)*VLOOKUP('Données projet'!$B$9,Paramètres!$A$1:$I$89,5,0)</f>
        <v>154.39319999999989</v>
      </c>
      <c r="P80" s="14">
        <f t="shared" si="87"/>
        <v>39.575272566832453</v>
      </c>
      <c r="Q80" s="22">
        <f t="shared" si="54"/>
        <v>337.82842305389971</v>
      </c>
      <c r="R80" s="62">
        <f t="shared" si="55"/>
        <v>631.16175638723303</v>
      </c>
      <c r="S80" s="62">
        <f ca="1">AVERAGE(OFFSET($R$3,0,0,'Données projet'!$E$9+1,1))-AVERAGE(OFFSET($H$3,0,0,'Données projet'!$E$9+1,1))</f>
        <v>260.49759897936531</v>
      </c>
      <c r="T80" s="62">
        <f t="shared" si="88"/>
        <v>223.74038909289635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5.1276691928709841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2.4727751362493851</v>
      </c>
      <c r="AC80" s="24">
        <f t="shared" si="57"/>
        <v>7.6004443291203696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5.6843418860808015E-14</v>
      </c>
      <c r="AJ80" s="14">
        <f>AI80*VLOOKUP('Données projet'!$B$10,Paramètres!$A$1:$I$89,3,0)*VLOOKUP('Données projet'!$B$10,Paramètres!$A$1:$I$89,5,0)</f>
        <v>4.9658410716801891E-14</v>
      </c>
      <c r="AK80" s="14">
        <f t="shared" si="89"/>
        <v>8.0934058173791862E-13</v>
      </c>
      <c r="AL80" s="22">
        <f t="shared" si="58"/>
        <v>1.4960899118586383E-12</v>
      </c>
      <c r="AM80" s="62">
        <f t="shared" si="59"/>
        <v>293.33333333333479</v>
      </c>
      <c r="AN80" s="62">
        <f ca="1">AVERAGE(OFFSET($AM$3,0,0,'Données projet'!$E$10+1,1))-AVERAGE(OFFSET($H$3,0,0,'Données projet'!$E$10+1,1))</f>
        <v>304.32767345253382</v>
      </c>
      <c r="AO80" s="62">
        <f t="shared" si="90"/>
        <v>427.16091343339173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63.791054911440874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63.791054911440874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9</v>
      </c>
      <c r="BD80" s="13">
        <f>IF('Données projet'!$A$88&gt;35,BD79+BC80-BL79,IF(A80&lt;'Données projet'!$A$88,$BA$205^A80,IF(A80='Données projet'!$A$88,'Données projet'!$B$88,BD79+BC80-BL79)))</f>
        <v>433.00000000000006</v>
      </c>
      <c r="BE80" s="14">
        <f>BD80*VLOOKUP('Données projet'!$B$11,Paramètres!$A$1:$I$89,3,0)*VLOOKUP('Données projet'!$B$11,Paramètres!$A$1:$I$89,5,0)</f>
        <v>258.93400000000008</v>
      </c>
      <c r="BF80" s="14">
        <f t="shared" si="91"/>
        <v>62.495095530116075</v>
      </c>
      <c r="BG80" s="22">
        <f t="shared" si="61"/>
        <v>559.82234138161891</v>
      </c>
      <c r="BH80" s="62">
        <f t="shared" si="62"/>
        <v>853.15567471495228</v>
      </c>
      <c r="BI80" s="62">
        <f ca="1">AVERAGE(OFFSET($BH$3,0,0,'Données projet'!$E$11+1,1))-AVERAGE(OFFSET($H$3,0,0,'Données projet'!$E$11+1,1))</f>
        <v>294.26495752303765</v>
      </c>
      <c r="BJ80" s="62">
        <f t="shared" si="92"/>
        <v>212.24900914818096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45.169806907617165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0.99354643527352604</v>
      </c>
      <c r="BS80" s="24">
        <f t="shared" si="63"/>
        <v>46.163353342890694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7.7</v>
      </c>
      <c r="N81" s="14">
        <f>IF('Données projet'!$A$36&gt;35,N80+M81-V80,IF(A81&lt;'Données projet'!$A$36,$K$205^A81,IF(A81='Données projet'!$A$36,'Données projet'!$B$36,N80+M81-V80)))</f>
        <v>337.5999999999998</v>
      </c>
      <c r="O81" s="14">
        <f>N81*VLOOKUP('Données projet'!$B$9,Paramètres!$A$1:$I$89,3,0)*VLOOKUP('Données projet'!$B$9,Paramètres!$A$1:$I$89,5,0)</f>
        <v>157.99679999999989</v>
      </c>
      <c r="P81" s="14">
        <f t="shared" si="87"/>
        <v>40.39035728060999</v>
      </c>
      <c r="Q81" s="22">
        <f t="shared" si="54"/>
        <v>345.52429893039556</v>
      </c>
      <c r="R81" s="62">
        <f t="shared" si="55"/>
        <v>638.85763226372887</v>
      </c>
      <c r="S81" s="62">
        <f ca="1">AVERAGE(OFFSET($R$3,0,0,'Données projet'!$E$9+1,1))-AVERAGE(OFFSET($H$3,0,0,'Données projet'!$E$9+1,1))</f>
        <v>260.49759897936531</v>
      </c>
      <c r="T81" s="62">
        <f t="shared" si="88"/>
        <v>223.74038909289635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5.0271187275681699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1.7485160671914293</v>
      </c>
      <c r="AC81" s="24">
        <f t="shared" si="57"/>
        <v>6.7756347947595987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5.6843418860808015E-14</v>
      </c>
      <c r="AJ81" s="14">
        <f>AI81*VLOOKUP('Données projet'!$B$10,Paramètres!$A$1:$I$89,3,0)*VLOOKUP('Données projet'!$B$10,Paramètres!$A$1:$I$89,5,0)</f>
        <v>4.9658410716801891E-14</v>
      </c>
      <c r="AK81" s="14">
        <f t="shared" si="89"/>
        <v>8.0934058173791862E-13</v>
      </c>
      <c r="AL81" s="22">
        <f t="shared" si="58"/>
        <v>1.4960899118586383E-12</v>
      </c>
      <c r="AM81" s="62">
        <f t="shared" si="59"/>
        <v>293.33333333333479</v>
      </c>
      <c r="AN81" s="62">
        <f ca="1">AVERAGE(OFFSET($AM$3,0,0,'Données projet'!$E$10+1,1))-AVERAGE(OFFSET($H$3,0,0,'Données projet'!$E$10+1,1))</f>
        <v>304.32767345253382</v>
      </c>
      <c r="AO81" s="62">
        <f t="shared" si="90"/>
        <v>427.16091343339173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62.540151233329098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62.540151233329098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9</v>
      </c>
      <c r="BD81" s="13">
        <f>IF('Données projet'!$A$88&gt;35,BD80+BC81-BL80,IF(A81&lt;'Données projet'!$A$88,$BA$205^A81,IF(A81='Données projet'!$A$88,'Données projet'!$B$88,BD80+BC81-BL80)))</f>
        <v>442.00000000000006</v>
      </c>
      <c r="BE81" s="14">
        <f>BD81*VLOOKUP('Données projet'!$B$11,Paramètres!$A$1:$I$89,3,0)*VLOOKUP('Données projet'!$B$11,Paramètres!$A$1:$I$89,5,0)</f>
        <v>264.31600000000003</v>
      </c>
      <c r="BF81" s="14">
        <f t="shared" si="91"/>
        <v>63.641491358279801</v>
      </c>
      <c r="BG81" s="22">
        <f t="shared" si="61"/>
        <v>571.19263078233723</v>
      </c>
      <c r="BH81" s="62">
        <f t="shared" si="62"/>
        <v>864.5259641156706</v>
      </c>
      <c r="BI81" s="62">
        <f ca="1">AVERAGE(OFFSET($BH$3,0,0,'Données projet'!$E$11+1,1))-AVERAGE(OFFSET($H$3,0,0,'Données projet'!$E$11+1,1))</f>
        <v>294.26495752303765</v>
      </c>
      <c r="BJ81" s="62">
        <f t="shared" si="92"/>
        <v>212.24900914818096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44.284054545020581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0.70254342180563156</v>
      </c>
      <c r="BS81" s="24">
        <f t="shared" si="63"/>
        <v>44.98659796682621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7.7</v>
      </c>
      <c r="N82" s="14">
        <f>IF('Données projet'!$A$36&gt;35,N81+M82-V81,IF(A82&lt;'Données projet'!$A$36,$K$205^A82,IF(A82='Données projet'!$A$36,'Données projet'!$B$36,N81+M82-V81)))</f>
        <v>345.29999999999978</v>
      </c>
      <c r="O82" s="14">
        <f>N82*VLOOKUP('Données projet'!$B$9,Paramètres!$A$1:$I$89,3,0)*VLOOKUP('Données projet'!$B$9,Paramètres!$A$1:$I$89,5,0)</f>
        <v>161.60039999999989</v>
      </c>
      <c r="P82" s="14">
        <f t="shared" si="87"/>
        <v>41.203280732237786</v>
      </c>
      <c r="Q82" s="22">
        <f t="shared" si="54"/>
        <v>353.21641060864732</v>
      </c>
      <c r="R82" s="62">
        <f t="shared" si="55"/>
        <v>646.54974394198064</v>
      </c>
      <c r="S82" s="62">
        <f ca="1">AVERAGE(OFFSET($R$3,0,0,'Données projet'!$E$9+1,1))-AVERAGE(OFFSET($H$3,0,0,'Données projet'!$E$9+1,1))</f>
        <v>260.49759897936531</v>
      </c>
      <c r="T82" s="62">
        <f t="shared" si="88"/>
        <v>223.74038909289635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4.9285399955602163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1.2363875681246927</v>
      </c>
      <c r="AC82" s="24">
        <f t="shared" si="57"/>
        <v>6.164927563684909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5.6843418860808015E-14</v>
      </c>
      <c r="AJ82" s="14">
        <f>AI82*VLOOKUP('Données projet'!$B$10,Paramètres!$A$1:$I$89,3,0)*VLOOKUP('Données projet'!$B$10,Paramètres!$A$1:$I$89,5,0)</f>
        <v>4.9658410716801891E-14</v>
      </c>
      <c r="AK82" s="14">
        <f t="shared" si="89"/>
        <v>8.0934058173791862E-13</v>
      </c>
      <c r="AL82" s="22">
        <f t="shared" si="58"/>
        <v>1.4960899118586383E-12</v>
      </c>
      <c r="AM82" s="62">
        <f t="shared" si="59"/>
        <v>293.33333333333479</v>
      </c>
      <c r="AN82" s="62">
        <f ca="1">AVERAGE(OFFSET($AM$3,0,0,'Données projet'!$E$10+1,1))-AVERAGE(OFFSET($H$3,0,0,'Données projet'!$E$10+1,1))</f>
        <v>304.32767345253382</v>
      </c>
      <c r="AO82" s="62">
        <f t="shared" si="90"/>
        <v>427.16091343339173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61.31377701336919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61.31377701336919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9</v>
      </c>
      <c r="BD82" s="13">
        <f>IF('Données projet'!$A$88&gt;35,BD81+BC82-BL81,IF(A82&lt;'Données projet'!$A$88,$BA$205^A82,IF(A82='Données projet'!$A$88,'Données projet'!$B$88,BD81+BC82-BL81)))</f>
        <v>451.00000000000006</v>
      </c>
      <c r="BE82" s="14">
        <f>BD82*VLOOKUP('Données projet'!$B$11,Paramètres!$A$1:$I$89,3,0)*VLOOKUP('Données projet'!$B$11,Paramètres!$A$1:$I$89,5,0)</f>
        <v>269.69800000000004</v>
      </c>
      <c r="BF82" s="14">
        <f t="shared" si="91"/>
        <v>64.785173091884289</v>
      </c>
      <c r="BG82" s="22">
        <f t="shared" si="61"/>
        <v>582.55819313503184</v>
      </c>
      <c r="BH82" s="62">
        <f t="shared" si="62"/>
        <v>875.8915264683651</v>
      </c>
      <c r="BI82" s="62">
        <f ca="1">AVERAGE(OFFSET($BH$3,0,0,'Données projet'!$E$11+1,1))-AVERAGE(OFFSET($H$3,0,0,'Données projet'!$E$11+1,1))</f>
        <v>294.26495752303765</v>
      </c>
      <c r="BJ82" s="62">
        <f t="shared" si="92"/>
        <v>212.24900914818096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43.415671245998922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0.49677321763676313</v>
      </c>
      <c r="BS82" s="24">
        <f t="shared" si="63"/>
        <v>43.912444463635687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353</v>
      </c>
      <c r="L83" s="13">
        <f>VLOOKUP(A83,'Données projet'!$A$35:$I$55,9,0)</f>
        <v>7.7</v>
      </c>
      <c r="M83" s="13">
        <f t="array" ref="M83">INDEX(L:L,MIN(IF(ISNUMBER(L83:L279),ROW(L83:L279),"")))</f>
        <v>7.7</v>
      </c>
      <c r="N83" s="14">
        <f>IF('Données projet'!$A$36&gt;35,N82+M83-V82,IF(A83&lt;'Données projet'!$A$36,$K$205^A83,IF(A83='Données projet'!$A$36,'Données projet'!$B$36,N82+M83-V82)))</f>
        <v>352.99999999999977</v>
      </c>
      <c r="O83" s="14">
        <f>N83*VLOOKUP('Données projet'!$B$9,Paramètres!$A$1:$I$89,3,0)*VLOOKUP('Données projet'!$B$9,Paramètres!$A$1:$I$89,5,0)</f>
        <v>165.20399999999989</v>
      </c>
      <c r="P83" s="14">
        <f t="shared" si="87"/>
        <v>42.014096665795854</v>
      </c>
      <c r="Q83" s="22">
        <f t="shared" si="54"/>
        <v>360.90485169292759</v>
      </c>
      <c r="R83" s="62">
        <f t="shared" si="55"/>
        <v>654.23818502626091</v>
      </c>
      <c r="S83" s="62">
        <f ca="1">AVERAGE(OFFSET($R$3,0,0,'Données projet'!$E$9+1,1))-AVERAGE(OFFSET($H$3,0,0,'Données projet'!$E$9+1,1))</f>
        <v>260.49759897936531</v>
      </c>
      <c r="T83" s="62">
        <f t="shared" si="88"/>
        <v>223.74038909289635</v>
      </c>
      <c r="U83" s="16">
        <f>IF(ISNA(VLOOKUP(A83,'Données projet'!$A$35:$I$55,3,0)),0,VLOOKUP(A83,'Données projet'!$A$35:$I$55,3,0))</f>
        <v>4</v>
      </c>
      <c r="V83" s="16">
        <f>IF(ISNA(VLOOKUP(A83,'Données projet'!$A$35:$I$55,4,0)),0,VLOOKUP(A83,'Données projet'!$A$35:$I$55,4,0))</f>
        <v>71</v>
      </c>
      <c r="W83" s="17">
        <f>IF(ISNA(VLOOKUP(A83,'Données projet'!$A$35:$I$55,5,0)),0%,VLOOKUP(A83,'Données projet'!$A$35:$I$55,5,0)*VLOOKUP('Données projet'!$B$9,Paramètres!$A$1:$I$89,7,0))</f>
        <v>0.1925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0.65</v>
      </c>
      <c r="Z83" s="23">
        <f>EXP(-LN(2)/35)*Z82+(1-EXP(-LN(2)/35))/(LN(2)/35)*V83*W83*VLOOKUP('Données projet'!$B$9,Paramètres!$A$1:$I$89,3,0)*0.475*44/12</f>
        <v>13.317117949488768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25.328437642031833</v>
      </c>
      <c r="AC83" s="24">
        <f t="shared" si="57"/>
        <v>38.645555591520605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5.6843418860808015E-14</v>
      </c>
      <c r="AJ83" s="14">
        <f>AI83*VLOOKUP('Données projet'!$B$10,Paramètres!$A$1:$I$89,3,0)*VLOOKUP('Données projet'!$B$10,Paramètres!$A$1:$I$89,5,0)</f>
        <v>4.9658410716801891E-14</v>
      </c>
      <c r="AK83" s="14">
        <f t="shared" si="89"/>
        <v>8.0934058173791862E-13</v>
      </c>
      <c r="AL83" s="22">
        <f t="shared" si="58"/>
        <v>1.4960899118586383E-12</v>
      </c>
      <c r="AM83" s="62">
        <f t="shared" si="59"/>
        <v>293.33333333333479</v>
      </c>
      <c r="AN83" s="62">
        <f ca="1">AVERAGE(OFFSET($AM$3,0,0,'Données projet'!$E$10+1,1))-AVERAGE(OFFSET($H$3,0,0,'Données projet'!$E$10+1,1))</f>
        <v>304.32767345253382</v>
      </c>
      <c r="AO83" s="62">
        <f t="shared" si="90"/>
        <v>427.16091343339173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60.111451243848279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60.111451243848279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460</v>
      </c>
      <c r="BB83" s="13">
        <f>VLOOKUP(A83,'Données projet'!$A$87:$I$107,9,0)</f>
        <v>9</v>
      </c>
      <c r="BC83" s="13">
        <f t="array" ref="BC83">INDEX(BB:BB,MIN(IF(ISNUMBER(BB83:BB279),ROW(BB83:BB279),"")))</f>
        <v>9</v>
      </c>
      <c r="BD83" s="13">
        <f>IF('Données projet'!$A$88&gt;35,BD82+BC83-BL82,IF(A83&lt;'Données projet'!$A$88,$BA$205^A83,IF(A83='Données projet'!$A$88,'Données projet'!$B$88,BD82+BC83-BL82)))</f>
        <v>460.00000000000006</v>
      </c>
      <c r="BE83" s="14">
        <f>BD83*VLOOKUP('Données projet'!$B$11,Paramètres!$A$1:$I$89,3,0)*VLOOKUP('Données projet'!$B$11,Paramètres!$A$1:$I$89,5,0)</f>
        <v>275.08000000000004</v>
      </c>
      <c r="BF83" s="14">
        <f t="shared" si="91"/>
        <v>65.926201134783341</v>
      </c>
      <c r="BG83" s="22">
        <f t="shared" si="61"/>
        <v>593.91913364308107</v>
      </c>
      <c r="BH83" s="62">
        <f t="shared" si="62"/>
        <v>887.25246697641433</v>
      </c>
      <c r="BI83" s="62">
        <f ca="1">AVERAGE(OFFSET($BH$3,0,0,'Données projet'!$E$11+1,1))-AVERAGE(OFFSET($H$3,0,0,'Données projet'!$E$11+1,1))</f>
        <v>294.26495752303765</v>
      </c>
      <c r="BJ83" s="62">
        <f t="shared" si="92"/>
        <v>212.24900914818096</v>
      </c>
      <c r="BK83" s="16">
        <f>IF(ISNA(VLOOKUP(A83,'Données projet'!$A$87:$I$107,3,0)),0,VLOOKUP(A83,'Données projet'!$A$87:$I$107,3,0))</f>
        <v>8</v>
      </c>
      <c r="BL83" s="23">
        <f>IF(ISNA(VLOOKUP(A83,'Données projet'!$A$87:$I$107,4,0)),0,VLOOKUP(A83,'Données projet'!$A$87:$I$107,4,0))</f>
        <v>460</v>
      </c>
      <c r="BM83" s="17">
        <f>IF(ISNA(VLOOKUP(A83,'Données projet'!$A$87:$I$107,5,0)),0%,VLOOKUP(A83,'Données projet'!$A$87:$I$107,5,0)*VLOOKUP('Données projet'!$B$11,Paramètres!$A$1:$I$89,7,0))</f>
        <v>0.40500000000000003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0.1</v>
      </c>
      <c r="BP83" s="23">
        <f>EXP(-LN(2)/35)*BP82+(1-EXP(-LN(2)/35))/(LN(2)/35)*BL83*BM83*VLOOKUP('Données projet'!$B$11,Paramètres!$A$1:$I$89,3,0)*0.475*44/12</f>
        <v>190.35341332674463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31.496717751260835</v>
      </c>
      <c r="BS83" s="24">
        <f t="shared" si="63"/>
        <v>221.85013107800546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8.3000000000000007</v>
      </c>
      <c r="N84" s="14">
        <f>IF('Données projet'!$A$36&gt;35,N83+M84-V83,IF(A84&lt;'Données projet'!$A$36,$K$205^A84,IF(A84='Données projet'!$A$36,'Données projet'!$B$36,N83+M84-V83)))</f>
        <v>290.29999999999978</v>
      </c>
      <c r="O84" s="14">
        <f>N84*VLOOKUP('Données projet'!$B$9,Paramètres!$A$1:$I$89,3,0)*VLOOKUP('Données projet'!$B$9,Paramètres!$A$1:$I$89,5,0)</f>
        <v>135.86039999999991</v>
      </c>
      <c r="P84" s="14">
        <f t="shared" si="87"/>
        <v>35.347031059244721</v>
      </c>
      <c r="Q84" s="22">
        <f t="shared" si="54"/>
        <v>298.18627576151772</v>
      </c>
      <c r="R84" s="62">
        <f t="shared" si="55"/>
        <v>591.51960909485103</v>
      </c>
      <c r="S84" s="62">
        <f ca="1">AVERAGE(OFFSET($R$3,0,0,'Données projet'!$E$9+1,1))-AVERAGE(OFFSET($H$3,0,0,'Données projet'!$E$9+1,1))</f>
        <v>260.49759897936531</v>
      </c>
      <c r="T84" s="62">
        <f t="shared" si="88"/>
        <v>223.74038909289635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13.055977389139198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17.909910013541317</v>
      </c>
      <c r="AC84" s="24">
        <f t="shared" si="57"/>
        <v>30.965887402680515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5.6843418860808015E-14</v>
      </c>
      <c r="AJ84" s="14">
        <f>AI84*VLOOKUP('Données projet'!$B$10,Paramètres!$A$1:$I$89,3,0)*VLOOKUP('Données projet'!$B$10,Paramètres!$A$1:$I$89,5,0)</f>
        <v>4.9658410716801891E-14</v>
      </c>
      <c r="AK84" s="14">
        <f t="shared" si="89"/>
        <v>8.0934058173791862E-13</v>
      </c>
      <c r="AL84" s="22">
        <f t="shared" si="58"/>
        <v>1.4960899118586383E-12</v>
      </c>
      <c r="AM84" s="62">
        <f t="shared" si="59"/>
        <v>293.33333333333479</v>
      </c>
      <c r="AN84" s="62">
        <f ca="1">AVERAGE(OFFSET($AM$3,0,0,'Données projet'!$E$10+1,1))-AVERAGE(OFFSET($H$3,0,0,'Données projet'!$E$10+1,1))</f>
        <v>304.32767345253382</v>
      </c>
      <c r="AO84" s="62">
        <f t="shared" si="90"/>
        <v>427.16091343339173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58.932702349321367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58.932702349321367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5.6843418860808015E-14</v>
      </c>
      <c r="BE84" s="14">
        <f>BD84*VLOOKUP('Données projet'!$B$11,Paramètres!$A$1:$I$89,3,0)*VLOOKUP('Données projet'!$B$11,Paramètres!$A$1:$I$89,5,0)</f>
        <v>3.3992364478763198E-14</v>
      </c>
      <c r="BF84" s="14">
        <f t="shared" si="91"/>
        <v>5.790027782444094E-13</v>
      </c>
      <c r="BG84" s="22">
        <f t="shared" si="61"/>
        <v>1.0676332069095257E-12</v>
      </c>
      <c r="BH84" s="62">
        <f t="shared" si="62"/>
        <v>293.33333333333439</v>
      </c>
      <c r="BI84" s="62">
        <f ca="1">AVERAGE(OFFSET($BH$3,0,0,'Données projet'!$E$11+1,1))-AVERAGE(OFFSET($H$3,0,0,'Données projet'!$E$11+1,1))</f>
        <v>294.26495752303765</v>
      </c>
      <c r="BJ84" s="62">
        <f t="shared" si="92"/>
        <v>212.24900914818096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186.62069899552498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22.271542707035245</v>
      </c>
      <c r="BS84" s="24">
        <f t="shared" si="63"/>
        <v>208.89224170256023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8.3000000000000007</v>
      </c>
      <c r="N85" s="14">
        <f>IF('Données projet'!$A$36&gt;35,N84+M85-V84,IF(A85&lt;'Données projet'!$A$36,$K$205^A85,IF(A85='Données projet'!$A$36,'Données projet'!$B$36,N84+M85-V84)))</f>
        <v>298.5999999999998</v>
      </c>
      <c r="O85" s="14">
        <f>N85*VLOOKUP('Données projet'!$B$9,Paramètres!$A$1:$I$89,3,0)*VLOOKUP('Données projet'!$B$9,Paramètres!$A$1:$I$89,5,0)</f>
        <v>139.74479999999991</v>
      </c>
      <c r="P85" s="14">
        <f t="shared" si="87"/>
        <v>36.238536552104364</v>
      </c>
      <c r="Q85" s="22">
        <f t="shared" si="54"/>
        <v>306.5043111615816</v>
      </c>
      <c r="R85" s="62">
        <f t="shared" si="55"/>
        <v>599.83764449491491</v>
      </c>
      <c r="S85" s="62">
        <f ca="1">AVERAGE(OFFSET($R$3,0,0,'Données projet'!$E$9+1,1))-AVERAGE(OFFSET($H$3,0,0,'Données projet'!$E$9+1,1))</f>
        <v>260.49759897936531</v>
      </c>
      <c r="T85" s="62">
        <f t="shared" si="88"/>
        <v>223.74038909289635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12.799957635898069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12.664218821015918</v>
      </c>
      <c r="AC85" s="24">
        <f t="shared" si="57"/>
        <v>25.464176456913989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5.6843418860808015E-14</v>
      </c>
      <c r="AJ85" s="14">
        <f>AI85*VLOOKUP('Données projet'!$B$10,Paramètres!$A$1:$I$89,3,0)*VLOOKUP('Données projet'!$B$10,Paramètres!$A$1:$I$89,5,0)</f>
        <v>4.9658410716801891E-14</v>
      </c>
      <c r="AK85" s="14">
        <f t="shared" si="89"/>
        <v>8.0934058173791862E-13</v>
      </c>
      <c r="AL85" s="22">
        <f t="shared" si="58"/>
        <v>1.4960899118586383E-12</v>
      </c>
      <c r="AM85" s="62">
        <f t="shared" si="59"/>
        <v>293.33333333333479</v>
      </c>
      <c r="AN85" s="62">
        <f ca="1">AVERAGE(OFFSET($AM$3,0,0,'Données projet'!$E$10+1,1))-AVERAGE(OFFSET($H$3,0,0,'Données projet'!$E$10+1,1))</f>
        <v>304.32767345253382</v>
      </c>
      <c r="AO85" s="62">
        <f t="shared" si="90"/>
        <v>427.16091343339173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57.777068001650292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57.777068001650292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5.6843418860808015E-14</v>
      </c>
      <c r="BE85" s="14">
        <f>BD85*VLOOKUP('Données projet'!$B$11,Paramètres!$A$1:$I$89,3,0)*VLOOKUP('Données projet'!$B$11,Paramètres!$A$1:$I$89,5,0)</f>
        <v>3.3992364478763198E-14</v>
      </c>
      <c r="BF85" s="14">
        <f t="shared" si="91"/>
        <v>5.790027782444094E-13</v>
      </c>
      <c r="BG85" s="22">
        <f t="shared" si="61"/>
        <v>1.0676332069095257E-12</v>
      </c>
      <c r="BH85" s="62">
        <f t="shared" si="62"/>
        <v>293.33333333333439</v>
      </c>
      <c r="BI85" s="62">
        <f ca="1">AVERAGE(OFFSET($BH$3,0,0,'Données projet'!$E$11+1,1))-AVERAGE(OFFSET($H$3,0,0,'Données projet'!$E$11+1,1))</f>
        <v>294.26495752303765</v>
      </c>
      <c r="BJ85" s="62">
        <f t="shared" si="92"/>
        <v>212.24900914818096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182.96118091560959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15.748358875630419</v>
      </c>
      <c r="BS85" s="24">
        <f t="shared" si="63"/>
        <v>198.70953979124002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8.3000000000000007</v>
      </c>
      <c r="N86" s="14">
        <f>IF('Données projet'!$A$36&gt;35,N85+M86-V85,IF(A86&lt;'Données projet'!$A$36,$K$205^A86,IF(A86='Données projet'!$A$36,'Données projet'!$B$36,N85+M86-V85)))</f>
        <v>306.89999999999981</v>
      </c>
      <c r="O86" s="14">
        <f>N86*VLOOKUP('Données projet'!$B$9,Paramètres!$A$1:$I$89,3,0)*VLOOKUP('Données projet'!$B$9,Paramètres!$A$1:$I$89,5,0)</f>
        <v>143.62919999999991</v>
      </c>
      <c r="P86" s="14">
        <f t="shared" si="87"/>
        <v>37.127161849234348</v>
      </c>
      <c r="Q86" s="22">
        <f t="shared" si="54"/>
        <v>314.81733022074962</v>
      </c>
      <c r="R86" s="62">
        <f t="shared" si="55"/>
        <v>608.15066355408294</v>
      </c>
      <c r="S86" s="62">
        <f ca="1">AVERAGE(OFFSET($R$3,0,0,'Données projet'!$E$9+1,1))-AVERAGE(OFFSET($H$3,0,0,'Données projet'!$E$9+1,1))</f>
        <v>260.49759897936531</v>
      </c>
      <c r="T86" s="62">
        <f t="shared" si="88"/>
        <v>223.74038909289635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12.548958273861368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8.9549550067706605</v>
      </c>
      <c r="AC86" s="24">
        <f t="shared" si="57"/>
        <v>21.503913280632027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5.6843418860808015E-14</v>
      </c>
      <c r="AJ86" s="14">
        <f>AI86*VLOOKUP('Données projet'!$B$10,Paramètres!$A$1:$I$89,3,0)*VLOOKUP('Données projet'!$B$10,Paramètres!$A$1:$I$89,5,0)</f>
        <v>4.9658410716801891E-14</v>
      </c>
      <c r="AK86" s="14">
        <f t="shared" si="89"/>
        <v>8.0934058173791862E-13</v>
      </c>
      <c r="AL86" s="22">
        <f t="shared" si="58"/>
        <v>1.4960899118586383E-12</v>
      </c>
      <c r="AM86" s="62">
        <f t="shared" si="59"/>
        <v>293.33333333333479</v>
      </c>
      <c r="AN86" s="62">
        <f ca="1">AVERAGE(OFFSET($AM$3,0,0,'Données projet'!$E$10+1,1))-AVERAGE(OFFSET($H$3,0,0,'Données projet'!$E$10+1,1))</f>
        <v>304.32767345253382</v>
      </c>
      <c r="AO86" s="62">
        <f t="shared" si="90"/>
        <v>427.16091343339173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56.644094938669696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56.644094938669696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5.6843418860808015E-14</v>
      </c>
      <c r="BE86" s="14">
        <f>BD86*VLOOKUP('Données projet'!$B$11,Paramètres!$A$1:$I$89,3,0)*VLOOKUP('Données projet'!$B$11,Paramètres!$A$1:$I$89,5,0)</f>
        <v>3.3992364478763198E-14</v>
      </c>
      <c r="BF86" s="14">
        <f t="shared" si="91"/>
        <v>5.790027782444094E-13</v>
      </c>
      <c r="BG86" s="22">
        <f t="shared" si="61"/>
        <v>1.0676332069095257E-12</v>
      </c>
      <c r="BH86" s="62">
        <f t="shared" si="62"/>
        <v>293.33333333333439</v>
      </c>
      <c r="BI86" s="62">
        <f ca="1">AVERAGE(OFFSET($BH$3,0,0,'Données projet'!$E$11+1,1))-AVERAGE(OFFSET($H$3,0,0,'Données projet'!$E$11+1,1))</f>
        <v>294.26495752303765</v>
      </c>
      <c r="BJ86" s="62">
        <f t="shared" si="92"/>
        <v>212.24900914818096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179.37342375315572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11.135771353517624</v>
      </c>
      <c r="BS86" s="24">
        <f t="shared" si="63"/>
        <v>190.50919510667333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8.3000000000000007</v>
      </c>
      <c r="N87" s="14">
        <f>IF('Données projet'!$A$36&gt;35,N86+M87-V86,IF(A87&lt;'Données projet'!$A$36,$K$205^A87,IF(A87='Données projet'!$A$36,'Données projet'!$B$36,N86+M87-V86)))</f>
        <v>315.19999999999982</v>
      </c>
      <c r="O87" s="14">
        <f>N87*VLOOKUP('Données projet'!$B$9,Paramètres!$A$1:$I$89,3,0)*VLOOKUP('Données projet'!$B$9,Paramètres!$A$1:$I$89,5,0)</f>
        <v>147.51359999999991</v>
      </c>
      <c r="P87" s="14">
        <f t="shared" si="87"/>
        <v>38.012993796041464</v>
      </c>
      <c r="Q87" s="22">
        <f t="shared" si="54"/>
        <v>323.12548419477201</v>
      </c>
      <c r="R87" s="62">
        <f t="shared" si="55"/>
        <v>616.45881752810533</v>
      </c>
      <c r="S87" s="62">
        <f ca="1">AVERAGE(OFFSET($R$3,0,0,'Données projet'!$E$9+1,1))-AVERAGE(OFFSET($H$3,0,0,'Données projet'!$E$9+1,1))</f>
        <v>260.49759897936531</v>
      </c>
      <c r="T87" s="62">
        <f t="shared" si="88"/>
        <v>223.74038909289635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12.302880856219714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6.3321094105079601</v>
      </c>
      <c r="AC87" s="24">
        <f t="shared" si="57"/>
        <v>18.634990266727673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5.6843418860808015E-14</v>
      </c>
      <c r="AJ87" s="14">
        <f>AI87*VLOOKUP('Données projet'!$B$10,Paramètres!$A$1:$I$89,3,0)*VLOOKUP('Données projet'!$B$10,Paramètres!$A$1:$I$89,5,0)</f>
        <v>4.9658410716801891E-14</v>
      </c>
      <c r="AK87" s="14">
        <f t="shared" si="89"/>
        <v>8.0934058173791862E-13</v>
      </c>
      <c r="AL87" s="22">
        <f t="shared" si="58"/>
        <v>1.4960899118586383E-12</v>
      </c>
      <c r="AM87" s="62">
        <f t="shared" si="59"/>
        <v>293.33333333333479</v>
      </c>
      <c r="AN87" s="62">
        <f ca="1">AVERAGE(OFFSET($AM$3,0,0,'Données projet'!$E$10+1,1))-AVERAGE(OFFSET($H$3,0,0,'Données projet'!$E$10+1,1))</f>
        <v>304.32767345253382</v>
      </c>
      <c r="AO87" s="62">
        <f t="shared" si="90"/>
        <v>427.16091343339173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55.533338786408819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55.533338786408819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5.6843418860808015E-14</v>
      </c>
      <c r="BE87" s="14">
        <f>BD87*VLOOKUP('Données projet'!$B$11,Paramètres!$A$1:$I$89,3,0)*VLOOKUP('Données projet'!$B$11,Paramètres!$A$1:$I$89,5,0)</f>
        <v>3.3992364478763198E-14</v>
      </c>
      <c r="BF87" s="14">
        <f t="shared" si="91"/>
        <v>5.790027782444094E-13</v>
      </c>
      <c r="BG87" s="22">
        <f t="shared" si="61"/>
        <v>1.0676332069095257E-12</v>
      </c>
      <c r="BH87" s="62">
        <f t="shared" si="62"/>
        <v>293.33333333333439</v>
      </c>
      <c r="BI87" s="62">
        <f ca="1">AVERAGE(OFFSET($BH$3,0,0,'Données projet'!$E$11+1,1))-AVERAGE(OFFSET($H$3,0,0,'Données projet'!$E$11+1,1))</f>
        <v>294.26495752303765</v>
      </c>
      <c r="BJ87" s="62">
        <f t="shared" si="92"/>
        <v>212.24900914818096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175.85602032034177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7.8741794378152115</v>
      </c>
      <c r="BS87" s="24">
        <f t="shared" si="63"/>
        <v>183.73019975815697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8.3000000000000007</v>
      </c>
      <c r="N88" s="14">
        <f>IF('Données projet'!$A$36&gt;35,N87+M88-V87,IF(A88&lt;'Données projet'!$A$36,$K$205^A88,IF(A88='Données projet'!$A$36,'Données projet'!$B$36,N87+M88-V87)))</f>
        <v>323.49999999999983</v>
      </c>
      <c r="O88" s="14">
        <f>N88*VLOOKUP('Données projet'!$B$9,Paramètres!$A$1:$I$89,3,0)*VLOOKUP('Données projet'!$B$9,Paramètres!$A$1:$I$89,5,0)</f>
        <v>151.39799999999991</v>
      </c>
      <c r="P88" s="14">
        <f t="shared" si="87"/>
        <v>38.896114403754673</v>
      </c>
      <c r="Q88" s="22">
        <f t="shared" si="54"/>
        <v>331.42891591987251</v>
      </c>
      <c r="R88" s="62">
        <f t="shared" si="55"/>
        <v>624.76224925320582</v>
      </c>
      <c r="S88" s="62">
        <f ca="1">AVERAGE(OFFSET($R$3,0,0,'Données projet'!$E$9+1,1))-AVERAGE(OFFSET($H$3,0,0,'Données projet'!$E$9+1,1))</f>
        <v>260.49759897936531</v>
      </c>
      <c r="T88" s="62">
        <f t="shared" si="88"/>
        <v>223.74038909289635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12.061628866645608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4.4774775033853311</v>
      </c>
      <c r="AC88" s="24">
        <f t="shared" si="57"/>
        <v>16.53910637003094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5.6843418860808015E-14</v>
      </c>
      <c r="AJ88" s="14">
        <f>AI88*VLOOKUP('Données projet'!$B$10,Paramètres!$A$1:$I$89,3,0)*VLOOKUP('Données projet'!$B$10,Paramètres!$A$1:$I$89,5,0)</f>
        <v>4.9658410716801891E-14</v>
      </c>
      <c r="AK88" s="14">
        <f t="shared" si="89"/>
        <v>8.0934058173791862E-13</v>
      </c>
      <c r="AL88" s="22">
        <f t="shared" si="58"/>
        <v>1.4960899118586383E-12</v>
      </c>
      <c r="AM88" s="62">
        <f t="shared" si="59"/>
        <v>293.33333333333479</v>
      </c>
      <c r="AN88" s="62">
        <f ca="1">AVERAGE(OFFSET($AM$3,0,0,'Données projet'!$E$10+1,1))-AVERAGE(OFFSET($H$3,0,0,'Données projet'!$E$10+1,1))</f>
        <v>304.32767345253382</v>
      </c>
      <c r="AO88" s="62">
        <f t="shared" si="90"/>
        <v>427.16091343339173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54.444363884799422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54.444363884799422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5.6843418860808015E-14</v>
      </c>
      <c r="BE88" s="14">
        <f>BD88*VLOOKUP('Données projet'!$B$11,Paramètres!$A$1:$I$89,3,0)*VLOOKUP('Données projet'!$B$11,Paramètres!$A$1:$I$89,5,0)</f>
        <v>3.3992364478763198E-14</v>
      </c>
      <c r="BF88" s="14">
        <f t="shared" si="91"/>
        <v>5.790027782444094E-13</v>
      </c>
      <c r="BG88" s="22">
        <f t="shared" si="61"/>
        <v>1.0676332069095257E-12</v>
      </c>
      <c r="BH88" s="62">
        <f t="shared" si="62"/>
        <v>293.33333333333439</v>
      </c>
      <c r="BI88" s="62">
        <f ca="1">AVERAGE(OFFSET($BH$3,0,0,'Données projet'!$E$11+1,1))-AVERAGE(OFFSET($H$3,0,0,'Données projet'!$E$11+1,1))</f>
        <v>294.26495752303765</v>
      </c>
      <c r="BJ88" s="62">
        <f t="shared" si="92"/>
        <v>212.24900914818096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172.40759102344106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5.567885676758813</v>
      </c>
      <c r="BS88" s="24">
        <f t="shared" si="63"/>
        <v>177.97547670019986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8.3000000000000007</v>
      </c>
      <c r="N89" s="14">
        <f>IF('Données projet'!$A$36&gt;35,N88+M89-V88,IF(A89&lt;'Données projet'!$A$36,$K$205^A89,IF(A89='Données projet'!$A$36,'Données projet'!$B$36,N88+M89-V88)))</f>
        <v>331.79999999999984</v>
      </c>
      <c r="O89" s="14">
        <f>N89*VLOOKUP('Données projet'!$B$9,Paramètres!$A$1:$I$89,3,0)*VLOOKUP('Données projet'!$B$9,Paramètres!$A$1:$I$89,5,0)</f>
        <v>155.28239999999991</v>
      </c>
      <c r="P89" s="14">
        <f t="shared" si="87"/>
        <v>39.776601235546373</v>
      </c>
      <c r="Q89" s="22">
        <f t="shared" si="54"/>
        <v>339.7277604852431</v>
      </c>
      <c r="R89" s="62">
        <f t="shared" si="55"/>
        <v>633.06109381857641</v>
      </c>
      <c r="S89" s="62">
        <f ca="1">AVERAGE(OFFSET($R$3,0,0,'Données projet'!$E$9+1,1))-AVERAGE(OFFSET($H$3,0,0,'Données projet'!$E$9+1,1))</f>
        <v>260.49759897936531</v>
      </c>
      <c r="T89" s="62">
        <f t="shared" si="88"/>
        <v>223.74038909289635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11.825107681437865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3.1660547052539805</v>
      </c>
      <c r="AC89" s="24">
        <f t="shared" si="57"/>
        <v>14.991162386691846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5.6843418860808015E-14</v>
      </c>
      <c r="AJ89" s="14">
        <f>AI89*VLOOKUP('Données projet'!$B$10,Paramètres!$A$1:$I$89,3,0)*VLOOKUP('Données projet'!$B$10,Paramètres!$A$1:$I$89,5,0)</f>
        <v>4.9658410716801891E-14</v>
      </c>
      <c r="AK89" s="14">
        <f t="shared" si="89"/>
        <v>8.0934058173791862E-13</v>
      </c>
      <c r="AL89" s="22">
        <f t="shared" si="58"/>
        <v>1.4960899118586383E-12</v>
      </c>
      <c r="AM89" s="62">
        <f t="shared" si="59"/>
        <v>293.33333333333479</v>
      </c>
      <c r="AN89" s="62">
        <f ca="1">AVERAGE(OFFSET($AM$3,0,0,'Données projet'!$E$10+1,1))-AVERAGE(OFFSET($H$3,0,0,'Données projet'!$E$10+1,1))</f>
        <v>304.32767345253382</v>
      </c>
      <c r="AO89" s="62">
        <f t="shared" si="90"/>
        <v>427.16091343339173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53.376743116801478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53.376743116801478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5.6843418860808015E-14</v>
      </c>
      <c r="BE89" s="14">
        <f>BD89*VLOOKUP('Données projet'!$B$11,Paramètres!$A$1:$I$89,3,0)*VLOOKUP('Données projet'!$B$11,Paramètres!$A$1:$I$89,5,0)</f>
        <v>3.3992364478763198E-14</v>
      </c>
      <c r="BF89" s="14">
        <f t="shared" si="91"/>
        <v>5.790027782444094E-13</v>
      </c>
      <c r="BG89" s="22">
        <f t="shared" si="61"/>
        <v>1.0676332069095257E-12</v>
      </c>
      <c r="BH89" s="62">
        <f t="shared" si="62"/>
        <v>293.33333333333439</v>
      </c>
      <c r="BI89" s="62">
        <f ca="1">AVERAGE(OFFSET($BH$3,0,0,'Données projet'!$E$11+1,1))-AVERAGE(OFFSET($H$3,0,0,'Données projet'!$E$11+1,1))</f>
        <v>294.26495752303765</v>
      </c>
      <c r="BJ89" s="62">
        <f t="shared" si="92"/>
        <v>212.24900914818096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169.0267833217184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3.9370897189076062</v>
      </c>
      <c r="BS89" s="24">
        <f t="shared" si="63"/>
        <v>172.963873040626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8.3000000000000007</v>
      </c>
      <c r="N90" s="14">
        <f>IF('Données projet'!$A$36&gt;35,N89+M90-V89,IF(A90&lt;'Données projet'!$A$36,$K$205^A90,IF(A90='Données projet'!$A$36,'Données projet'!$B$36,N89+M90-V89)))</f>
        <v>340.09999999999985</v>
      </c>
      <c r="O90" s="14">
        <f>N90*VLOOKUP('Données projet'!$B$9,Paramètres!$A$1:$I$89,3,0)*VLOOKUP('Données projet'!$B$9,Paramètres!$A$1:$I$89,5,0)</f>
        <v>159.16679999999991</v>
      </c>
      <c r="P90" s="14">
        <f t="shared" si="87"/>
        <v>40.654527752930711</v>
      </c>
      <c r="Q90" s="22">
        <f t="shared" si="54"/>
        <v>348.02214583635418</v>
      </c>
      <c r="R90" s="62">
        <f t="shared" si="55"/>
        <v>641.35547916968744</v>
      </c>
      <c r="S90" s="62">
        <f ca="1">AVERAGE(OFFSET($R$3,0,0,'Données projet'!$E$9+1,1))-AVERAGE(OFFSET($H$3,0,0,'Données projet'!$E$9+1,1))</f>
        <v>260.49759897936531</v>
      </c>
      <c r="T90" s="62">
        <f t="shared" si="88"/>
        <v>223.74038909289635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11.593224532408369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2.2387387516926656</v>
      </c>
      <c r="AC90" s="24">
        <f t="shared" si="57"/>
        <v>13.831963284101034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5.6843418860808015E-14</v>
      </c>
      <c r="AJ90" s="14">
        <f>AI90*VLOOKUP('Données projet'!$B$10,Paramètres!$A$1:$I$89,3,0)*VLOOKUP('Données projet'!$B$10,Paramètres!$A$1:$I$89,5,0)</f>
        <v>4.9658410716801891E-14</v>
      </c>
      <c r="AK90" s="14">
        <f t="shared" si="89"/>
        <v>8.0934058173791862E-13</v>
      </c>
      <c r="AL90" s="22">
        <f t="shared" si="58"/>
        <v>1.4960899118586383E-12</v>
      </c>
      <c r="AM90" s="62">
        <f t="shared" si="59"/>
        <v>293.33333333333479</v>
      </c>
      <c r="AN90" s="62">
        <f ca="1">AVERAGE(OFFSET($AM$3,0,0,'Données projet'!$E$10+1,1))-AVERAGE(OFFSET($H$3,0,0,'Données projet'!$E$10+1,1))</f>
        <v>304.32767345253382</v>
      </c>
      <c r="AO90" s="62">
        <f t="shared" si="90"/>
        <v>427.16091343339173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52.330057740879603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52.330057740879603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5.6843418860808015E-14</v>
      </c>
      <c r="BE90" s="14">
        <f>BD90*VLOOKUP('Données projet'!$B$11,Paramètres!$A$1:$I$89,3,0)*VLOOKUP('Données projet'!$B$11,Paramètres!$A$1:$I$89,5,0)</f>
        <v>3.3992364478763198E-14</v>
      </c>
      <c r="BF90" s="14">
        <f t="shared" si="91"/>
        <v>5.790027782444094E-13</v>
      </c>
      <c r="BG90" s="22">
        <f t="shared" si="61"/>
        <v>1.0676332069095257E-12</v>
      </c>
      <c r="BH90" s="62">
        <f t="shared" si="62"/>
        <v>293.33333333333439</v>
      </c>
      <c r="BI90" s="62">
        <f ca="1">AVERAGE(OFFSET($BH$3,0,0,'Données projet'!$E$11+1,1))-AVERAGE(OFFSET($H$3,0,0,'Données projet'!$E$11+1,1))</f>
        <v>294.26495752303765</v>
      </c>
      <c r="BJ90" s="62">
        <f t="shared" si="92"/>
        <v>212.24900914818096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165.71227119693742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2.7839428383794069</v>
      </c>
      <c r="BS90" s="24">
        <f t="shared" si="63"/>
        <v>168.49621403531683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8.3000000000000007</v>
      </c>
      <c r="N91" s="14">
        <f>IF('Données projet'!$A$36&gt;35,N90+M91-V90,IF(A91&lt;'Données projet'!$A$36,$K$205^A91,IF(A91='Données projet'!$A$36,'Données projet'!$B$36,N90+M91-V90)))</f>
        <v>348.39999999999986</v>
      </c>
      <c r="O91" s="14">
        <f>N91*VLOOKUP('Données projet'!$B$9,Paramètres!$A$1:$I$89,3,0)*VLOOKUP('Données projet'!$B$9,Paramètres!$A$1:$I$89,5,0)</f>
        <v>163.05119999999994</v>
      </c>
      <c r="P91" s="14">
        <f t="shared" si="87"/>
        <v>41.529963627394977</v>
      </c>
      <c r="Q91" s="22">
        <f t="shared" si="54"/>
        <v>356.3121933177128</v>
      </c>
      <c r="R91" s="62">
        <f t="shared" si="55"/>
        <v>649.64552665104611</v>
      </c>
      <c r="S91" s="62">
        <f ca="1">AVERAGE(OFFSET($R$3,0,0,'Données projet'!$E$9+1,1))-AVERAGE(OFFSET($H$3,0,0,'Données projet'!$E$9+1,1))</f>
        <v>260.49759897936531</v>
      </c>
      <c r="T91" s="62">
        <f t="shared" si="88"/>
        <v>223.74038909289635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11.365888470496586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1.5830273526269902</v>
      </c>
      <c r="AC91" s="24">
        <f t="shared" si="57"/>
        <v>12.948915823123576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5.6843418860808015E-14</v>
      </c>
      <c r="AJ91" s="14">
        <f>AI91*VLOOKUP('Données projet'!$B$10,Paramètres!$A$1:$I$89,3,0)*VLOOKUP('Données projet'!$B$10,Paramètres!$A$1:$I$89,5,0)</f>
        <v>4.9658410716801891E-14</v>
      </c>
      <c r="AK91" s="14">
        <f t="shared" si="89"/>
        <v>8.0934058173791862E-13</v>
      </c>
      <c r="AL91" s="22">
        <f t="shared" si="58"/>
        <v>1.4960899118586383E-12</v>
      </c>
      <c r="AM91" s="62">
        <f t="shared" si="59"/>
        <v>293.33333333333479</v>
      </c>
      <c r="AN91" s="62">
        <f ca="1">AVERAGE(OFFSET($AM$3,0,0,'Données projet'!$E$10+1,1))-AVERAGE(OFFSET($H$3,0,0,'Données projet'!$E$10+1,1))</f>
        <v>304.32767345253382</v>
      </c>
      <c r="AO91" s="62">
        <f t="shared" si="90"/>
        <v>427.16091343339173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51.303897226764519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51.303897226764519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5.6843418860808015E-14</v>
      </c>
      <c r="BE91" s="14">
        <f>BD91*VLOOKUP('Données projet'!$B$11,Paramètres!$A$1:$I$89,3,0)*VLOOKUP('Données projet'!$B$11,Paramètres!$A$1:$I$89,5,0)</f>
        <v>3.3992364478763198E-14</v>
      </c>
      <c r="BF91" s="14">
        <f t="shared" si="91"/>
        <v>5.790027782444094E-13</v>
      </c>
      <c r="BG91" s="22">
        <f t="shared" si="61"/>
        <v>1.0676332069095257E-12</v>
      </c>
      <c r="BH91" s="62">
        <f t="shared" si="62"/>
        <v>293.33333333333439</v>
      </c>
      <c r="BI91" s="62">
        <f ca="1">AVERAGE(OFFSET($BH$3,0,0,'Données projet'!$E$11+1,1))-AVERAGE(OFFSET($H$3,0,0,'Données projet'!$E$11+1,1))</f>
        <v>294.26495752303765</v>
      </c>
      <c r="BJ91" s="62">
        <f t="shared" si="92"/>
        <v>212.24900914818096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162.46275463327063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1.9685448594538035</v>
      </c>
      <c r="BS91" s="24">
        <f t="shared" si="63"/>
        <v>164.43129949272443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8.3000000000000007</v>
      </c>
      <c r="N92" s="14">
        <f>IF('Données projet'!$A$36&gt;35,N91+M92-V91,IF(A92&lt;'Données projet'!$A$36,$K$205^A92,IF(A92='Données projet'!$A$36,'Données projet'!$B$36,N91+M92-V91)))</f>
        <v>356.69999999999987</v>
      </c>
      <c r="O92" s="14">
        <f>N92*VLOOKUP('Données projet'!$B$9,Paramètres!$A$1:$I$89,3,0)*VLOOKUP('Données projet'!$B$9,Paramètres!$A$1:$I$89,5,0)</f>
        <v>166.93559999999994</v>
      </c>
      <c r="P92" s="14">
        <f t="shared" si="87"/>
        <v>42.402975021498193</v>
      </c>
      <c r="Q92" s="22">
        <f t="shared" si="54"/>
        <v>364.59801816244254</v>
      </c>
      <c r="R92" s="62">
        <f t="shared" si="55"/>
        <v>657.93135149577586</v>
      </c>
      <c r="S92" s="62">
        <f ca="1">AVERAGE(OFFSET($R$3,0,0,'Données projet'!$E$9+1,1))-AVERAGE(OFFSET($H$3,0,0,'Données projet'!$E$9+1,1))</f>
        <v>260.49759897936531</v>
      </c>
      <c r="T92" s="62">
        <f t="shared" si="88"/>
        <v>223.74038909289635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11.143010330097587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1.1193693758463328</v>
      </c>
      <c r="AC92" s="24">
        <f t="shared" si="57"/>
        <v>12.262379705943919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5.6843418860808015E-14</v>
      </c>
      <c r="AJ92" s="14">
        <f>AI92*VLOOKUP('Données projet'!$B$10,Paramètres!$A$1:$I$89,3,0)*VLOOKUP('Données projet'!$B$10,Paramètres!$A$1:$I$89,5,0)</f>
        <v>4.9658410716801891E-14</v>
      </c>
      <c r="AK92" s="14">
        <f t="shared" si="89"/>
        <v>8.0934058173791862E-13</v>
      </c>
      <c r="AL92" s="22">
        <f t="shared" si="58"/>
        <v>1.4960899118586383E-12</v>
      </c>
      <c r="AM92" s="62">
        <f t="shared" si="59"/>
        <v>293.33333333333479</v>
      </c>
      <c r="AN92" s="62">
        <f ca="1">AVERAGE(OFFSET($AM$3,0,0,'Données projet'!$E$10+1,1))-AVERAGE(OFFSET($H$3,0,0,'Données projet'!$E$10+1,1))</f>
        <v>304.32767345253382</v>
      </c>
      <c r="AO92" s="62">
        <f t="shared" si="90"/>
        <v>427.16091343339173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50.297859094435118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50.297859094435118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5.6843418860808015E-14</v>
      </c>
      <c r="BE92" s="14">
        <f>BD92*VLOOKUP('Données projet'!$B$11,Paramètres!$A$1:$I$89,3,0)*VLOOKUP('Données projet'!$B$11,Paramètres!$A$1:$I$89,5,0)</f>
        <v>3.3992364478763198E-14</v>
      </c>
      <c r="BF92" s="14">
        <f t="shared" si="91"/>
        <v>5.790027782444094E-13</v>
      </c>
      <c r="BG92" s="22">
        <f t="shared" si="61"/>
        <v>1.0676332069095257E-12</v>
      </c>
      <c r="BH92" s="62">
        <f t="shared" si="62"/>
        <v>293.33333333333439</v>
      </c>
      <c r="BI92" s="62">
        <f ca="1">AVERAGE(OFFSET($BH$3,0,0,'Données projet'!$E$11+1,1))-AVERAGE(OFFSET($H$3,0,0,'Données projet'!$E$11+1,1))</f>
        <v>294.26495752303765</v>
      </c>
      <c r="BJ92" s="62">
        <f t="shared" si="92"/>
        <v>212.24900914818096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159.27695910740795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1.3919714191897037</v>
      </c>
      <c r="BS92" s="24">
        <f t="shared" si="63"/>
        <v>160.66893052659765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365</v>
      </c>
      <c r="L93" s="13">
        <f>VLOOKUP(A93,'Données projet'!$A$35:$I$55,9,0)</f>
        <v>8.3000000000000007</v>
      </c>
      <c r="M93" s="13">
        <f t="array" ref="M93">INDEX(L:L,MIN(IF(ISNUMBER(L93:L289),ROW(L93:L289),"")))</f>
        <v>8.3000000000000007</v>
      </c>
      <c r="N93" s="14">
        <f>IF('Données projet'!$A$36&gt;35,N92+M93-V92,IF(A93&lt;'Données projet'!$A$36,$K$205^A93,IF(A93='Données projet'!$A$36,'Données projet'!$B$36,N92+M93-V92)))</f>
        <v>364.99999999999989</v>
      </c>
      <c r="O93" s="14">
        <f>N93*VLOOKUP('Données projet'!$B$9,Paramètres!$A$1:$I$89,3,0)*VLOOKUP('Données projet'!$B$9,Paramètres!$A$1:$I$89,5,0)</f>
        <v>170.81999999999994</v>
      </c>
      <c r="P93" s="14">
        <f t="shared" si="87"/>
        <v>43.27362484306942</v>
      </c>
      <c r="Q93" s="22">
        <f t="shared" si="54"/>
        <v>372.87972993501245</v>
      </c>
      <c r="R93" s="62">
        <f t="shared" si="55"/>
        <v>666.21306326834576</v>
      </c>
      <c r="S93" s="62">
        <f ca="1">AVERAGE(OFFSET($R$3,0,0,'Données projet'!$E$9+1,1))-AVERAGE(OFFSET($H$3,0,0,'Données projet'!$E$9+1,1))</f>
        <v>260.49759897936531</v>
      </c>
      <c r="T93" s="62">
        <f t="shared" si="88"/>
        <v>223.74038909289635</v>
      </c>
      <c r="U93" s="16">
        <f>IF(ISNA(VLOOKUP(A93,'Données projet'!$A$35:$I$55,3,0)),0,VLOOKUP(A93,'Données projet'!$A$35:$I$55,3,0))</f>
        <v>5</v>
      </c>
      <c r="V93" s="16">
        <f>IF(ISNA(VLOOKUP(A93,'Données projet'!$A$35:$I$55,4,0)),0,VLOOKUP(A93,'Données projet'!$A$35:$I$55,4,0))</f>
        <v>73</v>
      </c>
      <c r="W93" s="17">
        <f>IF(ISNA(VLOOKUP(A93,'Données projet'!$A$35:$I$55,5,0)),0%,VLOOKUP(A93,'Données projet'!$A$35:$I$55,5,0)*VLOOKUP('Données projet'!$B$9,Paramètres!$A$1:$I$89,7,0))</f>
        <v>0.27500000000000002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0.5</v>
      </c>
      <c r="Z93" s="23">
        <f>EXP(-LN(2)/35)*Z92+(1-EXP(-LN(2)/35))/(LN(2)/35)*V93*W93*VLOOKUP('Données projet'!$B$9,Paramètres!$A$1:$I$89,3,0)*0.475*44/12</f>
        <v>23.387708409389596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20.132305782660584</v>
      </c>
      <c r="AC93" s="24">
        <f t="shared" si="57"/>
        <v>43.520014192050184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5.6843418860808015E-14</v>
      </c>
      <c r="AJ93" s="14">
        <f>AI93*VLOOKUP('Données projet'!$B$10,Paramètres!$A$1:$I$89,3,0)*VLOOKUP('Données projet'!$B$10,Paramètres!$A$1:$I$89,5,0)</f>
        <v>4.9658410716801891E-14</v>
      </c>
      <c r="AK93" s="14">
        <f t="shared" si="89"/>
        <v>8.0934058173791862E-13</v>
      </c>
      <c r="AL93" s="22">
        <f t="shared" si="58"/>
        <v>1.4960899118586383E-12</v>
      </c>
      <c r="AM93" s="62">
        <f t="shared" si="59"/>
        <v>293.33333333333479</v>
      </c>
      <c r="AN93" s="62">
        <f ca="1">AVERAGE(OFFSET($AM$3,0,0,'Données projet'!$E$10+1,1))-AVERAGE(OFFSET($H$3,0,0,'Données projet'!$E$10+1,1))</f>
        <v>304.32767345253382</v>
      </c>
      <c r="AO93" s="62">
        <f t="shared" si="90"/>
        <v>427.16091343339173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49.311548756258027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49.311548756258027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5.6843418860808015E-14</v>
      </c>
      <c r="BE93" s="14">
        <f>BD93*VLOOKUP('Données projet'!$B$11,Paramètres!$A$1:$I$89,3,0)*VLOOKUP('Données projet'!$B$11,Paramètres!$A$1:$I$89,5,0)</f>
        <v>3.3992364478763198E-14</v>
      </c>
      <c r="BF93" s="14">
        <f t="shared" si="91"/>
        <v>5.790027782444094E-13</v>
      </c>
      <c r="BG93" s="22">
        <f t="shared" si="61"/>
        <v>1.0676332069095257E-12</v>
      </c>
      <c r="BH93" s="62">
        <f t="shared" si="62"/>
        <v>293.33333333333439</v>
      </c>
      <c r="BI93" s="62">
        <f ca="1">AVERAGE(OFFSET($BH$3,0,0,'Données projet'!$E$11+1,1))-AVERAGE(OFFSET($H$3,0,0,'Données projet'!$E$11+1,1))</f>
        <v>294.26495752303765</v>
      </c>
      <c r="BJ93" s="62">
        <f t="shared" si="92"/>
        <v>212.24900914818096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156.15363508866403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0.98427242972690188</v>
      </c>
      <c r="BS93" s="24">
        <f t="shared" si="63"/>
        <v>157.13790751839093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8.3000000000000007</v>
      </c>
      <c r="N94" s="14">
        <f>IF('Données projet'!$A$36&gt;35,N93+M94-V93,IF(A94&lt;'Données projet'!$A$36,$K$205^A94,IF(A94='Données projet'!$A$36,'Données projet'!$B$36,N93+M94-V93)))</f>
        <v>300.2999999999999</v>
      </c>
      <c r="O94" s="14">
        <f>N94*VLOOKUP('Données projet'!$B$9,Paramètres!$A$1:$I$89,3,0)*VLOOKUP('Données projet'!$B$9,Paramètres!$A$1:$I$89,5,0)</f>
        <v>140.54039999999995</v>
      </c>
      <c r="P94" s="14">
        <f t="shared" si="87"/>
        <v>36.420775774849901</v>
      </c>
      <c r="Q94" s="22">
        <f t="shared" si="54"/>
        <v>308.20738114119678</v>
      </c>
      <c r="R94" s="62">
        <f t="shared" si="55"/>
        <v>601.54071447453009</v>
      </c>
      <c r="S94" s="62">
        <f ca="1">AVERAGE(OFFSET($R$3,0,0,'Données projet'!$E$9+1,1))-AVERAGE(OFFSET($H$3,0,0,'Données projet'!$E$9+1,1))</f>
        <v>260.49759897936531</v>
      </c>
      <c r="T94" s="62">
        <f t="shared" si="88"/>
        <v>223.74038909289635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22.929089712575035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14.235689939840444</v>
      </c>
      <c r="AC94" s="24">
        <f t="shared" si="57"/>
        <v>37.164779652415476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5.6843418860808015E-14</v>
      </c>
      <c r="AJ94" s="14">
        <f>AI94*VLOOKUP('Données projet'!$B$10,Paramètres!$A$1:$I$89,3,0)*VLOOKUP('Données projet'!$B$10,Paramètres!$A$1:$I$89,5,0)</f>
        <v>4.9658410716801891E-14</v>
      </c>
      <c r="AK94" s="14">
        <f t="shared" si="89"/>
        <v>8.0934058173791862E-13</v>
      </c>
      <c r="AL94" s="22">
        <f t="shared" si="58"/>
        <v>1.4960899118586383E-12</v>
      </c>
      <c r="AM94" s="62">
        <f t="shared" si="59"/>
        <v>293.33333333333479</v>
      </c>
      <c r="AN94" s="62">
        <f ca="1">AVERAGE(OFFSET($AM$3,0,0,'Données projet'!$E$10+1,1))-AVERAGE(OFFSET($H$3,0,0,'Données projet'!$E$10+1,1))</f>
        <v>304.32767345253382</v>
      </c>
      <c r="AO94" s="62">
        <f t="shared" si="90"/>
        <v>427.16091343339173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48.344579362222682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48.344579362222682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5.6843418860808015E-14</v>
      </c>
      <c r="BE94" s="14">
        <f>BD94*VLOOKUP('Données projet'!$B$11,Paramètres!$A$1:$I$89,3,0)*VLOOKUP('Données projet'!$B$11,Paramètres!$A$1:$I$89,5,0)</f>
        <v>3.3992364478763198E-14</v>
      </c>
      <c r="BF94" s="14">
        <f t="shared" si="91"/>
        <v>5.790027782444094E-13</v>
      </c>
      <c r="BG94" s="22">
        <f t="shared" si="61"/>
        <v>1.0676332069095257E-12</v>
      </c>
      <c r="BH94" s="62">
        <f t="shared" si="62"/>
        <v>293.33333333333439</v>
      </c>
      <c r="BI94" s="62">
        <f ca="1">AVERAGE(OFFSET($BH$3,0,0,'Données projet'!$E$11+1,1))-AVERAGE(OFFSET($H$3,0,0,'Données projet'!$E$11+1,1))</f>
        <v>294.26495752303765</v>
      </c>
      <c r="BJ94" s="62">
        <f t="shared" si="92"/>
        <v>212.24900914818096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153.09155754888815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0.69598570959485195</v>
      </c>
      <c r="BS94" s="24">
        <f t="shared" si="63"/>
        <v>153.787543258483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8.3000000000000007</v>
      </c>
      <c r="N95" s="14">
        <f>IF('Données projet'!$A$36&gt;35,N94+M95-V94,IF(A95&lt;'Données projet'!$A$36,$K$205^A95,IF(A95='Données projet'!$A$36,'Données projet'!$B$36,N94+M95-V94)))</f>
        <v>308.59999999999991</v>
      </c>
      <c r="O95" s="14">
        <f>N95*VLOOKUP('Données projet'!$B$9,Paramètres!$A$1:$I$89,3,0)*VLOOKUP('Données projet'!$B$9,Paramètres!$A$1:$I$89,5,0)</f>
        <v>144.42479999999995</v>
      </c>
      <c r="P95" s="14">
        <f t="shared" si="87"/>
        <v>37.308822031923619</v>
      </c>
      <c r="Q95" s="22">
        <f t="shared" si="54"/>
        <v>316.51939170560019</v>
      </c>
      <c r="R95" s="62">
        <f t="shared" si="55"/>
        <v>609.8527250389335</v>
      </c>
      <c r="S95" s="62">
        <f ca="1">AVERAGE(OFFSET($R$3,0,0,'Données projet'!$E$9+1,1))-AVERAGE(OFFSET($H$3,0,0,'Données projet'!$E$9+1,1))</f>
        <v>260.49759897936531</v>
      </c>
      <c r="T95" s="62">
        <f t="shared" si="88"/>
        <v>223.74038909289635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22.479464248675225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10.066152891330294</v>
      </c>
      <c r="AC95" s="24">
        <f t="shared" si="57"/>
        <v>32.545617140005518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5.6843418860808015E-14</v>
      </c>
      <c r="AJ95" s="14">
        <f>AI95*VLOOKUP('Données projet'!$B$10,Paramètres!$A$1:$I$89,3,0)*VLOOKUP('Données projet'!$B$10,Paramètres!$A$1:$I$89,5,0)</f>
        <v>4.9658410716801891E-14</v>
      </c>
      <c r="AK95" s="14">
        <f t="shared" si="89"/>
        <v>8.0934058173791862E-13</v>
      </c>
      <c r="AL95" s="22">
        <f t="shared" si="58"/>
        <v>1.4960899118586383E-12</v>
      </c>
      <c r="AM95" s="62">
        <f t="shared" si="59"/>
        <v>293.33333333333479</v>
      </c>
      <c r="AN95" s="62">
        <f ca="1">AVERAGE(OFFSET($AM$3,0,0,'Données projet'!$E$10+1,1))-AVERAGE(OFFSET($H$3,0,0,'Données projet'!$E$10+1,1))</f>
        <v>304.32767345253382</v>
      </c>
      <c r="AO95" s="62">
        <f t="shared" si="90"/>
        <v>427.16091343339173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47.396571648211278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47.396571648211278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5.6843418860808015E-14</v>
      </c>
      <c r="BE95" s="14">
        <f>BD95*VLOOKUP('Données projet'!$B$11,Paramètres!$A$1:$I$89,3,0)*VLOOKUP('Données projet'!$B$11,Paramètres!$A$1:$I$89,5,0)</f>
        <v>3.3992364478763198E-14</v>
      </c>
      <c r="BF95" s="14">
        <f t="shared" si="91"/>
        <v>5.790027782444094E-13</v>
      </c>
      <c r="BG95" s="22">
        <f t="shared" si="61"/>
        <v>1.0676332069095257E-12</v>
      </c>
      <c r="BH95" s="62">
        <f t="shared" si="62"/>
        <v>293.33333333333439</v>
      </c>
      <c r="BI95" s="62">
        <f ca="1">AVERAGE(OFFSET($BH$3,0,0,'Données projet'!$E$11+1,1))-AVERAGE(OFFSET($H$3,0,0,'Données projet'!$E$11+1,1))</f>
        <v>294.26495752303765</v>
      </c>
      <c r="BJ95" s="62">
        <f t="shared" si="92"/>
        <v>212.24900914818096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150.08952548198437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0.49213621486345105</v>
      </c>
      <c r="BS95" s="24">
        <f t="shared" si="63"/>
        <v>150.58166169684782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8.3000000000000007</v>
      </c>
      <c r="N96" s="14">
        <f>IF('Données projet'!$A$36&gt;35,N95+M96-V95,IF(A96&lt;'Données projet'!$A$36,$K$205^A96,IF(A96='Données projet'!$A$36,'Données projet'!$B$36,N95+M96-V95)))</f>
        <v>316.89999999999992</v>
      </c>
      <c r="O96" s="14">
        <f>N96*VLOOKUP('Données projet'!$B$9,Paramètres!$A$1:$I$89,3,0)*VLOOKUP('Données projet'!$B$9,Paramètres!$A$1:$I$89,5,0)</f>
        <v>148.30919999999995</v>
      </c>
      <c r="P96" s="14">
        <f t="shared" si="87"/>
        <v>38.194092116566516</v>
      </c>
      <c r="Q96" s="22">
        <f t="shared" si="54"/>
        <v>324.8265671030199</v>
      </c>
      <c r="R96" s="62">
        <f t="shared" si="55"/>
        <v>618.15990043635315</v>
      </c>
      <c r="S96" s="62">
        <f ca="1">AVERAGE(OFFSET($R$3,0,0,'Données projet'!$E$9+1,1))-AVERAGE(OFFSET($H$3,0,0,'Données projet'!$E$9+1,1))</f>
        <v>260.49759897936531</v>
      </c>
      <c r="T96" s="62">
        <f t="shared" si="88"/>
        <v>223.74038909289635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22.038655665878036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7.1178449699202231</v>
      </c>
      <c r="AC96" s="24">
        <f t="shared" si="57"/>
        <v>29.15650063579826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5.6843418860808015E-14</v>
      </c>
      <c r="AJ96" s="14">
        <f>AI96*VLOOKUP('Données projet'!$B$10,Paramètres!$A$1:$I$89,3,0)*VLOOKUP('Données projet'!$B$10,Paramètres!$A$1:$I$89,5,0)</f>
        <v>4.9658410716801891E-14</v>
      </c>
      <c r="AK96" s="14">
        <f t="shared" si="89"/>
        <v>8.0934058173791862E-13</v>
      </c>
      <c r="AL96" s="22">
        <f t="shared" si="58"/>
        <v>1.4960899118586383E-12</v>
      </c>
      <c r="AM96" s="62">
        <f t="shared" si="59"/>
        <v>293.33333333333479</v>
      </c>
      <c r="AN96" s="62">
        <f ca="1">AVERAGE(OFFSET($AM$3,0,0,'Données projet'!$E$10+1,1))-AVERAGE(OFFSET($H$3,0,0,'Données projet'!$E$10+1,1))</f>
        <v>304.32767345253382</v>
      </c>
      <c r="AO96" s="62">
        <f t="shared" si="90"/>
        <v>427.16091343339173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46.46715378724403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46.46715378724403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5.6843418860808015E-14</v>
      </c>
      <c r="BE96" s="14">
        <f>BD96*VLOOKUP('Données projet'!$B$11,Paramètres!$A$1:$I$89,3,0)*VLOOKUP('Données projet'!$B$11,Paramètres!$A$1:$I$89,5,0)</f>
        <v>3.3992364478763198E-14</v>
      </c>
      <c r="BF96" s="14">
        <f t="shared" si="91"/>
        <v>5.790027782444094E-13</v>
      </c>
      <c r="BG96" s="22">
        <f t="shared" si="61"/>
        <v>1.0676332069095257E-12</v>
      </c>
      <c r="BH96" s="62">
        <f t="shared" si="62"/>
        <v>293.33333333333439</v>
      </c>
      <c r="BI96" s="62">
        <f ca="1">AVERAGE(OFFSET($BH$3,0,0,'Données projet'!$E$11+1,1))-AVERAGE(OFFSET($H$3,0,0,'Données projet'!$E$11+1,1))</f>
        <v>294.26495752303765</v>
      </c>
      <c r="BJ96" s="62">
        <f t="shared" si="92"/>
        <v>212.24900914818096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147.14636143285384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0.34799285479742603</v>
      </c>
      <c r="BS96" s="24">
        <f t="shared" si="63"/>
        <v>147.49435428765128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8.3000000000000007</v>
      </c>
      <c r="N97" s="14">
        <f>IF('Données projet'!$A$36&gt;35,N96+M97-V96,IF(A97&lt;'Données projet'!$A$36,$K$205^A97,IF(A97='Données projet'!$A$36,'Données projet'!$B$36,N96+M97-V96)))</f>
        <v>325.19999999999993</v>
      </c>
      <c r="O97" s="14">
        <f>N97*VLOOKUP('Données projet'!$B$9,Paramètres!$A$1:$I$89,3,0)*VLOOKUP('Données projet'!$B$9,Paramètres!$A$1:$I$89,5,0)</f>
        <v>152.19359999999998</v>
      </c>
      <c r="P97" s="14">
        <f t="shared" si="87"/>
        <v>39.076667098894909</v>
      </c>
      <c r="Q97" s="22">
        <f t="shared" si="54"/>
        <v>333.12904853057529</v>
      </c>
      <c r="R97" s="62">
        <f t="shared" si="55"/>
        <v>626.4623818639086</v>
      </c>
      <c r="S97" s="62">
        <f ca="1">AVERAGE(OFFSET($R$3,0,0,'Données projet'!$E$9+1,1))-AVERAGE(OFFSET($H$3,0,0,'Données projet'!$E$9+1,1))</f>
        <v>260.49759897936531</v>
      </c>
      <c r="T97" s="62">
        <f t="shared" si="88"/>
        <v>223.74038909289635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21.606491070522811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5.0330764456651478</v>
      </c>
      <c r="AC97" s="24">
        <f t="shared" si="57"/>
        <v>26.639567516187959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5.6843418860808015E-14</v>
      </c>
      <c r="AJ97" s="14">
        <f>AI97*VLOOKUP('Données projet'!$B$10,Paramètres!$A$1:$I$89,3,0)*VLOOKUP('Données projet'!$B$10,Paramètres!$A$1:$I$89,5,0)</f>
        <v>4.9658410716801891E-14</v>
      </c>
      <c r="AK97" s="14">
        <f t="shared" si="89"/>
        <v>8.0934058173791862E-13</v>
      </c>
      <c r="AL97" s="22">
        <f t="shared" si="58"/>
        <v>1.4960899118586383E-12</v>
      </c>
      <c r="AM97" s="62">
        <f t="shared" si="59"/>
        <v>293.33333333333479</v>
      </c>
      <c r="AN97" s="62">
        <f ca="1">AVERAGE(OFFSET($AM$3,0,0,'Données projet'!$E$10+1,1))-AVERAGE(OFFSET($H$3,0,0,'Données projet'!$E$10+1,1))</f>
        <v>304.32767345253382</v>
      </c>
      <c r="AO97" s="62">
        <f t="shared" si="90"/>
        <v>427.16091343339173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45.555961243641427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45.555961243641427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5.6843418860808015E-14</v>
      </c>
      <c r="BE97" s="14">
        <f>BD97*VLOOKUP('Données projet'!$B$11,Paramètres!$A$1:$I$89,3,0)*VLOOKUP('Données projet'!$B$11,Paramètres!$A$1:$I$89,5,0)</f>
        <v>3.3992364478763198E-14</v>
      </c>
      <c r="BF97" s="14">
        <f t="shared" si="91"/>
        <v>5.790027782444094E-13</v>
      </c>
      <c r="BG97" s="22">
        <f t="shared" si="61"/>
        <v>1.0676332069095257E-12</v>
      </c>
      <c r="BH97" s="62">
        <f t="shared" si="62"/>
        <v>293.33333333333439</v>
      </c>
      <c r="BI97" s="62">
        <f ca="1">AVERAGE(OFFSET($BH$3,0,0,'Données projet'!$E$11+1,1))-AVERAGE(OFFSET($H$3,0,0,'Données projet'!$E$11+1,1))</f>
        <v>294.26495752303765</v>
      </c>
      <c r="BJ97" s="62">
        <f t="shared" si="92"/>
        <v>212.24900914818096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144.26091103557394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0.24606810743172555</v>
      </c>
      <c r="BS97" s="24">
        <f t="shared" si="63"/>
        <v>144.50697914300568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8.3000000000000007</v>
      </c>
      <c r="N98" s="14">
        <f>IF('Données projet'!$A$36&gt;35,N97+M98-V97,IF(A98&lt;'Données projet'!$A$36,$K$205^A98,IF(A98='Données projet'!$A$36,'Données projet'!$B$36,N97+M98-V97)))</f>
        <v>333.49999999999994</v>
      </c>
      <c r="O98" s="14">
        <f>N98*VLOOKUP('Données projet'!$B$9,Paramètres!$A$1:$I$89,3,0)*VLOOKUP('Données projet'!$B$9,Paramètres!$A$1:$I$89,5,0)</f>
        <v>156.07799999999997</v>
      </c>
      <c r="P98" s="14">
        <f t="shared" si="87"/>
        <v>39.956623674978466</v>
      </c>
      <c r="Q98" s="22">
        <f t="shared" si="54"/>
        <v>341.42696956725405</v>
      </c>
      <c r="R98" s="62">
        <f t="shared" si="55"/>
        <v>634.76030290058736</v>
      </c>
      <c r="S98" s="62">
        <f ca="1">AVERAGE(OFFSET($R$3,0,0,'Données projet'!$E$9+1,1))-AVERAGE(OFFSET($H$3,0,0,'Données projet'!$E$9+1,1))</f>
        <v>260.49759897936531</v>
      </c>
      <c r="T98" s="62">
        <f t="shared" si="88"/>
        <v>223.74038909289635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21.182800959288127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3.5589224849601124</v>
      </c>
      <c r="AC98" s="24">
        <f t="shared" si="57"/>
        <v>24.74172344424824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5.6843418860808015E-14</v>
      </c>
      <c r="AJ98" s="14">
        <f>AI98*VLOOKUP('Données projet'!$B$10,Paramètres!$A$1:$I$89,3,0)*VLOOKUP('Données projet'!$B$10,Paramètres!$A$1:$I$89,5,0)</f>
        <v>4.9658410716801891E-14</v>
      </c>
      <c r="AK98" s="14">
        <f t="shared" si="89"/>
        <v>8.0934058173791862E-13</v>
      </c>
      <c r="AL98" s="22">
        <f t="shared" si="58"/>
        <v>1.4960899118586383E-12</v>
      </c>
      <c r="AM98" s="62">
        <f t="shared" si="59"/>
        <v>293.33333333333479</v>
      </c>
      <c r="AN98" s="62">
        <f ca="1">AVERAGE(OFFSET($AM$3,0,0,'Données projet'!$E$10+1,1))-AVERAGE(OFFSET($H$3,0,0,'Données projet'!$E$10+1,1))</f>
        <v>304.32767345253382</v>
      </c>
      <c r="AO98" s="62">
        <f t="shared" si="90"/>
        <v>427.16091343339173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44.6626366300463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44.6626366300463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5.6843418860808015E-14</v>
      </c>
      <c r="BE98" s="14">
        <f>BD98*VLOOKUP('Données projet'!$B$11,Paramètres!$A$1:$I$89,3,0)*VLOOKUP('Données projet'!$B$11,Paramètres!$A$1:$I$89,5,0)</f>
        <v>3.3992364478763198E-14</v>
      </c>
      <c r="BF98" s="14">
        <f t="shared" si="91"/>
        <v>5.790027782444094E-13</v>
      </c>
      <c r="BG98" s="22">
        <f t="shared" si="61"/>
        <v>1.0676332069095257E-12</v>
      </c>
      <c r="BH98" s="62">
        <f t="shared" si="62"/>
        <v>293.33333333333439</v>
      </c>
      <c r="BI98" s="62">
        <f ca="1">AVERAGE(OFFSET($BH$3,0,0,'Données projet'!$E$11+1,1))-AVERAGE(OFFSET($H$3,0,0,'Données projet'!$E$11+1,1))</f>
        <v>294.26495752303765</v>
      </c>
      <c r="BJ98" s="62">
        <f t="shared" si="92"/>
        <v>212.24900914818096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141.43204256063373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0.17399642739871304</v>
      </c>
      <c r="BS98" s="24">
        <f t="shared" si="63"/>
        <v>141.60603898803245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8.3000000000000007</v>
      </c>
      <c r="N99" s="14">
        <f>IF('Données projet'!$A$36&gt;35,N98+M99-V98,IF(A99&lt;'Données projet'!$A$36,$K$205^A99,IF(A99='Données projet'!$A$36,'Données projet'!$B$36,N98+M99-V98)))</f>
        <v>341.79999999999995</v>
      </c>
      <c r="O99" s="14">
        <f>N99*VLOOKUP('Données projet'!$B$9,Paramètres!$A$1:$I$89,3,0)*VLOOKUP('Données projet'!$B$9,Paramètres!$A$1:$I$89,5,0)</f>
        <v>159.96239999999997</v>
      </c>
      <c r="P99" s="14">
        <f t="shared" si="87"/>
        <v>40.834034505739851</v>
      </c>
      <c r="Q99" s="22">
        <f t="shared" ref="Q99:Q130" si="107">(O99+P99)*0.475*44/12</f>
        <v>349.72045676416354</v>
      </c>
      <c r="R99" s="62">
        <f t="shared" si="55"/>
        <v>643.05379009749686</v>
      </c>
      <c r="S99" s="62">
        <f ca="1">AVERAGE(OFFSET($R$3,0,0,'Données projet'!$E$9+1,1))-AVERAGE(OFFSET($H$3,0,0,'Données projet'!$E$9+1,1))</f>
        <v>260.49759897936531</v>
      </c>
      <c r="T99" s="62">
        <f t="shared" si="88"/>
        <v>223.74038909289635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20.767419152709305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2.5165382228325743</v>
      </c>
      <c r="AC99" s="24">
        <f t="shared" si="57"/>
        <v>23.283957375541881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5.6843418860808015E-14</v>
      </c>
      <c r="AJ99" s="14">
        <f>AI99*VLOOKUP('Données projet'!$B$10,Paramètres!$A$1:$I$89,3,0)*VLOOKUP('Données projet'!$B$10,Paramètres!$A$1:$I$89,5,0)</f>
        <v>4.9658410716801891E-14</v>
      </c>
      <c r="AK99" s="14">
        <f t="shared" si="89"/>
        <v>8.0934058173791862E-13</v>
      </c>
      <c r="AL99" s="22">
        <f t="shared" si="58"/>
        <v>1.4960899118586383E-12</v>
      </c>
      <c r="AM99" s="62">
        <f t="shared" si="59"/>
        <v>293.33333333333479</v>
      </c>
      <c r="AN99" s="62">
        <f ca="1">AVERAGE(OFFSET($AM$3,0,0,'Données projet'!$E$10+1,1))-AVERAGE(OFFSET($H$3,0,0,'Données projet'!$E$10+1,1))</f>
        <v>304.32767345253382</v>
      </c>
      <c r="AO99" s="62">
        <f t="shared" si="90"/>
        <v>427.16091343339173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43.786829567249562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43.786829567249562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5.6843418860808015E-14</v>
      </c>
      <c r="BE99" s="14">
        <f>BD99*VLOOKUP('Données projet'!$B$11,Paramètres!$A$1:$I$89,3,0)*VLOOKUP('Données projet'!$B$11,Paramètres!$A$1:$I$89,5,0)</f>
        <v>3.3992364478763198E-14</v>
      </c>
      <c r="BF99" s="14">
        <f t="shared" si="91"/>
        <v>5.790027782444094E-13</v>
      </c>
      <c r="BG99" s="22">
        <f t="shared" si="61"/>
        <v>1.0676332069095257E-12</v>
      </c>
      <c r="BH99" s="62">
        <f t="shared" si="62"/>
        <v>293.33333333333439</v>
      </c>
      <c r="BI99" s="62">
        <f ca="1">AVERAGE(OFFSET($BH$3,0,0,'Données projet'!$E$11+1,1))-AVERAGE(OFFSET($H$3,0,0,'Données projet'!$E$11+1,1))</f>
        <v>294.26495752303765</v>
      </c>
      <c r="BJ99" s="62">
        <f t="shared" si="92"/>
        <v>212.24900914818096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138.65864647104769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0.12303405371586279</v>
      </c>
      <c r="BS99" s="24">
        <f t="shared" si="63"/>
        <v>138.78168052476354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8.3000000000000007</v>
      </c>
      <c r="N100" s="14">
        <f>IF('Données projet'!$A$36&gt;35,N99+M100-V99,IF(A100&lt;'Données projet'!$A$36,$K$205^A100,IF(A100='Données projet'!$A$36,'Données projet'!$B$36,N99+M100-V99)))</f>
        <v>350.09999999999997</v>
      </c>
      <c r="O100" s="14">
        <f>N100*VLOOKUP('Données projet'!$B$9,Paramètres!$A$1:$I$89,3,0)*VLOOKUP('Données projet'!$B$9,Paramètres!$A$1:$I$89,5,0)</f>
        <v>163.8468</v>
      </c>
      <c r="P100" s="14">
        <f t="shared" si="87"/>
        <v>41.708968522008689</v>
      </c>
      <c r="Q100" s="22">
        <f t="shared" si="107"/>
        <v>358.00963017583177</v>
      </c>
      <c r="R100" s="62">
        <f t="shared" si="55"/>
        <v>651.34296350916509</v>
      </c>
      <c r="S100" s="62">
        <f ca="1">AVERAGE(OFFSET($R$3,0,0,'Données projet'!$E$9+1,1))-AVERAGE(OFFSET($H$3,0,0,'Données projet'!$E$9+1,1))</f>
        <v>260.49759897936531</v>
      </c>
      <c r="T100" s="62">
        <f t="shared" si="88"/>
        <v>223.74038909289635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20.360182729999607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1.7794612424800564</v>
      </c>
      <c r="AC100" s="24">
        <f t="shared" si="57"/>
        <v>22.139643972479664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5.6843418860808015E-14</v>
      </c>
      <c r="AJ100" s="14">
        <f>AI100*VLOOKUP('Données projet'!$B$10,Paramètres!$A$1:$I$89,3,0)*VLOOKUP('Données projet'!$B$10,Paramètres!$A$1:$I$89,5,0)</f>
        <v>4.9658410716801891E-14</v>
      </c>
      <c r="AK100" s="14">
        <f t="shared" si="89"/>
        <v>8.0934058173791862E-13</v>
      </c>
      <c r="AL100" s="22">
        <f t="shared" si="58"/>
        <v>1.4960899118586383E-12</v>
      </c>
      <c r="AM100" s="62">
        <f t="shared" si="59"/>
        <v>293.33333333333479</v>
      </c>
      <c r="AN100" s="62">
        <f ca="1">AVERAGE(OFFSET($AM$3,0,0,'Données projet'!$E$10+1,1))-AVERAGE(OFFSET($H$3,0,0,'Données projet'!$E$10+1,1))</f>
        <v>304.32767345253382</v>
      </c>
      <c r="AO100" s="62">
        <f t="shared" si="90"/>
        <v>427.16091343339173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42.928196546764703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42.928196546764703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5.6843418860808015E-14</v>
      </c>
      <c r="BE100" s="14">
        <f>BD100*VLOOKUP('Données projet'!$B$11,Paramètres!$A$1:$I$89,3,0)*VLOOKUP('Données projet'!$B$11,Paramètres!$A$1:$I$89,5,0)</f>
        <v>3.3992364478763198E-14</v>
      </c>
      <c r="BF100" s="14">
        <f t="shared" si="91"/>
        <v>5.790027782444094E-13</v>
      </c>
      <c r="BG100" s="22">
        <f t="shared" si="61"/>
        <v>1.0676332069095257E-12</v>
      </c>
      <c r="BH100" s="62">
        <f t="shared" si="62"/>
        <v>293.33333333333439</v>
      </c>
      <c r="BI100" s="62">
        <f ca="1">AVERAGE(OFFSET($BH$3,0,0,'Données projet'!$E$11+1,1))-AVERAGE(OFFSET($H$3,0,0,'Données projet'!$E$11+1,1))</f>
        <v>294.26495752303765</v>
      </c>
      <c r="BJ100" s="62">
        <f t="shared" si="92"/>
        <v>212.24900914818096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135.93963498717386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8.6998213699356536E-2</v>
      </c>
      <c r="BS100" s="24">
        <f t="shared" si="63"/>
        <v>136.02663320087322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8.3000000000000007</v>
      </c>
      <c r="N101" s="14">
        <f>IF('Données projet'!$A$36&gt;35,N100+M101-V100,IF(A101&lt;'Données projet'!$A$36,$K$205^A101,IF(A101='Données projet'!$A$36,'Données projet'!$B$36,N100+M101-V100)))</f>
        <v>358.4</v>
      </c>
      <c r="O101" s="14">
        <f>N101*VLOOKUP('Données projet'!$B$9,Paramètres!$A$1:$I$89,3,0)*VLOOKUP('Données projet'!$B$9,Paramètres!$A$1:$I$89,5,0)</f>
        <v>167.7312</v>
      </c>
      <c r="P101" s="14">
        <f t="shared" si="87"/>
        <v>42.581491199832655</v>
      </c>
      <c r="Q101" s="22">
        <f t="shared" si="107"/>
        <v>366.29460383970854</v>
      </c>
      <c r="R101" s="62">
        <f t="shared" si="55"/>
        <v>659.6279371730418</v>
      </c>
      <c r="S101" s="62">
        <f ca="1">AVERAGE(OFFSET($R$3,0,0,'Données projet'!$E$9+1,1))-AVERAGE(OFFSET($H$3,0,0,'Données projet'!$E$9+1,1))</f>
        <v>260.49759897936531</v>
      </c>
      <c r="T101" s="62">
        <f t="shared" si="88"/>
        <v>223.74038909289635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19.960931965149555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1.2582691114162874</v>
      </c>
      <c r="AC101" s="24">
        <f t="shared" si="57"/>
        <v>21.219201076565842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5.6843418860808015E-14</v>
      </c>
      <c r="AJ101" s="14">
        <f>AI101*VLOOKUP('Données projet'!$B$10,Paramètres!$A$1:$I$89,3,0)*VLOOKUP('Données projet'!$B$10,Paramètres!$A$1:$I$89,5,0)</f>
        <v>4.9658410716801891E-14</v>
      </c>
      <c r="AK101" s="14">
        <f t="shared" si="89"/>
        <v>8.0934058173791862E-13</v>
      </c>
      <c r="AL101" s="22">
        <f t="shared" si="58"/>
        <v>1.4960899118586383E-12</v>
      </c>
      <c r="AM101" s="62">
        <f t="shared" si="59"/>
        <v>293.33333333333479</v>
      </c>
      <c r="AN101" s="62">
        <f ca="1">AVERAGE(OFFSET($AM$3,0,0,'Données projet'!$E$10+1,1))-AVERAGE(OFFSET($H$3,0,0,'Données projet'!$E$10+1,1))</f>
        <v>304.32767345253382</v>
      </c>
      <c r="AO101" s="62">
        <f t="shared" si="90"/>
        <v>427.16091343339173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42.086400796097124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42.086400796097124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5.6843418860808015E-14</v>
      </c>
      <c r="BE101" s="14">
        <f>BD101*VLOOKUP('Données projet'!$B$11,Paramètres!$A$1:$I$89,3,0)*VLOOKUP('Données projet'!$B$11,Paramètres!$A$1:$I$89,5,0)</f>
        <v>3.3992364478763198E-14</v>
      </c>
      <c r="BF101" s="14">
        <f t="shared" si="91"/>
        <v>5.790027782444094E-13</v>
      </c>
      <c r="BG101" s="22">
        <f t="shared" si="61"/>
        <v>1.0676332069095257E-12</v>
      </c>
      <c r="BH101" s="62">
        <f t="shared" si="62"/>
        <v>293.33333333333439</v>
      </c>
      <c r="BI101" s="62">
        <f ca="1">AVERAGE(OFFSET($BH$3,0,0,'Données projet'!$E$11+1,1))-AVERAGE(OFFSET($H$3,0,0,'Données projet'!$E$11+1,1))</f>
        <v>294.26495752303765</v>
      </c>
      <c r="BJ101" s="62">
        <f t="shared" si="92"/>
        <v>212.24900914818096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133.27394166006556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6.1517026857931409E-2</v>
      </c>
      <c r="BS101" s="24">
        <f t="shared" si="63"/>
        <v>133.33545868692349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8.3000000000000007</v>
      </c>
      <c r="N102" s="14">
        <f>IF('Données projet'!$A$36&gt;35,N101+M102-V101,IF(A102&lt;'Données projet'!$A$36,$K$205^A102,IF(A102='Données projet'!$A$36,'Données projet'!$B$36,N101+M102-V101)))</f>
        <v>366.7</v>
      </c>
      <c r="O102" s="14">
        <f>N102*VLOOKUP('Données projet'!$B$9,Paramètres!$A$1:$I$89,3,0)*VLOOKUP('Données projet'!$B$9,Paramètres!$A$1:$I$89,5,0)</f>
        <v>171.6156</v>
      </c>
      <c r="P102" s="14">
        <f t="shared" si="87"/>
        <v>43.45166480956653</v>
      </c>
      <c r="Q102" s="22">
        <f t="shared" si="107"/>
        <v>374.57548620999501</v>
      </c>
      <c r="R102" s="62">
        <f t="shared" si="55"/>
        <v>667.90881954332826</v>
      </c>
      <c r="S102" s="62">
        <f ca="1">AVERAGE(OFFSET($R$3,0,0,'Données projet'!$E$9+1,1))-AVERAGE(OFFSET($H$3,0,0,'Données projet'!$E$9+1,1))</f>
        <v>260.49759897936531</v>
      </c>
      <c r="T102" s="62">
        <f t="shared" si="88"/>
        <v>223.74038909289635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19.569510264279295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0.88973062124002833</v>
      </c>
      <c r="AC102" s="24">
        <f t="shared" si="57"/>
        <v>20.459240885519321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5.6843418860808015E-14</v>
      </c>
      <c r="AJ102" s="14">
        <f>AI102*VLOOKUP('Données projet'!$B$10,Paramètres!$A$1:$I$89,3,0)*VLOOKUP('Données projet'!$B$10,Paramètres!$A$1:$I$89,5,0)</f>
        <v>4.9658410716801891E-14</v>
      </c>
      <c r="AK102" s="14">
        <f t="shared" si="89"/>
        <v>8.0934058173791862E-13</v>
      </c>
      <c r="AL102" s="22">
        <f t="shared" si="58"/>
        <v>1.4960899118586383E-12</v>
      </c>
      <c r="AM102" s="62">
        <f t="shared" si="59"/>
        <v>293.33333333333479</v>
      </c>
      <c r="AN102" s="62">
        <f ca="1">AVERAGE(OFFSET($AM$3,0,0,'Données projet'!$E$10+1,1))-AVERAGE(OFFSET($H$3,0,0,'Données projet'!$E$10+1,1))</f>
        <v>304.32767345253382</v>
      </c>
      <c r="AO102" s="62">
        <f t="shared" si="90"/>
        <v>427.16091343339173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41.261112146655428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41.261112146655428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5.6843418860808015E-14</v>
      </c>
      <c r="BE102" s="14">
        <f>BD102*VLOOKUP('Données projet'!$B$11,Paramètres!$A$1:$I$89,3,0)*VLOOKUP('Données projet'!$B$11,Paramètres!$A$1:$I$89,5,0)</f>
        <v>3.3992364478763198E-14</v>
      </c>
      <c r="BF102" s="14">
        <f t="shared" si="91"/>
        <v>5.790027782444094E-13</v>
      </c>
      <c r="BG102" s="22">
        <f t="shared" si="61"/>
        <v>1.0676332069095257E-12</v>
      </c>
      <c r="BH102" s="62">
        <f t="shared" si="62"/>
        <v>293.33333333333439</v>
      </c>
      <c r="BI102" s="62">
        <f ca="1">AVERAGE(OFFSET($BH$3,0,0,'Données projet'!$E$11+1,1))-AVERAGE(OFFSET($H$3,0,0,'Données projet'!$E$11+1,1))</f>
        <v>294.26495752303765</v>
      </c>
      <c r="BJ102" s="62">
        <f t="shared" si="92"/>
        <v>212.24900914818096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130.66052095318946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4.3499106849678275E-2</v>
      </c>
      <c r="BS102" s="24">
        <f t="shared" si="63"/>
        <v>130.70402006003914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375</v>
      </c>
      <c r="L103" s="13">
        <f>VLOOKUP(A103,'Données projet'!$A$35:$I$55,9,0)</f>
        <v>8.3000000000000007</v>
      </c>
      <c r="M103" s="13">
        <f t="array" ref="M103">INDEX(L:L,MIN(IF(ISNUMBER(L103:L299),ROW(L103:L299),"")))</f>
        <v>8.3000000000000007</v>
      </c>
      <c r="N103" s="14">
        <f>IF('Données projet'!$A$36&gt;35,N102+M103-V102,IF(A103&lt;'Données projet'!$A$36,$K$205^A103,IF(A103='Données projet'!$A$36,'Données projet'!$B$36,N102+M103-V102)))</f>
        <v>375</v>
      </c>
      <c r="O103" s="14">
        <f>N103*VLOOKUP('Données projet'!$B$9,Paramètres!$A$1:$I$89,3,0)*VLOOKUP('Données projet'!$B$9,Paramètres!$A$1:$I$89,5,0)</f>
        <v>175.5</v>
      </c>
      <c r="P103" s="14">
        <f t="shared" si="87"/>
        <v>44.319548641773906</v>
      </c>
      <c r="Q103" s="22">
        <f t="shared" si="107"/>
        <v>382.85238055108954</v>
      </c>
      <c r="R103" s="62">
        <f t="shared" si="55"/>
        <v>676.18571388442285</v>
      </c>
      <c r="S103" s="62">
        <f ca="1">AVERAGE(OFFSET($R$3,0,0,'Données projet'!$E$9+1,1))-AVERAGE(OFFSET($H$3,0,0,'Données projet'!$E$9+1,1))</f>
        <v>260.49759897936531</v>
      </c>
      <c r="T103" s="62">
        <f t="shared" si="88"/>
        <v>223.74038909289635</v>
      </c>
      <c r="U103" s="16">
        <f>IF(ISNA(VLOOKUP(A103,'Données projet'!$A$35:$I$55,3,0)),0,VLOOKUP(A103,'Données projet'!$A$35:$I$55,3,0))</f>
        <v>6</v>
      </c>
      <c r="V103" s="16">
        <f>IF(ISNA(VLOOKUP(A103,'Données projet'!$A$35:$I$55,4,0)),0,VLOOKUP(A103,'Données projet'!$A$35:$I$55,4,0))</f>
        <v>375</v>
      </c>
      <c r="W103" s="17">
        <f>IF(ISNA(VLOOKUP(A103,'Données projet'!$A$35:$I$55,5,0)),0%,VLOOKUP(A103,'Données projet'!$A$35:$I$55,5,0)*VLOOKUP('Données projet'!$B$9,Paramètres!$A$1:$I$89,7,0))</f>
        <v>0.35750000000000004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0.35</v>
      </c>
      <c r="Z103" s="23">
        <f>EXP(-LN(2)/35)*Z102+(1-EXP(-LN(2)/35))/(LN(2)/35)*V103*W103*VLOOKUP('Données projet'!$B$9,Paramètres!$A$1:$I$89,3,0)*0.475*44/12</f>
        <v>102.41607624406548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70.176503431271314</v>
      </c>
      <c r="AC103" s="24">
        <f t="shared" si="57"/>
        <v>172.59257967533679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5.6843418860808015E-14</v>
      </c>
      <c r="AJ103" s="14">
        <f>AI103*VLOOKUP('Données projet'!$B$10,Paramètres!$A$1:$I$89,3,0)*VLOOKUP('Données projet'!$B$10,Paramètres!$A$1:$I$89,5,0)</f>
        <v>4.9658410716801891E-14</v>
      </c>
      <c r="AK103" s="14">
        <f t="shared" si="89"/>
        <v>8.0934058173791862E-13</v>
      </c>
      <c r="AL103" s="22">
        <f t="shared" si="58"/>
        <v>1.4960899118586383E-12</v>
      </c>
      <c r="AM103" s="62">
        <f t="shared" si="59"/>
        <v>293.33333333333479</v>
      </c>
      <c r="AN103" s="62">
        <f ca="1">AVERAGE(OFFSET($AM$3,0,0,'Données projet'!$E$10+1,1))-AVERAGE(OFFSET($H$3,0,0,'Données projet'!$E$10+1,1))</f>
        <v>304.32767345253382</v>
      </c>
      <c r="AO103" s="62">
        <f t="shared" si="90"/>
        <v>427.16091343339173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40.452006904252912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40.452006904252912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5.6843418860808015E-14</v>
      </c>
      <c r="BE103" s="14">
        <f>BD103*VLOOKUP('Données projet'!$B$11,Paramètres!$A$1:$I$89,3,0)*VLOOKUP('Données projet'!$B$11,Paramètres!$A$1:$I$89,5,0)</f>
        <v>3.3992364478763198E-14</v>
      </c>
      <c r="BF103" s="14">
        <f t="shared" si="91"/>
        <v>5.790027782444094E-13</v>
      </c>
      <c r="BG103" s="22">
        <f t="shared" si="61"/>
        <v>1.0676332069095257E-12</v>
      </c>
      <c r="BH103" s="62">
        <f t="shared" si="62"/>
        <v>293.33333333333439</v>
      </c>
      <c r="BI103" s="62">
        <f ca="1">AVERAGE(OFFSET($BH$3,0,0,'Données projet'!$E$11+1,1))-AVERAGE(OFFSET($H$3,0,0,'Données projet'!$E$11+1,1))</f>
        <v>294.26495752303765</v>
      </c>
      <c r="BJ103" s="62">
        <f t="shared" si="92"/>
        <v>212.24900914818096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128.09834783234598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3.0758513428965708E-2</v>
      </c>
      <c r="BS103" s="24">
        <f t="shared" si="63"/>
        <v>128.12910634577494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260.49759897936531</v>
      </c>
      <c r="T104" s="62">
        <f t="shared" si="88"/>
        <v>223.74038909289635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100.4077594565577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49.622281456212967</v>
      </c>
      <c r="AC104" s="24">
        <f t="shared" si="57"/>
        <v>150.03004091277066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5.6843418860808015E-14</v>
      </c>
      <c r="AJ104" s="14">
        <f>AI104*VLOOKUP('Données projet'!$B$10,Paramètres!$A$1:$I$89,3,0)*VLOOKUP('Données projet'!$B$10,Paramètres!$A$1:$I$89,5,0)</f>
        <v>4.9658410716801891E-14</v>
      </c>
      <c r="AK104" s="14">
        <f t="shared" si="89"/>
        <v>8.0934058173791862E-13</v>
      </c>
      <c r="AL104" s="22">
        <f t="shared" si="58"/>
        <v>1.4960899118586383E-12</v>
      </c>
      <c r="AM104" s="62">
        <f t="shared" si="59"/>
        <v>293.33333333333479</v>
      </c>
      <c r="AN104" s="62">
        <f ca="1">AVERAGE(OFFSET($AM$3,0,0,'Données projet'!$E$10+1,1))-AVERAGE(OFFSET($H$3,0,0,'Données projet'!$E$10+1,1))</f>
        <v>304.32767345253382</v>
      </c>
      <c r="AO104" s="62">
        <f t="shared" si="90"/>
        <v>427.16091343339173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39.65876772214844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39.65876772214844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5.6843418860808015E-14</v>
      </c>
      <c r="BE104" s="14">
        <f>BD104*VLOOKUP('Données projet'!$B$11,Paramètres!$A$1:$I$89,3,0)*VLOOKUP('Données projet'!$B$11,Paramètres!$A$1:$I$89,5,0)</f>
        <v>3.3992364478763198E-14</v>
      </c>
      <c r="BF104" s="14">
        <f t="shared" si="91"/>
        <v>5.790027782444094E-13</v>
      </c>
      <c r="BG104" s="22">
        <f t="shared" si="61"/>
        <v>1.0676332069095257E-12</v>
      </c>
      <c r="BH104" s="62">
        <f t="shared" si="62"/>
        <v>293.33333333333439</v>
      </c>
      <c r="BI104" s="62">
        <f ca="1">AVERAGE(OFFSET($BH$3,0,0,'Données projet'!$E$11+1,1))-AVERAGE(OFFSET($H$3,0,0,'Données projet'!$E$11+1,1))</f>
        <v>294.26495752303765</v>
      </c>
      <c r="BJ104" s="62">
        <f t="shared" si="92"/>
        <v>212.24900914818096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125.58641736363093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2.1749553424839141E-2</v>
      </c>
      <c r="BS104" s="24">
        <f t="shared" si="63"/>
        <v>125.60816691705577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260.49759897936531</v>
      </c>
      <c r="T105" s="62">
        <f t="shared" si="88"/>
        <v>223.74038909289635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98.438824536300658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35.088251715635657</v>
      </c>
      <c r="AC105" s="24">
        <f t="shared" si="57"/>
        <v>133.52707625193631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5.6843418860808015E-14</v>
      </c>
      <c r="AJ105" s="14">
        <f>AI105*VLOOKUP('Données projet'!$B$10,Paramètres!$A$1:$I$89,3,0)*VLOOKUP('Données projet'!$B$10,Paramètres!$A$1:$I$89,5,0)</f>
        <v>4.9658410716801891E-14</v>
      </c>
      <c r="AK105" s="14">
        <f t="shared" si="89"/>
        <v>8.0934058173791862E-13</v>
      </c>
      <c r="AL105" s="22">
        <f t="shared" si="58"/>
        <v>1.4960899118586383E-12</v>
      </c>
      <c r="AM105" s="62">
        <f t="shared" si="59"/>
        <v>293.33333333333479</v>
      </c>
      <c r="AN105" s="62">
        <f ca="1">AVERAGE(OFFSET($AM$3,0,0,'Données projet'!$E$10+1,1))-AVERAGE(OFFSET($H$3,0,0,'Données projet'!$E$10+1,1))</f>
        <v>304.32767345253382</v>
      </c>
      <c r="AO105" s="62">
        <f t="shared" si="90"/>
        <v>427.16091343339173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38.881083476576912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38.881083476576912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5.6843418860808015E-14</v>
      </c>
      <c r="BE105" s="14">
        <f>BD105*VLOOKUP('Données projet'!$B$11,Paramètres!$A$1:$I$89,3,0)*VLOOKUP('Données projet'!$B$11,Paramètres!$A$1:$I$89,5,0)</f>
        <v>3.3992364478763198E-14</v>
      </c>
      <c r="BF105" s="14">
        <f t="shared" si="91"/>
        <v>5.790027782444094E-13</v>
      </c>
      <c r="BG105" s="22">
        <f t="shared" si="61"/>
        <v>1.0676332069095257E-12</v>
      </c>
      <c r="BH105" s="62">
        <f t="shared" si="62"/>
        <v>293.33333333333439</v>
      </c>
      <c r="BI105" s="62">
        <f ca="1">AVERAGE(OFFSET($BH$3,0,0,'Données projet'!$E$11+1,1))-AVERAGE(OFFSET($H$3,0,0,'Données projet'!$E$11+1,1))</f>
        <v>294.26495752303765</v>
      </c>
      <c r="BJ105" s="62">
        <f t="shared" si="92"/>
        <v>212.24900914818096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123.12374431928109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1.5379256714482857E-2</v>
      </c>
      <c r="BS105" s="24">
        <f t="shared" si="63"/>
        <v>123.13912357599557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260.49759897936531</v>
      </c>
      <c r="T106" s="62">
        <f t="shared" si="88"/>
        <v>223.74038909289635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96.508499228898131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24.811140728106484</v>
      </c>
      <c r="AC106" s="24">
        <f t="shared" si="57"/>
        <v>121.31963995700461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5.6843418860808015E-14</v>
      </c>
      <c r="AJ106" s="14">
        <f>AI106*VLOOKUP('Données projet'!$B$10,Paramètres!$A$1:$I$89,3,0)*VLOOKUP('Données projet'!$B$10,Paramètres!$A$1:$I$89,5,0)</f>
        <v>4.9658410716801891E-14</v>
      </c>
      <c r="AK106" s="14">
        <f t="shared" si="89"/>
        <v>8.0934058173791862E-13</v>
      </c>
      <c r="AL106" s="22">
        <f t="shared" si="58"/>
        <v>1.4960899118586383E-12</v>
      </c>
      <c r="AM106" s="62">
        <f t="shared" si="59"/>
        <v>293.33333333333479</v>
      </c>
      <c r="AN106" s="62">
        <f ca="1">AVERAGE(OFFSET($AM$3,0,0,'Données projet'!$E$10+1,1))-AVERAGE(OFFSET($H$3,0,0,'Données projet'!$E$10+1,1))</f>
        <v>304.32767345253382</v>
      </c>
      <c r="AO106" s="62">
        <f t="shared" si="90"/>
        <v>427.16091343339173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38.118649144720486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38.118649144720486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5.6843418860808015E-14</v>
      </c>
      <c r="BE106" s="14">
        <f>BD106*VLOOKUP('Données projet'!$B$11,Paramètres!$A$1:$I$89,3,0)*VLOOKUP('Données projet'!$B$11,Paramètres!$A$1:$I$89,5,0)</f>
        <v>3.3992364478763198E-14</v>
      </c>
      <c r="BF106" s="14">
        <f t="shared" si="91"/>
        <v>5.790027782444094E-13</v>
      </c>
      <c r="BG106" s="22">
        <f t="shared" si="61"/>
        <v>1.0676332069095257E-12</v>
      </c>
      <c r="BH106" s="62">
        <f t="shared" si="62"/>
        <v>293.33333333333439</v>
      </c>
      <c r="BI106" s="62">
        <f ca="1">AVERAGE(OFFSET($BH$3,0,0,'Données projet'!$E$11+1,1))-AVERAGE(OFFSET($H$3,0,0,'Données projet'!$E$11+1,1))</f>
        <v>294.26495752303765</v>
      </c>
      <c r="BJ106" s="62">
        <f t="shared" si="92"/>
        <v>212.24900914818096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120.70936279124871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1.0874776712419572E-2</v>
      </c>
      <c r="BS106" s="24">
        <f t="shared" si="63"/>
        <v>120.72023756796112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260.49759897936531</v>
      </c>
      <c r="T107" s="62">
        <f t="shared" si="88"/>
        <v>223.74038909289635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94.616026423391588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17.544125857817829</v>
      </c>
      <c r="AC107" s="24">
        <f t="shared" si="57"/>
        <v>112.16015228120942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5.6843418860808015E-14</v>
      </c>
      <c r="AJ107" s="14">
        <f>AI107*VLOOKUP('Données projet'!$B$10,Paramètres!$A$1:$I$89,3,0)*VLOOKUP('Données projet'!$B$10,Paramètres!$A$1:$I$89,5,0)</f>
        <v>4.9658410716801891E-14</v>
      </c>
      <c r="AK107" s="14">
        <f t="shared" si="89"/>
        <v>8.0934058173791862E-13</v>
      </c>
      <c r="AL107" s="22">
        <f t="shared" si="58"/>
        <v>1.4960899118586383E-12</v>
      </c>
      <c r="AM107" s="62">
        <f t="shared" si="59"/>
        <v>293.33333333333479</v>
      </c>
      <c r="AN107" s="62">
        <f ca="1">AVERAGE(OFFSET($AM$3,0,0,'Données projet'!$E$10+1,1))-AVERAGE(OFFSET($H$3,0,0,'Données projet'!$E$10+1,1))</f>
        <v>304.32767345253382</v>
      </c>
      <c r="AO107" s="62">
        <f t="shared" si="90"/>
        <v>427.16091343339173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37.371165685072739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37.371165685072739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5.6843418860808015E-14</v>
      </c>
      <c r="BE107" s="14">
        <f>BD107*VLOOKUP('Données projet'!$B$11,Paramètres!$A$1:$I$89,3,0)*VLOOKUP('Données projet'!$B$11,Paramètres!$A$1:$I$89,5,0)</f>
        <v>3.3992364478763198E-14</v>
      </c>
      <c r="BF107" s="14">
        <f t="shared" si="91"/>
        <v>5.790027782444094E-13</v>
      </c>
      <c r="BG107" s="22">
        <f t="shared" si="61"/>
        <v>1.0676332069095257E-12</v>
      </c>
      <c r="BH107" s="62">
        <f t="shared" si="62"/>
        <v>293.33333333333439</v>
      </c>
      <c r="BI107" s="62">
        <f ca="1">AVERAGE(OFFSET($BH$3,0,0,'Données projet'!$E$11+1,1))-AVERAGE(OFFSET($H$3,0,0,'Données projet'!$E$11+1,1))</f>
        <v>294.26495752303765</v>
      </c>
      <c r="BJ107" s="62">
        <f t="shared" si="92"/>
        <v>212.24900914818096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118.34232581235372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7.6896283572414296E-3</v>
      </c>
      <c r="BS107" s="24">
        <f t="shared" si="63"/>
        <v>118.35001544071096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260.49759897936531</v>
      </c>
      <c r="T108" s="62">
        <f t="shared" si="88"/>
        <v>223.74038909289635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92.760663855306603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12.405570364053242</v>
      </c>
      <c r="AC108" s="24">
        <f t="shared" si="57"/>
        <v>105.16623421935985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5.6843418860808015E-14</v>
      </c>
      <c r="AJ108" s="14">
        <f>AI108*VLOOKUP('Données projet'!$B$10,Paramètres!$A$1:$I$89,3,0)*VLOOKUP('Données projet'!$B$10,Paramètres!$A$1:$I$89,5,0)</f>
        <v>4.9658410716801891E-14</v>
      </c>
      <c r="AK108" s="14">
        <f t="shared" si="89"/>
        <v>8.0934058173791862E-13</v>
      </c>
      <c r="AL108" s="22">
        <f t="shared" si="58"/>
        <v>1.4960899118586383E-12</v>
      </c>
      <c r="AM108" s="62">
        <f t="shared" si="59"/>
        <v>293.33333333333479</v>
      </c>
      <c r="AN108" s="62">
        <f ca="1">AVERAGE(OFFSET($AM$3,0,0,'Données projet'!$E$10+1,1))-AVERAGE(OFFSET($H$3,0,0,'Données projet'!$E$10+1,1))</f>
        <v>304.32767345253382</v>
      </c>
      <c r="AO108" s="62">
        <f t="shared" si="90"/>
        <v>427.16091343339173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36.638339920148795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36.638339920148795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5.6843418860808015E-14</v>
      </c>
      <c r="BE108" s="14">
        <f>BD108*VLOOKUP('Données projet'!$B$11,Paramètres!$A$1:$I$89,3,0)*VLOOKUP('Données projet'!$B$11,Paramètres!$A$1:$I$89,5,0)</f>
        <v>3.3992364478763198E-14</v>
      </c>
      <c r="BF108" s="14">
        <f t="shared" si="91"/>
        <v>5.790027782444094E-13</v>
      </c>
      <c r="BG108" s="22">
        <f t="shared" si="61"/>
        <v>1.0676332069095257E-12</v>
      </c>
      <c r="BH108" s="62">
        <f t="shared" si="62"/>
        <v>293.33333333333439</v>
      </c>
      <c r="BI108" s="62">
        <f ca="1">AVERAGE(OFFSET($BH$3,0,0,'Données projet'!$E$11+1,1))-AVERAGE(OFFSET($H$3,0,0,'Données projet'!$E$11+1,1))</f>
        <v>294.26495752303765</v>
      </c>
      <c r="BJ108" s="62">
        <f t="shared" si="92"/>
        <v>212.24900914818096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116.02170498486485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5.437388356209787E-3</v>
      </c>
      <c r="BS108" s="24">
        <f t="shared" si="63"/>
        <v>116.02714237322107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260.49759897936531</v>
      </c>
      <c r="T109" s="62">
        <f t="shared" si="88"/>
        <v>223.74038909289635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90.941683815522339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8.7720629289089143</v>
      </c>
      <c r="AC109" s="24">
        <f t="shared" si="57"/>
        <v>99.713746744431248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5.6843418860808015E-14</v>
      </c>
      <c r="AJ109" s="14">
        <f>AI109*VLOOKUP('Données projet'!$B$10,Paramètres!$A$1:$I$89,3,0)*VLOOKUP('Données projet'!$B$10,Paramètres!$A$1:$I$89,5,0)</f>
        <v>4.9658410716801891E-14</v>
      </c>
      <c r="AK109" s="14">
        <f t="shared" si="89"/>
        <v>8.0934058173791862E-13</v>
      </c>
      <c r="AL109" s="22">
        <f t="shared" si="58"/>
        <v>1.4960899118586383E-12</v>
      </c>
      <c r="AM109" s="62">
        <f t="shared" si="59"/>
        <v>293.33333333333479</v>
      </c>
      <c r="AN109" s="62">
        <f ca="1">AVERAGE(OFFSET($AM$3,0,0,'Données projet'!$E$10+1,1))-AVERAGE(OFFSET($H$3,0,0,'Données projet'!$E$10+1,1))</f>
        <v>304.32767345253382</v>
      </c>
      <c r="AO109" s="62">
        <f t="shared" si="90"/>
        <v>427.16091343339173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35.919884421495425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35.919884421495425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5.6843418860808015E-14</v>
      </c>
      <c r="BE109" s="14">
        <f>BD109*VLOOKUP('Données projet'!$B$11,Paramètres!$A$1:$I$89,3,0)*VLOOKUP('Données projet'!$B$11,Paramètres!$A$1:$I$89,5,0)</f>
        <v>3.3992364478763198E-14</v>
      </c>
      <c r="BF109" s="14">
        <f t="shared" si="91"/>
        <v>5.790027782444094E-13</v>
      </c>
      <c r="BG109" s="22">
        <f t="shared" si="61"/>
        <v>1.0676332069095257E-12</v>
      </c>
      <c r="BH109" s="62">
        <f t="shared" si="62"/>
        <v>293.33333333333439</v>
      </c>
      <c r="BI109" s="62">
        <f ca="1">AVERAGE(OFFSET($BH$3,0,0,'Données projet'!$E$11+1,1))-AVERAGE(OFFSET($H$3,0,0,'Données projet'!$E$11+1,1))</f>
        <v>294.26495752303765</v>
      </c>
      <c r="BJ109" s="62">
        <f t="shared" si="92"/>
        <v>212.24900914818096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113.7465901163641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3.8448141786207152E-3</v>
      </c>
      <c r="BS109" s="24">
        <f t="shared" si="63"/>
        <v>113.75043493054272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260.49759897936531</v>
      </c>
      <c r="T110" s="62">
        <f t="shared" si="88"/>
        <v>223.74038909289635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89.158372864849966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6.2027851820266209</v>
      </c>
      <c r="AC110" s="24">
        <f t="shared" si="57"/>
        <v>95.361158046876582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5.6843418860808015E-14</v>
      </c>
      <c r="AJ110" s="14">
        <f>AI110*VLOOKUP('Données projet'!$B$10,Paramètres!$A$1:$I$89,3,0)*VLOOKUP('Données projet'!$B$10,Paramètres!$A$1:$I$89,5,0)</f>
        <v>4.9658410716801891E-14</v>
      </c>
      <c r="AK110" s="14">
        <f t="shared" si="89"/>
        <v>8.0934058173791862E-13</v>
      </c>
      <c r="AL110" s="22">
        <f t="shared" si="58"/>
        <v>1.4960899118586383E-12</v>
      </c>
      <c r="AM110" s="62">
        <f t="shared" si="59"/>
        <v>293.33333333333479</v>
      </c>
      <c r="AN110" s="62">
        <f ca="1">AVERAGE(OFFSET($AM$3,0,0,'Données projet'!$E$10+1,1))-AVERAGE(OFFSET($H$3,0,0,'Données projet'!$E$10+1,1))</f>
        <v>304.32767345253382</v>
      </c>
      <c r="AO110" s="62">
        <f t="shared" si="90"/>
        <v>427.16091343339173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35.215517396956066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35.215517396956066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5.6843418860808015E-14</v>
      </c>
      <c r="BE110" s="14">
        <f>BD110*VLOOKUP('Données projet'!$B$11,Paramètres!$A$1:$I$89,3,0)*VLOOKUP('Données projet'!$B$11,Paramètres!$A$1:$I$89,5,0)</f>
        <v>3.3992364478763198E-14</v>
      </c>
      <c r="BF110" s="14">
        <f t="shared" si="91"/>
        <v>5.790027782444094E-13</v>
      </c>
      <c r="BG110" s="22">
        <f t="shared" si="61"/>
        <v>1.0676332069095257E-12</v>
      </c>
      <c r="BH110" s="62">
        <f t="shared" si="62"/>
        <v>293.33333333333439</v>
      </c>
      <c r="BI110" s="62">
        <f ca="1">AVERAGE(OFFSET($BH$3,0,0,'Données projet'!$E$11+1,1))-AVERAGE(OFFSET($H$3,0,0,'Données projet'!$E$11+1,1))</f>
        <v>294.26495752303765</v>
      </c>
      <c r="BJ110" s="62">
        <f t="shared" si="92"/>
        <v>212.24900914818096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111.51608886275162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2.7186941781048939E-3</v>
      </c>
      <c r="BS110" s="24">
        <f t="shared" si="63"/>
        <v>111.51880755692972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260.49759897936531</v>
      </c>
      <c r="T111" s="62">
        <f t="shared" si="88"/>
        <v>223.74038909289635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87.410031554208004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4.3860314644544571</v>
      </c>
      <c r="AC111" s="24">
        <f t="shared" si="57"/>
        <v>91.796063018662466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5.6843418860808015E-14</v>
      </c>
      <c r="AJ111" s="14">
        <f>AI111*VLOOKUP('Données projet'!$B$10,Paramètres!$A$1:$I$89,3,0)*VLOOKUP('Données projet'!$B$10,Paramètres!$A$1:$I$89,5,0)</f>
        <v>4.9658410716801891E-14</v>
      </c>
      <c r="AK111" s="14">
        <f t="shared" si="89"/>
        <v>8.0934058173791862E-13</v>
      </c>
      <c r="AL111" s="22">
        <f t="shared" si="58"/>
        <v>1.4960899118586383E-12</v>
      </c>
      <c r="AM111" s="62">
        <f t="shared" si="59"/>
        <v>293.33333333333479</v>
      </c>
      <c r="AN111" s="62">
        <f ca="1">AVERAGE(OFFSET($AM$3,0,0,'Données projet'!$E$10+1,1))-AVERAGE(OFFSET($H$3,0,0,'Données projet'!$E$10+1,1))</f>
        <v>304.32767345253382</v>
      </c>
      <c r="AO111" s="62">
        <f t="shared" si="90"/>
        <v>427.16091343339173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34.524962580146457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34.524962580146457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5.6843418860808015E-14</v>
      </c>
      <c r="BE111" s="14">
        <f>BD111*VLOOKUP('Données projet'!$B$11,Paramètres!$A$1:$I$89,3,0)*VLOOKUP('Données projet'!$B$11,Paramètres!$A$1:$I$89,5,0)</f>
        <v>3.3992364478763198E-14</v>
      </c>
      <c r="BF111" s="14">
        <f t="shared" si="91"/>
        <v>5.790027782444094E-13</v>
      </c>
      <c r="BG111" s="22">
        <f t="shared" si="61"/>
        <v>1.0676332069095257E-12</v>
      </c>
      <c r="BH111" s="62">
        <f t="shared" si="62"/>
        <v>293.33333333333439</v>
      </c>
      <c r="BI111" s="62">
        <f ca="1">AVERAGE(OFFSET($BH$3,0,0,'Données projet'!$E$11+1,1))-AVERAGE(OFFSET($H$3,0,0,'Données projet'!$E$11+1,1))</f>
        <v>294.26495752303765</v>
      </c>
      <c r="BJ111" s="62">
        <f t="shared" si="92"/>
        <v>212.24900914818096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109.32932637825104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1.922407089310358E-3</v>
      </c>
      <c r="BS111" s="24">
        <f t="shared" si="63"/>
        <v>109.33124878534035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260.49759897936531</v>
      </c>
      <c r="T112" s="62">
        <f t="shared" si="88"/>
        <v>223.74038909289635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85.695974150284826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3.1013925910133104</v>
      </c>
      <c r="AC112" s="24">
        <f t="shared" si="57"/>
        <v>88.797366741298134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5.6843418860808015E-14</v>
      </c>
      <c r="AJ112" s="14">
        <f>AI112*VLOOKUP('Données projet'!$B$10,Paramètres!$A$1:$I$89,3,0)*VLOOKUP('Données projet'!$B$10,Paramètres!$A$1:$I$89,5,0)</f>
        <v>4.9658410716801891E-14</v>
      </c>
      <c r="AK112" s="14">
        <f t="shared" si="89"/>
        <v>8.0934058173791862E-13</v>
      </c>
      <c r="AL112" s="22">
        <f t="shared" si="58"/>
        <v>1.4960899118586383E-12</v>
      </c>
      <c r="AM112" s="62">
        <f t="shared" si="59"/>
        <v>293.33333333333479</v>
      </c>
      <c r="AN112" s="62">
        <f ca="1">AVERAGE(OFFSET($AM$3,0,0,'Données projet'!$E$10+1,1))-AVERAGE(OFFSET($H$3,0,0,'Données projet'!$E$10+1,1))</f>
        <v>304.32767345253382</v>
      </c>
      <c r="AO112" s="62">
        <f t="shared" si="90"/>
        <v>427.16091343339173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33.847949122097639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33.847949122097639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5.6843418860808015E-14</v>
      </c>
      <c r="BE112" s="14">
        <f>BD112*VLOOKUP('Données projet'!$B$11,Paramètres!$A$1:$I$89,3,0)*VLOOKUP('Données projet'!$B$11,Paramètres!$A$1:$I$89,5,0)</f>
        <v>3.3992364478763198E-14</v>
      </c>
      <c r="BF112" s="14">
        <f t="shared" si="91"/>
        <v>5.790027782444094E-13</v>
      </c>
      <c r="BG112" s="22">
        <f t="shared" si="61"/>
        <v>1.0676332069095257E-12</v>
      </c>
      <c r="BH112" s="62">
        <f t="shared" si="62"/>
        <v>293.33333333333439</v>
      </c>
      <c r="BI112" s="62">
        <f ca="1">AVERAGE(OFFSET($BH$3,0,0,'Données projet'!$E$11+1,1))-AVERAGE(OFFSET($H$3,0,0,'Données projet'!$E$11+1,1))</f>
        <v>294.26495752303765</v>
      </c>
      <c r="BJ112" s="62">
        <f t="shared" si="92"/>
        <v>212.24900914818096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107.18544497227811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1.3593470890524472E-3</v>
      </c>
      <c r="BS112" s="24">
        <f t="shared" si="63"/>
        <v>107.18680431936716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260.49759897936531</v>
      </c>
      <c r="T113" s="62">
        <f t="shared" si="88"/>
        <v>223.74038909289635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84.015528366580796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2.1930157322272286</v>
      </c>
      <c r="AC113" s="24">
        <f t="shared" si="57"/>
        <v>86.208544098808019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5.6843418860808015E-14</v>
      </c>
      <c r="AJ113" s="14">
        <f>AI113*VLOOKUP('Données projet'!$B$10,Paramètres!$A$1:$I$89,3,0)*VLOOKUP('Données projet'!$B$10,Paramètres!$A$1:$I$89,5,0)</f>
        <v>4.9658410716801891E-14</v>
      </c>
      <c r="AK113" s="14">
        <f t="shared" si="89"/>
        <v>8.0934058173791862E-13</v>
      </c>
      <c r="AL113" s="22">
        <f t="shared" si="58"/>
        <v>1.4960899118586383E-12</v>
      </c>
      <c r="AM113" s="62">
        <f t="shared" si="59"/>
        <v>293.33333333333479</v>
      </c>
      <c r="AN113" s="62">
        <f ca="1">AVERAGE(OFFSET($AM$3,0,0,'Données projet'!$E$10+1,1))-AVERAGE(OFFSET($H$3,0,0,'Données projet'!$E$10+1,1))</f>
        <v>304.32767345253382</v>
      </c>
      <c r="AO113" s="62">
        <f t="shared" si="90"/>
        <v>427.16091343339173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33.184211485023724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33.184211485023724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5.6843418860808015E-14</v>
      </c>
      <c r="BE113" s="14">
        <f>BD113*VLOOKUP('Données projet'!$B$11,Paramètres!$A$1:$I$89,3,0)*VLOOKUP('Données projet'!$B$11,Paramètres!$A$1:$I$89,5,0)</f>
        <v>3.3992364478763198E-14</v>
      </c>
      <c r="BF113" s="14">
        <f t="shared" si="91"/>
        <v>5.790027782444094E-13</v>
      </c>
      <c r="BG113" s="22">
        <f t="shared" si="61"/>
        <v>1.0676332069095257E-12</v>
      </c>
      <c r="BH113" s="62">
        <f t="shared" si="62"/>
        <v>293.33333333333439</v>
      </c>
      <c r="BI113" s="62">
        <f ca="1">AVERAGE(OFFSET($BH$3,0,0,'Données projet'!$E$11+1,1))-AVERAGE(OFFSET($H$3,0,0,'Données projet'!$E$11+1,1))</f>
        <v>294.26495752303765</v>
      </c>
      <c r="BJ113" s="62">
        <f t="shared" si="92"/>
        <v>212.24900914818096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105.08360377303775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9.6120354465517913E-4</v>
      </c>
      <c r="BS113" s="24">
        <f t="shared" si="63"/>
        <v>105.08456497658241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260.49759897936531</v>
      </c>
      <c r="T114" s="62">
        <f t="shared" si="88"/>
        <v>223.74038909289635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82.36803509972448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1.5506962955066552</v>
      </c>
      <c r="AC114" s="24">
        <f t="shared" si="57"/>
        <v>83.918731395231134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5.6843418860808015E-14</v>
      </c>
      <c r="AJ114" s="14">
        <f>AI114*VLOOKUP('Données projet'!$B$10,Paramètres!$A$1:$I$89,3,0)*VLOOKUP('Données projet'!$B$10,Paramètres!$A$1:$I$89,5,0)</f>
        <v>4.9658410716801891E-14</v>
      </c>
      <c r="AK114" s="14">
        <f t="shared" si="89"/>
        <v>8.0934058173791862E-13</v>
      </c>
      <c r="AL114" s="22">
        <f t="shared" si="58"/>
        <v>1.4960899118586383E-12</v>
      </c>
      <c r="AM114" s="62">
        <f t="shared" si="59"/>
        <v>293.33333333333479</v>
      </c>
      <c r="AN114" s="62">
        <f ca="1">AVERAGE(OFFSET($AM$3,0,0,'Données projet'!$E$10+1,1))-AVERAGE(OFFSET($H$3,0,0,'Données projet'!$E$10+1,1))</f>
        <v>304.32767345253382</v>
      </c>
      <c r="AO114" s="62">
        <f t="shared" si="90"/>
        <v>427.16091343339173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32.533489338172842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32.533489338172842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5.6843418860808015E-14</v>
      </c>
      <c r="BE114" s="14">
        <f>BD114*VLOOKUP('Données projet'!$B$11,Paramètres!$A$1:$I$89,3,0)*VLOOKUP('Données projet'!$B$11,Paramètres!$A$1:$I$89,5,0)</f>
        <v>3.3992364478763198E-14</v>
      </c>
      <c r="BF114" s="14">
        <f t="shared" si="91"/>
        <v>5.790027782444094E-13</v>
      </c>
      <c r="BG114" s="22">
        <f t="shared" si="61"/>
        <v>1.0676332069095257E-12</v>
      </c>
      <c r="BH114" s="62">
        <f t="shared" si="62"/>
        <v>293.33333333333439</v>
      </c>
      <c r="BI114" s="62">
        <f ca="1">AVERAGE(OFFSET($BH$3,0,0,'Données projet'!$E$11+1,1))-AVERAGE(OFFSET($H$3,0,0,'Données projet'!$E$11+1,1))</f>
        <v>294.26495752303765</v>
      </c>
      <c r="BJ114" s="62">
        <f t="shared" si="92"/>
        <v>212.24900914818096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103.02297839771796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6.7967354452622369E-4</v>
      </c>
      <c r="BS114" s="24">
        <f t="shared" si="63"/>
        <v>103.02365807126249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260.49759897936531</v>
      </c>
      <c r="T115" s="62">
        <f t="shared" si="88"/>
        <v>223.74038909289635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80.752848170959552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1.0965078661136143</v>
      </c>
      <c r="AC115" s="24">
        <f t="shared" si="57"/>
        <v>81.849356037073164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5.6843418860808015E-14</v>
      </c>
      <c r="AJ115" s="14">
        <f>AI115*VLOOKUP('Données projet'!$B$10,Paramètres!$A$1:$I$89,3,0)*VLOOKUP('Données projet'!$B$10,Paramètres!$A$1:$I$89,5,0)</f>
        <v>4.9658410716801891E-14</v>
      </c>
      <c r="AK115" s="14">
        <f t="shared" si="89"/>
        <v>8.0934058173791862E-13</v>
      </c>
      <c r="AL115" s="22">
        <f t="shared" si="58"/>
        <v>1.4960899118586383E-12</v>
      </c>
      <c r="AM115" s="62">
        <f t="shared" si="59"/>
        <v>293.33333333333479</v>
      </c>
      <c r="AN115" s="62">
        <f ca="1">AVERAGE(OFFSET($AM$3,0,0,'Données projet'!$E$10+1,1))-AVERAGE(OFFSET($H$3,0,0,'Données projet'!$E$10+1,1))</f>
        <v>304.32767345253382</v>
      </c>
      <c r="AO115" s="62">
        <f t="shared" si="90"/>
        <v>427.16091343339173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31.895527455720391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31.895527455720391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5.6843418860808015E-14</v>
      </c>
      <c r="BE115" s="14">
        <f>BD115*VLOOKUP('Données projet'!$B$11,Paramètres!$A$1:$I$89,3,0)*VLOOKUP('Données projet'!$B$11,Paramètres!$A$1:$I$89,5,0)</f>
        <v>3.3992364478763198E-14</v>
      </c>
      <c r="BF115" s="14">
        <f t="shared" si="91"/>
        <v>5.790027782444094E-13</v>
      </c>
      <c r="BG115" s="22">
        <f t="shared" si="61"/>
        <v>1.0676332069095257E-12</v>
      </c>
      <c r="BH115" s="62">
        <f t="shared" si="62"/>
        <v>293.33333333333439</v>
      </c>
      <c r="BI115" s="62">
        <f ca="1">AVERAGE(OFFSET($BH$3,0,0,'Données projet'!$E$11+1,1))-AVERAGE(OFFSET($H$3,0,0,'Données projet'!$E$11+1,1))</f>
        <v>294.26495752303765</v>
      </c>
      <c r="BJ115" s="62">
        <f t="shared" si="92"/>
        <v>212.24900914818096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101.00276062915081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4.8060177232758967E-4</v>
      </c>
      <c r="BS115" s="24">
        <f t="shared" si="63"/>
        <v>101.00324123092314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260.49759897936531</v>
      </c>
      <c r="T116" s="62">
        <f t="shared" si="88"/>
        <v>223.74038909289635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79.169334072700948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0.77534814775332761</v>
      </c>
      <c r="AC116" s="24">
        <f t="shared" si="57"/>
        <v>79.944682220454283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5.6843418860808015E-14</v>
      </c>
      <c r="AJ116" s="14">
        <f>AI116*VLOOKUP('Données projet'!$B$10,Paramètres!$A$1:$I$89,3,0)*VLOOKUP('Données projet'!$B$10,Paramètres!$A$1:$I$89,5,0)</f>
        <v>4.9658410716801891E-14</v>
      </c>
      <c r="AK116" s="14">
        <f t="shared" si="89"/>
        <v>8.0934058173791862E-13</v>
      </c>
      <c r="AL116" s="22">
        <f t="shared" si="58"/>
        <v>1.4960899118586383E-12</v>
      </c>
      <c r="AM116" s="62">
        <f t="shared" si="59"/>
        <v>293.33333333333479</v>
      </c>
      <c r="AN116" s="62">
        <f ca="1">AVERAGE(OFFSET($AM$3,0,0,'Données projet'!$E$10+1,1))-AVERAGE(OFFSET($H$3,0,0,'Données projet'!$E$10+1,1))</f>
        <v>304.32767345253382</v>
      </c>
      <c r="AO116" s="62">
        <f t="shared" si="90"/>
        <v>427.16091343339173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31.270075616664503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31.270075616664503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5.6843418860808015E-14</v>
      </c>
      <c r="BE116" s="14">
        <f>BD116*VLOOKUP('Données projet'!$B$11,Paramètres!$A$1:$I$89,3,0)*VLOOKUP('Données projet'!$B$11,Paramètres!$A$1:$I$89,5,0)</f>
        <v>3.3992364478763198E-14</v>
      </c>
      <c r="BF116" s="14">
        <f t="shared" si="91"/>
        <v>5.790027782444094E-13</v>
      </c>
      <c r="BG116" s="22">
        <f t="shared" si="61"/>
        <v>1.0676332069095257E-12</v>
      </c>
      <c r="BH116" s="62">
        <f t="shared" si="62"/>
        <v>293.33333333333439</v>
      </c>
      <c r="BI116" s="62">
        <f ca="1">AVERAGE(OFFSET($BH$3,0,0,'Données projet'!$E$11+1,1))-AVERAGE(OFFSET($H$3,0,0,'Données projet'!$E$11+1,1))</f>
        <v>294.26495752303765</v>
      </c>
      <c r="BJ116" s="62">
        <f t="shared" si="92"/>
        <v>212.24900914818096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99.022158098814103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3.398367722631119E-4</v>
      </c>
      <c r="BS116" s="24">
        <f t="shared" si="63"/>
        <v>99.022497935586372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260.49759897936531</v>
      </c>
      <c r="T117" s="62">
        <f t="shared" si="88"/>
        <v>223.74038909289635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77.616871720060971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0.54825393305680714</v>
      </c>
      <c r="AC117" s="24">
        <f t="shared" si="57"/>
        <v>78.165125653117784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5.6843418860808015E-14</v>
      </c>
      <c r="AJ117" s="14">
        <f>AI117*VLOOKUP('Données projet'!$B$10,Paramètres!$A$1:$I$89,3,0)*VLOOKUP('Données projet'!$B$10,Paramètres!$A$1:$I$89,5,0)</f>
        <v>4.9658410716801891E-14</v>
      </c>
      <c r="AK117" s="14">
        <f t="shared" si="89"/>
        <v>8.0934058173791862E-13</v>
      </c>
      <c r="AL117" s="22">
        <f t="shared" si="58"/>
        <v>1.4960899118586383E-12</v>
      </c>
      <c r="AM117" s="62">
        <f t="shared" si="59"/>
        <v>293.33333333333479</v>
      </c>
      <c r="AN117" s="62">
        <f ca="1">AVERAGE(OFFSET($AM$3,0,0,'Données projet'!$E$10+1,1))-AVERAGE(OFFSET($H$3,0,0,'Données projet'!$E$10+1,1))</f>
        <v>304.32767345253382</v>
      </c>
      <c r="AO117" s="62">
        <f t="shared" si="90"/>
        <v>427.16091343339173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30.656888506684549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30.656888506684549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5.6843418860808015E-14</v>
      </c>
      <c r="BE117" s="14">
        <f>BD117*VLOOKUP('Données projet'!$B$11,Paramètres!$A$1:$I$89,3,0)*VLOOKUP('Données projet'!$B$11,Paramètres!$A$1:$I$89,5,0)</f>
        <v>3.3992364478763198E-14</v>
      </c>
      <c r="BF117" s="14">
        <f t="shared" si="91"/>
        <v>5.790027782444094E-13</v>
      </c>
      <c r="BG117" s="22">
        <f t="shared" si="61"/>
        <v>1.0676332069095257E-12</v>
      </c>
      <c r="BH117" s="62">
        <f t="shared" si="62"/>
        <v>293.33333333333439</v>
      </c>
      <c r="BI117" s="62">
        <f ca="1">AVERAGE(OFFSET($BH$3,0,0,'Données projet'!$E$11+1,1))-AVERAGE(OFFSET($H$3,0,0,'Données projet'!$E$11+1,1))</f>
        <v>294.26495752303765</v>
      </c>
      <c r="BJ117" s="62">
        <f t="shared" si="92"/>
        <v>212.24900914818096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97.080393976049038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2.4030088616379486E-4</v>
      </c>
      <c r="BS117" s="24">
        <f t="shared" si="63"/>
        <v>97.0806342769352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260.49759897936531</v>
      </c>
      <c r="T118" s="62">
        <f t="shared" si="88"/>
        <v>223.74038909289635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76.094852207247726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0.38767407387666381</v>
      </c>
      <c r="AC118" s="24">
        <f t="shared" si="57"/>
        <v>76.482526281124393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5.6843418860808015E-14</v>
      </c>
      <c r="AJ118" s="14">
        <f>AI118*VLOOKUP('Données projet'!$B$10,Paramètres!$A$1:$I$89,3,0)*VLOOKUP('Données projet'!$B$10,Paramètres!$A$1:$I$89,5,0)</f>
        <v>4.9658410716801891E-14</v>
      </c>
      <c r="AK118" s="14">
        <f t="shared" si="89"/>
        <v>8.0934058173791862E-13</v>
      </c>
      <c r="AL118" s="22">
        <f t="shared" si="58"/>
        <v>1.4960899118586383E-12</v>
      </c>
      <c r="AM118" s="62">
        <f t="shared" si="59"/>
        <v>293.33333333333479</v>
      </c>
      <c r="AN118" s="62">
        <f ca="1">AVERAGE(OFFSET($AM$3,0,0,'Données projet'!$E$10+1,1))-AVERAGE(OFFSET($H$3,0,0,'Données projet'!$E$10+1,1))</f>
        <v>304.32767345253382</v>
      </c>
      <c r="AO118" s="62">
        <f t="shared" si="90"/>
        <v>427.16091343339173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30.055725621924097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30.055725621924097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5.6843418860808015E-14</v>
      </c>
      <c r="BE118" s="14">
        <f>BD118*VLOOKUP('Données projet'!$B$11,Paramètres!$A$1:$I$89,3,0)*VLOOKUP('Données projet'!$B$11,Paramètres!$A$1:$I$89,5,0)</f>
        <v>3.3992364478763198E-14</v>
      </c>
      <c r="BF118" s="14">
        <f t="shared" si="91"/>
        <v>5.790027782444094E-13</v>
      </c>
      <c r="BG118" s="22">
        <f t="shared" si="61"/>
        <v>1.0676332069095257E-12</v>
      </c>
      <c r="BH118" s="62">
        <f t="shared" si="62"/>
        <v>293.33333333333439</v>
      </c>
      <c r="BI118" s="62">
        <f ca="1">AVERAGE(OFFSET($BH$3,0,0,'Données projet'!$E$11+1,1))-AVERAGE(OFFSET($H$3,0,0,'Données projet'!$E$11+1,1))</f>
        <v>294.26495752303765</v>
      </c>
      <c r="BJ118" s="62">
        <f t="shared" si="92"/>
        <v>212.24900914818096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95.176706663372229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1.6991838613155598E-4</v>
      </c>
      <c r="BS118" s="24">
        <f t="shared" si="63"/>
        <v>95.176876581758364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260.49759897936531</v>
      </c>
      <c r="T119" s="62">
        <f t="shared" si="88"/>
        <v>223.74038909289635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74.602678568740515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0.27412696652840357</v>
      </c>
      <c r="AC119" s="24">
        <f t="shared" si="57"/>
        <v>74.876805535268915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5.6843418860808015E-14</v>
      </c>
      <c r="AJ119" s="14">
        <f>AI119*VLOOKUP('Données projet'!$B$10,Paramètres!$A$1:$I$89,3,0)*VLOOKUP('Données projet'!$B$10,Paramètres!$A$1:$I$89,5,0)</f>
        <v>4.9658410716801891E-14</v>
      </c>
      <c r="AK119" s="14">
        <f t="shared" si="89"/>
        <v>8.0934058173791862E-13</v>
      </c>
      <c r="AL119" s="22">
        <f t="shared" si="58"/>
        <v>1.4960899118586383E-12</v>
      </c>
      <c r="AM119" s="62">
        <f t="shared" si="59"/>
        <v>293.33333333333479</v>
      </c>
      <c r="AN119" s="62">
        <f ca="1">AVERAGE(OFFSET($AM$3,0,0,'Données projet'!$E$10+1,1))-AVERAGE(OFFSET($H$3,0,0,'Données projet'!$E$10+1,1))</f>
        <v>304.32767345253382</v>
      </c>
      <c r="AO119" s="62">
        <f t="shared" si="90"/>
        <v>427.16091343339173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29.466351174660641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29.466351174660641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5.6843418860808015E-14</v>
      </c>
      <c r="BE119" s="14">
        <f>BD119*VLOOKUP('Données projet'!$B$11,Paramètres!$A$1:$I$89,3,0)*VLOOKUP('Données projet'!$B$11,Paramètres!$A$1:$I$89,5,0)</f>
        <v>3.3992364478763198E-14</v>
      </c>
      <c r="BF119" s="14">
        <f t="shared" si="91"/>
        <v>5.790027782444094E-13</v>
      </c>
      <c r="BG119" s="22">
        <f t="shared" si="61"/>
        <v>1.0676332069095257E-12</v>
      </c>
      <c r="BH119" s="62">
        <f t="shared" si="62"/>
        <v>293.33333333333439</v>
      </c>
      <c r="BI119" s="62">
        <f ca="1">AVERAGE(OFFSET($BH$3,0,0,'Données projet'!$E$11+1,1))-AVERAGE(OFFSET($H$3,0,0,'Données projet'!$E$11+1,1))</f>
        <v>294.26495752303765</v>
      </c>
      <c r="BJ119" s="62">
        <f t="shared" si="92"/>
        <v>212.24900914818096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93.310349497762402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1.2015044308189746E-4</v>
      </c>
      <c r="BS119" s="24">
        <f t="shared" si="63"/>
        <v>93.310469648205483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260.49759897936531</v>
      </c>
      <c r="T120" s="62">
        <f t="shared" si="88"/>
        <v>223.74038909289635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73.139765545148379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0.1938370369383319</v>
      </c>
      <c r="AC120" s="24">
        <f t="shared" si="57"/>
        <v>73.333602582086712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5.6843418860808015E-14</v>
      </c>
      <c r="AJ120" s="14">
        <f>AI120*VLOOKUP('Données projet'!$B$10,Paramètres!$A$1:$I$89,3,0)*VLOOKUP('Données projet'!$B$10,Paramètres!$A$1:$I$89,5,0)</f>
        <v>4.9658410716801891E-14</v>
      </c>
      <c r="AK120" s="14">
        <f t="shared" si="89"/>
        <v>8.0934058173791862E-13</v>
      </c>
      <c r="AL120" s="22">
        <f t="shared" si="58"/>
        <v>1.4960899118586383E-12</v>
      </c>
      <c r="AM120" s="62">
        <f t="shared" si="59"/>
        <v>293.33333333333479</v>
      </c>
      <c r="AN120" s="62">
        <f ca="1">AVERAGE(OFFSET($AM$3,0,0,'Données projet'!$E$10+1,1))-AVERAGE(OFFSET($H$3,0,0,'Données projet'!$E$10+1,1))</f>
        <v>304.32767345253382</v>
      </c>
      <c r="AO120" s="62">
        <f t="shared" si="90"/>
        <v>427.16091343339173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28.888534000825107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28.888534000825107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5.6843418860808015E-14</v>
      </c>
      <c r="BE120" s="14">
        <f>BD120*VLOOKUP('Données projet'!$B$11,Paramètres!$A$1:$I$89,3,0)*VLOOKUP('Données projet'!$B$11,Paramètres!$A$1:$I$89,5,0)</f>
        <v>3.3992364478763198E-14</v>
      </c>
      <c r="BF120" s="14">
        <f t="shared" si="91"/>
        <v>5.790027782444094E-13</v>
      </c>
      <c r="BG120" s="22">
        <f t="shared" si="61"/>
        <v>1.0676332069095257E-12</v>
      </c>
      <c r="BH120" s="62">
        <f t="shared" si="62"/>
        <v>293.33333333333439</v>
      </c>
      <c r="BI120" s="62">
        <f ca="1">AVERAGE(OFFSET($BH$3,0,0,'Données projet'!$E$11+1,1))-AVERAGE(OFFSET($H$3,0,0,'Données projet'!$E$11+1,1))</f>
        <v>294.26495752303765</v>
      </c>
      <c r="BJ120" s="62">
        <f t="shared" si="92"/>
        <v>212.24900914818096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91.480590457804709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8.4959193065778003E-5</v>
      </c>
      <c r="BS120" s="24">
        <f t="shared" si="63"/>
        <v>91.480675416997769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260.49759897936531</v>
      </c>
      <c r="T121" s="62">
        <f t="shared" si="88"/>
        <v>223.74038909289635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71.705539353660043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0.13706348326420179</v>
      </c>
      <c r="AC121" s="24">
        <f t="shared" si="57"/>
        <v>71.842602836924243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5.6843418860808015E-14</v>
      </c>
      <c r="AJ121" s="14">
        <f>AI121*VLOOKUP('Données projet'!$B$10,Paramètres!$A$1:$I$89,3,0)*VLOOKUP('Données projet'!$B$10,Paramètres!$A$1:$I$89,5,0)</f>
        <v>4.9658410716801891E-14</v>
      </c>
      <c r="AK121" s="14">
        <f t="shared" si="89"/>
        <v>8.0934058173791862E-13</v>
      </c>
      <c r="AL121" s="22">
        <f t="shared" si="58"/>
        <v>1.4960899118586383E-12</v>
      </c>
      <c r="AM121" s="62">
        <f t="shared" si="59"/>
        <v>293.33333333333479</v>
      </c>
      <c r="AN121" s="62">
        <f ca="1">AVERAGE(OFFSET($AM$3,0,0,'Données projet'!$E$10+1,1))-AVERAGE(OFFSET($H$3,0,0,'Données projet'!$E$10+1,1))</f>
        <v>304.32767345253382</v>
      </c>
      <c r="AO121" s="62">
        <f t="shared" si="90"/>
        <v>427.16091343339173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28.322047469334809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28.322047469334809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5.6843418860808015E-14</v>
      </c>
      <c r="BE121" s="14">
        <f>BD121*VLOOKUP('Données projet'!$B$11,Paramètres!$A$1:$I$89,3,0)*VLOOKUP('Données projet'!$B$11,Paramètres!$A$1:$I$89,5,0)</f>
        <v>3.3992364478763198E-14</v>
      </c>
      <c r="BF121" s="14">
        <f t="shared" si="91"/>
        <v>5.790027782444094E-13</v>
      </c>
      <c r="BG121" s="22">
        <f t="shared" si="61"/>
        <v>1.0676332069095257E-12</v>
      </c>
      <c r="BH121" s="62">
        <f t="shared" si="62"/>
        <v>293.33333333333439</v>
      </c>
      <c r="BI121" s="62">
        <f ca="1">AVERAGE(OFFSET($BH$3,0,0,'Données projet'!$E$11+1,1))-AVERAGE(OFFSET($H$3,0,0,'Données projet'!$E$11+1,1))</f>
        <v>294.26495752303765</v>
      </c>
      <c r="BJ121" s="62">
        <f t="shared" si="92"/>
        <v>212.24900914818096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89.686711876577775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6.0075221540948736E-5</v>
      </c>
      <c r="BS121" s="24">
        <f t="shared" si="63"/>
        <v>89.686771951799315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260.49759897936531</v>
      </c>
      <c r="T122" s="62">
        <f t="shared" si="88"/>
        <v>223.74038909289635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70.299437462995201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9.6918518469165951E-2</v>
      </c>
      <c r="AC122" s="24">
        <f t="shared" si="57"/>
        <v>70.396355981464367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5.6843418860808015E-14</v>
      </c>
      <c r="AJ122" s="14">
        <f>AI122*VLOOKUP('Données projet'!$B$10,Paramètres!$A$1:$I$89,3,0)*VLOOKUP('Données projet'!$B$10,Paramètres!$A$1:$I$89,5,0)</f>
        <v>4.9658410716801891E-14</v>
      </c>
      <c r="AK122" s="14">
        <f t="shared" si="89"/>
        <v>8.0934058173791862E-13</v>
      </c>
      <c r="AL122" s="22">
        <f t="shared" si="58"/>
        <v>1.4960899118586383E-12</v>
      </c>
      <c r="AM122" s="62">
        <f t="shared" si="59"/>
        <v>293.33333333333479</v>
      </c>
      <c r="AN122" s="62">
        <f ca="1">AVERAGE(OFFSET($AM$3,0,0,'Données projet'!$E$10+1,1))-AVERAGE(OFFSET($H$3,0,0,'Données projet'!$E$10+1,1))</f>
        <v>304.32767345253382</v>
      </c>
      <c r="AO122" s="62">
        <f t="shared" si="90"/>
        <v>427.16091343339173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27.766669393204371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27.766669393204371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5.6843418860808015E-14</v>
      </c>
      <c r="BE122" s="14">
        <f>BD122*VLOOKUP('Données projet'!$B$11,Paramètres!$A$1:$I$89,3,0)*VLOOKUP('Données projet'!$B$11,Paramètres!$A$1:$I$89,5,0)</f>
        <v>3.3992364478763198E-14</v>
      </c>
      <c r="BF122" s="14">
        <f t="shared" si="91"/>
        <v>5.790027782444094E-13</v>
      </c>
      <c r="BG122" s="22">
        <f t="shared" si="61"/>
        <v>1.0676332069095257E-12</v>
      </c>
      <c r="BH122" s="62">
        <f t="shared" si="62"/>
        <v>293.33333333333439</v>
      </c>
      <c r="BI122" s="62">
        <f ca="1">AVERAGE(OFFSET($BH$3,0,0,'Données projet'!$E$11+1,1))-AVERAGE(OFFSET($H$3,0,0,'Données projet'!$E$11+1,1))</f>
        <v>294.26495752303765</v>
      </c>
      <c r="BJ122" s="62">
        <f t="shared" si="92"/>
        <v>212.24900914818096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87.928010160170814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4.2479596532889008E-5</v>
      </c>
      <c r="BS122" s="24">
        <f t="shared" si="63"/>
        <v>87.928052639767344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260.49759897936531</v>
      </c>
      <c r="T123" s="62">
        <f t="shared" si="88"/>
        <v>223.74038909289635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68.920908372768821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6.8531741632100893E-2</v>
      </c>
      <c r="AC123" s="24">
        <f t="shared" si="57"/>
        <v>68.989440114400921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5.6843418860808015E-14</v>
      </c>
      <c r="AJ123" s="14">
        <f>AI123*VLOOKUP('Données projet'!$B$10,Paramètres!$A$1:$I$89,3,0)*VLOOKUP('Données projet'!$B$10,Paramètres!$A$1:$I$89,5,0)</f>
        <v>4.9658410716801891E-14</v>
      </c>
      <c r="AK123" s="14">
        <f t="shared" si="89"/>
        <v>8.0934058173791862E-13</v>
      </c>
      <c r="AL123" s="22">
        <f t="shared" si="58"/>
        <v>1.4960899118586383E-12</v>
      </c>
      <c r="AM123" s="62">
        <f t="shared" si="59"/>
        <v>293.33333333333479</v>
      </c>
      <c r="AN123" s="62">
        <f ca="1">AVERAGE(OFFSET($AM$3,0,0,'Données projet'!$E$10+1,1))-AVERAGE(OFFSET($H$3,0,0,'Données projet'!$E$10+1,1))</f>
        <v>304.32767345253382</v>
      </c>
      <c r="AO123" s="62">
        <f t="shared" si="90"/>
        <v>427.16091343339173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27.222181942399672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27.222181942399672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5.6843418860808015E-14</v>
      </c>
      <c r="BE123" s="14">
        <f>BD123*VLOOKUP('Données projet'!$B$11,Paramètres!$A$1:$I$89,3,0)*VLOOKUP('Données projet'!$B$11,Paramètres!$A$1:$I$89,5,0)</f>
        <v>3.3992364478763198E-14</v>
      </c>
      <c r="BF123" s="14">
        <f t="shared" si="91"/>
        <v>5.790027782444094E-13</v>
      </c>
      <c r="BG123" s="22">
        <f t="shared" si="61"/>
        <v>1.0676332069095257E-12</v>
      </c>
      <c r="BH123" s="62">
        <f t="shared" si="62"/>
        <v>293.33333333333439</v>
      </c>
      <c r="BI123" s="62">
        <f ca="1">AVERAGE(OFFSET($BH$3,0,0,'Données projet'!$E$11+1,1))-AVERAGE(OFFSET($H$3,0,0,'Données projet'!$E$11+1,1))</f>
        <v>294.26495752303765</v>
      </c>
      <c r="BJ123" s="62">
        <f t="shared" si="92"/>
        <v>212.24900914818096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86.203795511720458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3.0037610770474372E-5</v>
      </c>
      <c r="BS123" s="24">
        <f t="shared" si="63"/>
        <v>86.203825549331228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260.49759897936531</v>
      </c>
      <c r="T124" s="62">
        <f t="shared" si="88"/>
        <v>223.74038909289635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67.569411397182066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4.8459259234582976E-2</v>
      </c>
      <c r="AC124" s="24">
        <f t="shared" si="57"/>
        <v>67.617870656416642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5.6843418860808015E-14</v>
      </c>
      <c r="AJ124" s="14">
        <f>AI124*VLOOKUP('Données projet'!$B$10,Paramètres!$A$1:$I$89,3,0)*VLOOKUP('Données projet'!$B$10,Paramètres!$A$1:$I$89,5,0)</f>
        <v>4.9658410716801891E-14</v>
      </c>
      <c r="AK124" s="14">
        <f t="shared" si="89"/>
        <v>8.0934058173791862E-13</v>
      </c>
      <c r="AL124" s="22">
        <f t="shared" si="58"/>
        <v>1.4960899118586383E-12</v>
      </c>
      <c r="AM124" s="62">
        <f t="shared" si="59"/>
        <v>293.33333333333479</v>
      </c>
      <c r="AN124" s="62">
        <f ca="1">AVERAGE(OFFSET($AM$3,0,0,'Données projet'!$E$10+1,1))-AVERAGE(OFFSET($H$3,0,0,'Données projet'!$E$10+1,1))</f>
        <v>304.32767345253382</v>
      </c>
      <c r="AO124" s="62">
        <f t="shared" si="90"/>
        <v>427.16091343339173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26.6883715584007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26.6883715584007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5.6843418860808015E-14</v>
      </c>
      <c r="BE124" s="14">
        <f>BD124*VLOOKUP('Données projet'!$B$11,Paramètres!$A$1:$I$89,3,0)*VLOOKUP('Données projet'!$B$11,Paramètres!$A$1:$I$89,5,0)</f>
        <v>3.3992364478763198E-14</v>
      </c>
      <c r="BF124" s="14">
        <f t="shared" si="91"/>
        <v>5.790027782444094E-13</v>
      </c>
      <c r="BG124" s="22">
        <f t="shared" si="61"/>
        <v>1.0676332069095257E-12</v>
      </c>
      <c r="BH124" s="62">
        <f t="shared" si="62"/>
        <v>293.33333333333439</v>
      </c>
      <c r="BI124" s="62">
        <f ca="1">AVERAGE(OFFSET($BH$3,0,0,'Données projet'!$E$11+1,1))-AVERAGE(OFFSET($H$3,0,0,'Données projet'!$E$11+1,1))</f>
        <v>294.26495752303765</v>
      </c>
      <c r="BJ124" s="62">
        <f t="shared" si="92"/>
        <v>212.24900914818096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84.513391660859128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2.1239798266444507E-5</v>
      </c>
      <c r="BS124" s="24">
        <f t="shared" si="63"/>
        <v>84.5134129006574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260.49759897936531</v>
      </c>
      <c r="T125" s="62">
        <f t="shared" si="88"/>
        <v>223.74038909289635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66.244416452954809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3.4265870816050446E-2</v>
      </c>
      <c r="AC125" s="24">
        <f t="shared" si="57"/>
        <v>66.278682323770866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5.6843418860808015E-14</v>
      </c>
      <c r="AJ125" s="14">
        <f>AI125*VLOOKUP('Données projet'!$B$10,Paramètres!$A$1:$I$89,3,0)*VLOOKUP('Données projet'!$B$10,Paramètres!$A$1:$I$89,5,0)</f>
        <v>4.9658410716801891E-14</v>
      </c>
      <c r="AK125" s="14">
        <f t="shared" si="89"/>
        <v>8.0934058173791862E-13</v>
      </c>
      <c r="AL125" s="22">
        <f t="shared" si="58"/>
        <v>1.4960899118586383E-12</v>
      </c>
      <c r="AM125" s="62">
        <f t="shared" si="59"/>
        <v>293.33333333333479</v>
      </c>
      <c r="AN125" s="62">
        <f ca="1">AVERAGE(OFFSET($AM$3,0,0,'Données projet'!$E$10+1,1))-AVERAGE(OFFSET($H$3,0,0,'Données projet'!$E$10+1,1))</f>
        <v>304.32767345253382</v>
      </c>
      <c r="AO125" s="62">
        <f t="shared" si="90"/>
        <v>427.16091343339173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26.165028870439766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26.165028870439766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5.6843418860808015E-14</v>
      </c>
      <c r="BE125" s="14">
        <f>BD125*VLOOKUP('Données projet'!$B$11,Paramètres!$A$1:$I$89,3,0)*VLOOKUP('Données projet'!$B$11,Paramètres!$A$1:$I$89,5,0)</f>
        <v>3.3992364478763198E-14</v>
      </c>
      <c r="BF125" s="14">
        <f t="shared" si="91"/>
        <v>5.790027782444094E-13</v>
      </c>
      <c r="BG125" s="22">
        <f t="shared" si="61"/>
        <v>1.0676332069095257E-12</v>
      </c>
      <c r="BH125" s="62">
        <f t="shared" si="62"/>
        <v>293.33333333333439</v>
      </c>
      <c r="BI125" s="62">
        <f ca="1">AVERAGE(OFFSET($BH$3,0,0,'Données projet'!$E$11+1,1))-AVERAGE(OFFSET($H$3,0,0,'Données projet'!$E$11+1,1))</f>
        <v>294.26495752303765</v>
      </c>
      <c r="BJ125" s="62">
        <f t="shared" si="92"/>
        <v>212.24900914818096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82.85613559846864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1.5018805385237189E-5</v>
      </c>
      <c r="BS125" s="24">
        <f t="shared" si="63"/>
        <v>82.856150617274025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260.49759897936531</v>
      </c>
      <c r="T126" s="62">
        <f t="shared" si="88"/>
        <v>223.74038909289635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64.945403851416728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2.4229629617291488E-2</v>
      </c>
      <c r="AC126" s="24">
        <f t="shared" si="57"/>
        <v>64.969633481034023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5.6843418860808015E-14</v>
      </c>
      <c r="AJ126" s="14">
        <f>AI126*VLOOKUP('Données projet'!$B$10,Paramètres!$A$1:$I$89,3,0)*VLOOKUP('Données projet'!$B$10,Paramètres!$A$1:$I$89,5,0)</f>
        <v>4.9658410716801891E-14</v>
      </c>
      <c r="AK126" s="14">
        <f t="shared" si="89"/>
        <v>8.0934058173791862E-13</v>
      </c>
      <c r="AL126" s="22">
        <f t="shared" si="58"/>
        <v>1.4960899118586383E-12</v>
      </c>
      <c r="AM126" s="62">
        <f t="shared" si="59"/>
        <v>293.33333333333479</v>
      </c>
      <c r="AN126" s="62">
        <f ca="1">AVERAGE(OFFSET($AM$3,0,0,'Données projet'!$E$10+1,1))-AVERAGE(OFFSET($H$3,0,0,'Données projet'!$E$10+1,1))</f>
        <v>304.32767345253382</v>
      </c>
      <c r="AO126" s="62">
        <f t="shared" si="90"/>
        <v>427.16091343339173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25.651948613382224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25.651948613382224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5.6843418860808015E-14</v>
      </c>
      <c r="BE126" s="14">
        <f>BD126*VLOOKUP('Données projet'!$B$11,Paramètres!$A$1:$I$89,3,0)*VLOOKUP('Données projet'!$B$11,Paramètres!$A$1:$I$89,5,0)</f>
        <v>3.3992364478763198E-14</v>
      </c>
      <c r="BF126" s="14">
        <f t="shared" si="91"/>
        <v>5.790027782444094E-13</v>
      </c>
      <c r="BG126" s="22">
        <f t="shared" si="61"/>
        <v>1.0676332069095257E-12</v>
      </c>
      <c r="BH126" s="62">
        <f t="shared" si="62"/>
        <v>293.33333333333439</v>
      </c>
      <c r="BI126" s="62">
        <f ca="1">AVERAGE(OFFSET($BH$3,0,0,'Données projet'!$E$11+1,1))-AVERAGE(OFFSET($H$3,0,0,'Données projet'!$E$11+1,1))</f>
        <v>294.26495752303765</v>
      </c>
      <c r="BJ126" s="62">
        <f t="shared" si="92"/>
        <v>212.24900914818096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81.231377316635246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1.0619899133222255E-5</v>
      </c>
      <c r="BS126" s="24">
        <f t="shared" si="63"/>
        <v>81.231387936534375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260.49759897936531</v>
      </c>
      <c r="T127" s="62">
        <f t="shared" si="88"/>
        <v>223.74038909289635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63.671864094675357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1.7132935408025223E-2</v>
      </c>
      <c r="AC127" s="24">
        <f t="shared" si="57"/>
        <v>63.688997030083385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5.6843418860808015E-14</v>
      </c>
      <c r="AJ127" s="14">
        <f>AI127*VLOOKUP('Données projet'!$B$10,Paramètres!$A$1:$I$89,3,0)*VLOOKUP('Données projet'!$B$10,Paramètres!$A$1:$I$89,5,0)</f>
        <v>4.9658410716801891E-14</v>
      </c>
      <c r="AK127" s="14">
        <f t="shared" si="89"/>
        <v>8.0934058173791862E-13</v>
      </c>
      <c r="AL127" s="22">
        <f t="shared" si="58"/>
        <v>1.4960899118586383E-12</v>
      </c>
      <c r="AM127" s="62">
        <f t="shared" si="59"/>
        <v>293.33333333333479</v>
      </c>
      <c r="AN127" s="62">
        <f ca="1">AVERAGE(OFFSET($AM$3,0,0,'Données projet'!$E$10+1,1))-AVERAGE(OFFSET($H$3,0,0,'Données projet'!$E$10+1,1))</f>
        <v>304.32767345253382</v>
      </c>
      <c r="AO127" s="62">
        <f t="shared" si="90"/>
        <v>427.16091343339173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25.148929547217524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25.148929547217524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5.6843418860808015E-14</v>
      </c>
      <c r="BE127" s="14">
        <f>BD127*VLOOKUP('Données projet'!$B$11,Paramètres!$A$1:$I$89,3,0)*VLOOKUP('Données projet'!$B$11,Paramètres!$A$1:$I$89,5,0)</f>
        <v>3.3992364478763198E-14</v>
      </c>
      <c r="BF127" s="14">
        <f t="shared" si="91"/>
        <v>5.790027782444094E-13</v>
      </c>
      <c r="BG127" s="22">
        <f t="shared" si="61"/>
        <v>1.0676332069095257E-12</v>
      </c>
      <c r="BH127" s="62">
        <f t="shared" si="62"/>
        <v>293.33333333333439</v>
      </c>
      <c r="BI127" s="62">
        <f ca="1">AVERAGE(OFFSET($BH$3,0,0,'Données projet'!$E$11+1,1))-AVERAGE(OFFSET($H$3,0,0,'Données projet'!$E$11+1,1))</f>
        <v>294.26495752303765</v>
      </c>
      <c r="BJ127" s="62">
        <f t="shared" si="92"/>
        <v>212.24900914818096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79.638479553703903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7.5094026926185954E-6</v>
      </c>
      <c r="BS127" s="24">
        <f t="shared" si="63"/>
        <v>79.638487063106595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260.49759897936531</v>
      </c>
      <c r="T128" s="62">
        <f t="shared" si="88"/>
        <v>223.74038909289635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62.423297675781136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1.2114814808645744E-2</v>
      </c>
      <c r="AC128" s="24">
        <f t="shared" si="57"/>
        <v>62.435412490589783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5.6843418860808015E-14</v>
      </c>
      <c r="AJ128" s="14">
        <f>AI128*VLOOKUP('Données projet'!$B$10,Paramètres!$A$1:$I$89,3,0)*VLOOKUP('Données projet'!$B$10,Paramètres!$A$1:$I$89,5,0)</f>
        <v>4.9658410716801891E-14</v>
      </c>
      <c r="AK128" s="14">
        <f t="shared" si="89"/>
        <v>8.0934058173791862E-13</v>
      </c>
      <c r="AL128" s="22">
        <f t="shared" si="58"/>
        <v>1.4960899118586383E-12</v>
      </c>
      <c r="AM128" s="62">
        <f t="shared" si="59"/>
        <v>293.33333333333479</v>
      </c>
      <c r="AN128" s="62">
        <f ca="1">AVERAGE(OFFSET($AM$3,0,0,'Données projet'!$E$10+1,1))-AVERAGE(OFFSET($H$3,0,0,'Données projet'!$E$10+1,1))</f>
        <v>304.32767345253382</v>
      </c>
      <c r="AO128" s="62">
        <f t="shared" si="90"/>
        <v>427.16091343339173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24.655774378128978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24.655774378128978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5.6843418860808015E-14</v>
      </c>
      <c r="BE128" s="14">
        <f>BD128*VLOOKUP('Données projet'!$B$11,Paramètres!$A$1:$I$89,3,0)*VLOOKUP('Données projet'!$B$11,Paramètres!$A$1:$I$89,5,0)</f>
        <v>3.3992364478763198E-14</v>
      </c>
      <c r="BF128" s="14">
        <f t="shared" si="91"/>
        <v>5.790027782444094E-13</v>
      </c>
      <c r="BG128" s="22">
        <f t="shared" si="61"/>
        <v>1.0676332069095257E-12</v>
      </c>
      <c r="BH128" s="62">
        <f t="shared" si="62"/>
        <v>293.33333333333439</v>
      </c>
      <c r="BI128" s="62">
        <f ca="1">AVERAGE(OFFSET($BH$3,0,0,'Données projet'!$E$11+1,1))-AVERAGE(OFFSET($H$3,0,0,'Données projet'!$E$11+1,1))</f>
        <v>294.26495752303765</v>
      </c>
      <c r="BJ128" s="62">
        <f t="shared" si="92"/>
        <v>212.24900914818096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78.076817544331945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5.3099495666111285E-6</v>
      </c>
      <c r="BS128" s="24">
        <f t="shared" si="63"/>
        <v>78.076822854281517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260.49759897936531</v>
      </c>
      <c r="T129" s="62">
        <f t="shared" si="88"/>
        <v>223.74038909289635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61.199214882811113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8.5664677040126116E-3</v>
      </c>
      <c r="AC129" s="24">
        <f t="shared" si="57"/>
        <v>61.207781350515127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5.6843418860808015E-14</v>
      </c>
      <c r="AJ129" s="14">
        <f>AI129*VLOOKUP('Données projet'!$B$10,Paramètres!$A$1:$I$89,3,0)*VLOOKUP('Données projet'!$B$10,Paramètres!$A$1:$I$89,5,0)</f>
        <v>4.9658410716801891E-14</v>
      </c>
      <c r="AK129" s="14">
        <f t="shared" si="89"/>
        <v>8.0934058173791862E-13</v>
      </c>
      <c r="AL129" s="22">
        <f t="shared" si="58"/>
        <v>1.4960899118586383E-12</v>
      </c>
      <c r="AM129" s="62">
        <f t="shared" si="59"/>
        <v>293.33333333333479</v>
      </c>
      <c r="AN129" s="62">
        <f ca="1">AVERAGE(OFFSET($AM$3,0,0,'Données projet'!$E$10+1,1))-AVERAGE(OFFSET($H$3,0,0,'Données projet'!$E$10+1,1))</f>
        <v>304.32767345253382</v>
      </c>
      <c r="AO129" s="62">
        <f t="shared" si="90"/>
        <v>427.16091343339173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24.172289681111309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24.172289681111309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5.6843418860808015E-14</v>
      </c>
      <c r="BE129" s="14">
        <f>BD129*VLOOKUP('Données projet'!$B$11,Paramètres!$A$1:$I$89,3,0)*VLOOKUP('Données projet'!$B$11,Paramètres!$A$1:$I$89,5,0)</f>
        <v>3.3992364478763198E-14</v>
      </c>
      <c r="BF129" s="14">
        <f t="shared" si="91"/>
        <v>5.790027782444094E-13</v>
      </c>
      <c r="BG129" s="22">
        <f t="shared" si="61"/>
        <v>1.0676332069095257E-12</v>
      </c>
      <c r="BH129" s="62">
        <f t="shared" si="62"/>
        <v>293.33333333333439</v>
      </c>
      <c r="BI129" s="62">
        <f ca="1">AVERAGE(OFFSET($BH$3,0,0,'Données projet'!$E$11+1,1))-AVERAGE(OFFSET($H$3,0,0,'Données projet'!$E$11+1,1))</f>
        <v>294.26495752303765</v>
      </c>
      <c r="BJ129" s="62">
        <f t="shared" si="92"/>
        <v>212.24900914818096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76.545778774444003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3.7547013463092986E-6</v>
      </c>
      <c r="BS129" s="24">
        <f t="shared" si="63"/>
        <v>76.545782529145356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260.49759897936531</v>
      </c>
      <c r="T130" s="62">
        <f t="shared" si="88"/>
        <v>223.74038909289635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59.999135606794447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6.057407404322872E-3</v>
      </c>
      <c r="AC130" s="24">
        <f t="shared" si="57"/>
        <v>60.005193014198767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5.6843418860808015E-14</v>
      </c>
      <c r="AJ130" s="14">
        <f>AI130*VLOOKUP('Données projet'!$B$10,Paramètres!$A$1:$I$89,3,0)*VLOOKUP('Données projet'!$B$10,Paramètres!$A$1:$I$89,5,0)</f>
        <v>4.9658410716801891E-14</v>
      </c>
      <c r="AK130" s="14">
        <f t="shared" si="89"/>
        <v>8.0934058173791862E-13</v>
      </c>
      <c r="AL130" s="22">
        <f t="shared" si="58"/>
        <v>1.4960899118586383E-12</v>
      </c>
      <c r="AM130" s="62">
        <f t="shared" si="59"/>
        <v>293.33333333333479</v>
      </c>
      <c r="AN130" s="62">
        <f ca="1">AVERAGE(OFFSET($AM$3,0,0,'Données projet'!$E$10+1,1))-AVERAGE(OFFSET($H$3,0,0,'Données projet'!$E$10+1,1))</f>
        <v>304.32767345253382</v>
      </c>
      <c r="AO130" s="62">
        <f t="shared" si="90"/>
        <v>427.16091343339173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23.698285824105607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23.698285824105607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5.6843418860808015E-14</v>
      </c>
      <c r="BE130" s="14">
        <f>BD130*VLOOKUP('Données projet'!$B$11,Paramètres!$A$1:$I$89,3,0)*VLOOKUP('Données projet'!$B$11,Paramètres!$A$1:$I$89,5,0)</f>
        <v>3.3992364478763198E-14</v>
      </c>
      <c r="BF130" s="14">
        <f t="shared" si="91"/>
        <v>5.790027782444094E-13</v>
      </c>
      <c r="BG130" s="22">
        <f t="shared" si="61"/>
        <v>1.0676332069095257E-12</v>
      </c>
      <c r="BH130" s="62">
        <f t="shared" si="62"/>
        <v>293.33333333333439</v>
      </c>
      <c r="BI130" s="62">
        <f ca="1">AVERAGE(OFFSET($BH$3,0,0,'Données projet'!$E$11+1,1))-AVERAGE(OFFSET($H$3,0,0,'Données projet'!$E$11+1,1))</f>
        <v>294.26495752303765</v>
      </c>
      <c r="BJ130" s="62">
        <f t="shared" si="92"/>
        <v>212.24900914818096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75.044762740992127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2.6549747833055647E-6</v>
      </c>
      <c r="BS130" s="24">
        <f t="shared" si="63"/>
        <v>75.044765395966905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260.49759897936531</v>
      </c>
      <c r="T131" s="62">
        <f t="shared" si="88"/>
        <v>223.74038909289635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58.822589153404387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4.2832338520063058E-3</v>
      </c>
      <c r="AC131" s="24">
        <f t="shared" si="57"/>
        <v>58.826872387256394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5.6843418860808015E-14</v>
      </c>
      <c r="AJ131" s="14">
        <f>AI131*VLOOKUP('Données projet'!$B$10,Paramètres!$A$1:$I$89,3,0)*VLOOKUP('Données projet'!$B$10,Paramètres!$A$1:$I$89,5,0)</f>
        <v>4.9658410716801891E-14</v>
      </c>
      <c r="AK131" s="14">
        <f t="shared" si="89"/>
        <v>8.0934058173791862E-13</v>
      </c>
      <c r="AL131" s="22">
        <f t="shared" si="58"/>
        <v>1.4960899118586383E-12</v>
      </c>
      <c r="AM131" s="62">
        <f t="shared" si="59"/>
        <v>293.33333333333479</v>
      </c>
      <c r="AN131" s="62">
        <f ca="1">AVERAGE(OFFSET($AM$3,0,0,'Données projet'!$E$10+1,1))-AVERAGE(OFFSET($H$3,0,0,'Données projet'!$E$10+1,1))</f>
        <v>304.32767345253382</v>
      </c>
      <c r="AO131" s="62">
        <f t="shared" si="90"/>
        <v>427.16091343339173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23.233576893621983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23.233576893621983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5.6843418860808015E-14</v>
      </c>
      <c r="BE131" s="14">
        <f>BD131*VLOOKUP('Données projet'!$B$11,Paramètres!$A$1:$I$89,3,0)*VLOOKUP('Données projet'!$B$11,Paramètres!$A$1:$I$89,5,0)</f>
        <v>3.3992364478763198E-14</v>
      </c>
      <c r="BF131" s="14">
        <f t="shared" si="91"/>
        <v>5.790027782444094E-13</v>
      </c>
      <c r="BG131" s="22">
        <f t="shared" si="61"/>
        <v>1.0676332069095257E-12</v>
      </c>
      <c r="BH131" s="62">
        <f t="shared" si="62"/>
        <v>293.33333333333439</v>
      </c>
      <c r="BI131" s="62">
        <f ca="1">AVERAGE(OFFSET($BH$3,0,0,'Données projet'!$E$11+1,1))-AVERAGE(OFFSET($H$3,0,0,'Données projet'!$E$11+1,1))</f>
        <v>294.26495752303765</v>
      </c>
      <c r="BJ131" s="62">
        <f t="shared" si="92"/>
        <v>212.24900914818096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73.573180716426862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1.8773506731546495E-6</v>
      </c>
      <c r="BS131" s="24">
        <f t="shared" si="63"/>
        <v>73.573182593777531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260.49759897936531</v>
      </c>
      <c r="T132" s="62">
        <f t="shared" si="88"/>
        <v>223.74038909289635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57.669114058342828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3.028703702161436E-3</v>
      </c>
      <c r="AC132" s="24">
        <f t="shared" ref="AC132:AC153" si="111">SUM(Z132:AB132)</f>
        <v>57.672142762044992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5.6843418860808015E-14</v>
      </c>
      <c r="AJ132" s="14">
        <f>AI132*VLOOKUP('Données projet'!$B$10,Paramètres!$A$1:$I$89,3,0)*VLOOKUP('Données projet'!$B$10,Paramètres!$A$1:$I$89,5,0)</f>
        <v>4.9658410716801891E-14</v>
      </c>
      <c r="AK132" s="14">
        <f t="shared" si="89"/>
        <v>8.0934058173791862E-13</v>
      </c>
      <c r="AL132" s="22">
        <f t="shared" ref="AL132:AL153" si="112">(AJ132+AK132)*0.475*44/12</f>
        <v>1.4960899118586383E-12</v>
      </c>
      <c r="AM132" s="62">
        <f t="shared" ref="AM132:AM195" si="113">AL132+(AD132+AE132)*44/12</f>
        <v>293.33333333333479</v>
      </c>
      <c r="AN132" s="62">
        <f ca="1">AVERAGE(OFFSET($AM$3,0,0,'Données projet'!$E$10+1,1))-AVERAGE(OFFSET($H$3,0,0,'Données projet'!$E$10+1,1))</f>
        <v>304.32767345253382</v>
      </c>
      <c r="AO132" s="62">
        <f t="shared" si="90"/>
        <v>427.16091343339173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22.777980621820682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22.777980621820682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5.6843418860808015E-14</v>
      </c>
      <c r="BE132" s="14">
        <f>BD132*VLOOKUP('Données projet'!$B$11,Paramètres!$A$1:$I$89,3,0)*VLOOKUP('Données projet'!$B$11,Paramètres!$A$1:$I$89,5,0)</f>
        <v>3.3992364478763198E-14</v>
      </c>
      <c r="BF132" s="14">
        <f t="shared" si="91"/>
        <v>5.790027782444094E-13</v>
      </c>
      <c r="BG132" s="22">
        <f t="shared" ref="BG132:BG153" si="115">(BE132+BF132)*0.475*44/12</f>
        <v>1.0676332069095257E-12</v>
      </c>
      <c r="BH132" s="62">
        <f t="shared" ref="BH132:BH195" si="116">BG132+(AY132+AZ132)*44/12</f>
        <v>293.33333333333439</v>
      </c>
      <c r="BI132" s="62">
        <f ca="1">AVERAGE(OFFSET($BH$3,0,0,'Données projet'!$E$11+1,1))-AVERAGE(OFFSET($H$3,0,0,'Données projet'!$E$11+1,1))</f>
        <v>294.26495752303765</v>
      </c>
      <c r="BJ132" s="62">
        <f t="shared" si="92"/>
        <v>212.24900914818096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72.130455517786913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1.3274873916527826E-6</v>
      </c>
      <c r="BS132" s="24">
        <f t="shared" ref="BS132:BS153" si="117">SUM(BP132:BR132)</f>
        <v>72.13045684527431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260.49759897936531</v>
      </c>
      <c r="T133" s="62">
        <f t="shared" ref="T133:T196" si="142">$T$3</f>
        <v>223.74038909289635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56.538257906345088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2.1416169260031529E-3</v>
      </c>
      <c r="AC133" s="24">
        <f t="shared" si="111"/>
        <v>56.540399523271091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5.6843418860808015E-14</v>
      </c>
      <c r="AJ133" s="14">
        <f>AI133*VLOOKUP('Données projet'!$B$10,Paramètres!$A$1:$I$89,3,0)*VLOOKUP('Données projet'!$B$10,Paramètres!$A$1:$I$89,5,0)</f>
        <v>4.9658410716801891E-14</v>
      </c>
      <c r="AK133" s="14">
        <f t="shared" ref="AK133:AK153" si="143">EXP(-1.0587+0.8836*LN(AJ133)+0.284)</f>
        <v>8.0934058173791862E-13</v>
      </c>
      <c r="AL133" s="22">
        <f t="shared" si="112"/>
        <v>1.4960899118586383E-12</v>
      </c>
      <c r="AM133" s="62">
        <f t="shared" si="113"/>
        <v>293.33333333333479</v>
      </c>
      <c r="AN133" s="62">
        <f ca="1">AVERAGE(OFFSET($AM$3,0,0,'Données projet'!$E$10+1,1))-AVERAGE(OFFSET($H$3,0,0,'Données projet'!$E$10+1,1))</f>
        <v>304.32767345253382</v>
      </c>
      <c r="AO133" s="62">
        <f t="shared" ref="AO133:AO196" si="144">$AO$3</f>
        <v>427.16091343339173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22.331318315023118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22.331318315023118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5.6843418860808015E-14</v>
      </c>
      <c r="BE133" s="14">
        <f>BD133*VLOOKUP('Données projet'!$B$11,Paramètres!$A$1:$I$89,3,0)*VLOOKUP('Données projet'!$B$11,Paramètres!$A$1:$I$89,5,0)</f>
        <v>3.3992364478763198E-14</v>
      </c>
      <c r="BF133" s="14">
        <f t="shared" ref="BF133:BF153" si="145">EXP(-1.0587+0.8836*LN(BE133)+0.284)</f>
        <v>5.790027782444094E-13</v>
      </c>
      <c r="BG133" s="22">
        <f t="shared" si="115"/>
        <v>1.0676332069095257E-12</v>
      </c>
      <c r="BH133" s="62">
        <f t="shared" si="116"/>
        <v>293.33333333333439</v>
      </c>
      <c r="BI133" s="62">
        <f ca="1">AVERAGE(OFFSET($BH$3,0,0,'Données projet'!$E$11+1,1))-AVERAGE(OFFSET($H$3,0,0,'Données projet'!$E$11+1,1))</f>
        <v>294.26495752303765</v>
      </c>
      <c r="BJ133" s="62">
        <f t="shared" ref="BJ133:BJ196" si="146">$BJ$3</f>
        <v>212.24900914818096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70.716021280316809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9.3867533657732485E-7</v>
      </c>
      <c r="BS133" s="24">
        <f t="shared" si="117"/>
        <v>70.716022218992151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260.49759897936531</v>
      </c>
      <c r="T134" s="62">
        <f t="shared" si="142"/>
        <v>223.74038909289635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55.429577153733881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1.514351851080718E-3</v>
      </c>
      <c r="AC134" s="24">
        <f t="shared" si="111"/>
        <v>55.431091505584959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5.6843418860808015E-14</v>
      </c>
      <c r="AJ134" s="14">
        <f>AI134*VLOOKUP('Données projet'!$B$10,Paramètres!$A$1:$I$89,3,0)*VLOOKUP('Données projet'!$B$10,Paramètres!$A$1:$I$89,5,0)</f>
        <v>4.9658410716801891E-14</v>
      </c>
      <c r="AK134" s="14">
        <f t="shared" si="143"/>
        <v>8.0934058173791862E-13</v>
      </c>
      <c r="AL134" s="22">
        <f t="shared" si="112"/>
        <v>1.4960899118586383E-12</v>
      </c>
      <c r="AM134" s="62">
        <f t="shared" si="113"/>
        <v>293.33333333333479</v>
      </c>
      <c r="AN134" s="62">
        <f ca="1">AVERAGE(OFFSET($AM$3,0,0,'Données projet'!$E$10+1,1))-AVERAGE(OFFSET($H$3,0,0,'Données projet'!$E$10+1,1))</f>
        <v>304.32767345253382</v>
      </c>
      <c r="AO134" s="62">
        <f t="shared" si="144"/>
        <v>427.16091343339173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21.893414783624749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21.893414783624749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5.6843418860808015E-14</v>
      </c>
      <c r="BE134" s="14">
        <f>BD134*VLOOKUP('Données projet'!$B$11,Paramètres!$A$1:$I$89,3,0)*VLOOKUP('Données projet'!$B$11,Paramètres!$A$1:$I$89,5,0)</f>
        <v>3.3992364478763198E-14</v>
      </c>
      <c r="BF134" s="14">
        <f t="shared" si="145"/>
        <v>5.790027782444094E-13</v>
      </c>
      <c r="BG134" s="22">
        <f t="shared" si="115"/>
        <v>1.0676332069095257E-12</v>
      </c>
      <c r="BH134" s="62">
        <f t="shared" si="116"/>
        <v>293.33333333333439</v>
      </c>
      <c r="BI134" s="62">
        <f ca="1">AVERAGE(OFFSET($BH$3,0,0,'Données projet'!$E$11+1,1))-AVERAGE(OFFSET($H$3,0,0,'Données projet'!$E$11+1,1))</f>
        <v>294.26495752303765</v>
      </c>
      <c r="BJ134" s="62">
        <f t="shared" si="146"/>
        <v>212.24900914818096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69.329323235523802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6.6374369582639139E-7</v>
      </c>
      <c r="BS134" s="24">
        <f t="shared" si="117"/>
        <v>69.329323899267493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260.49759897936531</v>
      </c>
      <c r="T135" s="62">
        <f t="shared" si="142"/>
        <v>223.74038909289635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54.342636954452892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1.0708084630015764E-3</v>
      </c>
      <c r="AC135" s="24">
        <f t="shared" si="111"/>
        <v>54.343707762915891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5.6843418860808015E-14</v>
      </c>
      <c r="AJ135" s="14">
        <f>AI135*VLOOKUP('Données projet'!$B$10,Paramètres!$A$1:$I$89,3,0)*VLOOKUP('Données projet'!$B$10,Paramètres!$A$1:$I$89,5,0)</f>
        <v>4.9658410716801891E-14</v>
      </c>
      <c r="AK135" s="14">
        <f t="shared" si="143"/>
        <v>8.0934058173791862E-13</v>
      </c>
      <c r="AL135" s="22">
        <f t="shared" si="112"/>
        <v>1.4960899118586383E-12</v>
      </c>
      <c r="AM135" s="62">
        <f t="shared" si="113"/>
        <v>293.33333333333479</v>
      </c>
      <c r="AN135" s="62">
        <f ca="1">AVERAGE(OFFSET($AM$3,0,0,'Données projet'!$E$10+1,1))-AVERAGE(OFFSET($H$3,0,0,'Données projet'!$E$10+1,1))</f>
        <v>304.32767345253382</v>
      </c>
      <c r="AO135" s="62">
        <f t="shared" si="144"/>
        <v>427.16091343339173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21.464098273382319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21.464098273382319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5.6843418860808015E-14</v>
      </c>
      <c r="BE135" s="14">
        <f>BD135*VLOOKUP('Données projet'!$B$11,Paramètres!$A$1:$I$89,3,0)*VLOOKUP('Données projet'!$B$11,Paramètres!$A$1:$I$89,5,0)</f>
        <v>3.3992364478763198E-14</v>
      </c>
      <c r="BF135" s="14">
        <f t="shared" si="145"/>
        <v>5.790027782444094E-13</v>
      </c>
      <c r="BG135" s="22">
        <f t="shared" si="115"/>
        <v>1.0676332069095257E-12</v>
      </c>
      <c r="BH135" s="62">
        <f t="shared" si="116"/>
        <v>293.33333333333439</v>
      </c>
      <c r="BI135" s="62">
        <f ca="1">AVERAGE(OFFSET($BH$3,0,0,'Données projet'!$E$11+1,1))-AVERAGE(OFFSET($H$3,0,0,'Données projet'!$E$11+1,1))</f>
        <v>294.26495752303765</v>
      </c>
      <c r="BJ135" s="62">
        <f t="shared" si="146"/>
        <v>212.24900914818096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67.969817493586888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4.6933766828866253E-7</v>
      </c>
      <c r="BS135" s="24">
        <f t="shared" si="117"/>
        <v>67.969817962924552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260.49759897936531</v>
      </c>
      <c r="T136" s="62">
        <f t="shared" si="142"/>
        <v>223.74038909289635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53.277010989511744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7.5717592554035899E-4</v>
      </c>
      <c r="AC136" s="24">
        <f t="shared" si="111"/>
        <v>53.277768165437287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5.6843418860808015E-14</v>
      </c>
      <c r="AJ136" s="14">
        <f>AI136*VLOOKUP('Données projet'!$B$10,Paramètres!$A$1:$I$89,3,0)*VLOOKUP('Données projet'!$B$10,Paramètres!$A$1:$I$89,5,0)</f>
        <v>4.9658410716801891E-14</v>
      </c>
      <c r="AK136" s="14">
        <f t="shared" si="143"/>
        <v>8.0934058173791862E-13</v>
      </c>
      <c r="AL136" s="22">
        <f t="shared" si="112"/>
        <v>1.4960899118586383E-12</v>
      </c>
      <c r="AM136" s="62">
        <f t="shared" si="113"/>
        <v>293.33333333333479</v>
      </c>
      <c r="AN136" s="62">
        <f ca="1">AVERAGE(OFFSET($AM$3,0,0,'Données projet'!$E$10+1,1))-AVERAGE(OFFSET($H$3,0,0,'Données projet'!$E$10+1,1))</f>
        <v>304.32767345253382</v>
      </c>
      <c r="AO136" s="62">
        <f t="shared" si="144"/>
        <v>427.16091343339173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21.04320039804853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21.04320039804853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5.6843418860808015E-14</v>
      </c>
      <c r="BE136" s="14">
        <f>BD136*VLOOKUP('Données projet'!$B$11,Paramètres!$A$1:$I$89,3,0)*VLOOKUP('Données projet'!$B$11,Paramètres!$A$1:$I$89,5,0)</f>
        <v>3.3992364478763198E-14</v>
      </c>
      <c r="BF136" s="14">
        <f t="shared" si="145"/>
        <v>5.790027782444094E-13</v>
      </c>
      <c r="BG136" s="22">
        <f t="shared" si="115"/>
        <v>1.0676332069095257E-12</v>
      </c>
      <c r="BH136" s="62">
        <f t="shared" si="116"/>
        <v>293.33333333333439</v>
      </c>
      <c r="BI136" s="62">
        <f ca="1">AVERAGE(OFFSET($BH$3,0,0,'Données projet'!$E$11+1,1))-AVERAGE(OFFSET($H$3,0,0,'Données projet'!$E$11+1,1))</f>
        <v>294.26495752303765</v>
      </c>
      <c r="BJ136" s="62">
        <f t="shared" si="146"/>
        <v>212.24900914818096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66.636970830032737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3.3187184791319575E-7</v>
      </c>
      <c r="BS136" s="24">
        <f t="shared" si="117"/>
        <v>66.636971161904583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260.49759897936531</v>
      </c>
      <c r="T137" s="62">
        <f t="shared" si="142"/>
        <v>223.74038909289635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52.23228129977543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5.3540423150078822E-4</v>
      </c>
      <c r="AC137" s="24">
        <f t="shared" si="111"/>
        <v>52.232816704006929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5.6843418860808015E-14</v>
      </c>
      <c r="AJ137" s="14">
        <f>AI137*VLOOKUP('Données projet'!$B$10,Paramètres!$A$1:$I$89,3,0)*VLOOKUP('Données projet'!$B$10,Paramètres!$A$1:$I$89,5,0)</f>
        <v>4.9658410716801891E-14</v>
      </c>
      <c r="AK137" s="14">
        <f t="shared" si="143"/>
        <v>8.0934058173791862E-13</v>
      </c>
      <c r="AL137" s="22">
        <f t="shared" si="112"/>
        <v>1.4960899118586383E-12</v>
      </c>
      <c r="AM137" s="62">
        <f t="shared" si="113"/>
        <v>293.33333333333479</v>
      </c>
      <c r="AN137" s="62">
        <f ca="1">AVERAGE(OFFSET($AM$3,0,0,'Données projet'!$E$10+1,1))-AVERAGE(OFFSET($H$3,0,0,'Données projet'!$E$10+1,1))</f>
        <v>304.32767345253382</v>
      </c>
      <c r="AO137" s="62">
        <f t="shared" si="144"/>
        <v>427.16091343339173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20.630556073327682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20.630556073327682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5.6843418860808015E-14</v>
      </c>
      <c r="BE137" s="14">
        <f>BD137*VLOOKUP('Données projet'!$B$11,Paramètres!$A$1:$I$89,3,0)*VLOOKUP('Données projet'!$B$11,Paramètres!$A$1:$I$89,5,0)</f>
        <v>3.3992364478763198E-14</v>
      </c>
      <c r="BF137" s="14">
        <f t="shared" si="145"/>
        <v>5.790027782444094E-13</v>
      </c>
      <c r="BG137" s="22">
        <f t="shared" si="115"/>
        <v>1.0676332069095257E-12</v>
      </c>
      <c r="BH137" s="62">
        <f t="shared" si="116"/>
        <v>293.33333333333439</v>
      </c>
      <c r="BI137" s="62">
        <f ca="1">AVERAGE(OFFSET($BH$3,0,0,'Données projet'!$E$11+1,1))-AVERAGE(OFFSET($H$3,0,0,'Données projet'!$E$11+1,1))</f>
        <v>294.26495752303765</v>
      </c>
      <c r="BJ137" s="62">
        <f t="shared" si="146"/>
        <v>212.24900914818096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65.330260476594688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2.3466883414433129E-7</v>
      </c>
      <c r="BS137" s="24">
        <f t="shared" si="117"/>
        <v>65.33026071126352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260.49759897936531</v>
      </c>
      <c r="T138" s="62">
        <f t="shared" si="142"/>
        <v>223.74038909289635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51.208038122032654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3.785879627701795E-4</v>
      </c>
      <c r="AC138" s="24">
        <f t="shared" si="111"/>
        <v>51.208416709995426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5.6843418860808015E-14</v>
      </c>
      <c r="AJ138" s="14">
        <f>AI138*VLOOKUP('Données projet'!$B$10,Paramètres!$A$1:$I$89,3,0)*VLOOKUP('Données projet'!$B$10,Paramètres!$A$1:$I$89,5,0)</f>
        <v>4.9658410716801891E-14</v>
      </c>
      <c r="AK138" s="14">
        <f t="shared" si="143"/>
        <v>8.0934058173791862E-13</v>
      </c>
      <c r="AL138" s="22">
        <f t="shared" si="112"/>
        <v>1.4960899118586383E-12</v>
      </c>
      <c r="AM138" s="62">
        <f t="shared" si="113"/>
        <v>293.33333333333479</v>
      </c>
      <c r="AN138" s="62">
        <f ca="1">AVERAGE(OFFSET($AM$3,0,0,'Données projet'!$E$10+1,1))-AVERAGE(OFFSET($H$3,0,0,'Données projet'!$E$10+1,1))</f>
        <v>304.32767345253382</v>
      </c>
      <c r="AO138" s="62">
        <f t="shared" si="144"/>
        <v>427.16091343339173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20.226003452126424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20.226003452126424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5.6843418860808015E-14</v>
      </c>
      <c r="BE138" s="14">
        <f>BD138*VLOOKUP('Données projet'!$B$11,Paramètres!$A$1:$I$89,3,0)*VLOOKUP('Données projet'!$B$11,Paramètres!$A$1:$I$89,5,0)</f>
        <v>3.3992364478763198E-14</v>
      </c>
      <c r="BF138" s="14">
        <f t="shared" si="145"/>
        <v>5.790027782444094E-13</v>
      </c>
      <c r="BG138" s="22">
        <f t="shared" si="115"/>
        <v>1.0676332069095257E-12</v>
      </c>
      <c r="BH138" s="62">
        <f t="shared" si="116"/>
        <v>293.33333333333439</v>
      </c>
      <c r="BI138" s="62">
        <f ca="1">AVERAGE(OFFSET($BH$3,0,0,'Données projet'!$E$11+1,1))-AVERAGE(OFFSET($H$3,0,0,'Données projet'!$E$11+1,1))</f>
        <v>294.26495752303765</v>
      </c>
      <c r="BJ138" s="62">
        <f t="shared" si="146"/>
        <v>212.24900914818096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64.049173916172947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1.659359239565979E-7</v>
      </c>
      <c r="BS138" s="24">
        <f t="shared" si="117"/>
        <v>64.049174082108877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260.49759897936531</v>
      </c>
      <c r="T139" s="62">
        <f t="shared" si="142"/>
        <v>223.74038909289635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50.203879728278764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2.6770211575039411E-4</v>
      </c>
      <c r="AC139" s="24">
        <f t="shared" si="111"/>
        <v>50.204147430394514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5.6843418860808015E-14</v>
      </c>
      <c r="AJ139" s="14">
        <f>AI139*VLOOKUP('Données projet'!$B$10,Paramètres!$A$1:$I$89,3,0)*VLOOKUP('Données projet'!$B$10,Paramètres!$A$1:$I$89,5,0)</f>
        <v>4.9658410716801891E-14</v>
      </c>
      <c r="AK139" s="14">
        <f t="shared" si="143"/>
        <v>8.0934058173791862E-13</v>
      </c>
      <c r="AL139" s="22">
        <f t="shared" si="112"/>
        <v>1.4960899118586383E-12</v>
      </c>
      <c r="AM139" s="62">
        <f t="shared" si="113"/>
        <v>293.33333333333479</v>
      </c>
      <c r="AN139" s="62">
        <f ca="1">AVERAGE(OFFSET($AM$3,0,0,'Données projet'!$E$10+1,1))-AVERAGE(OFFSET($H$3,0,0,'Données projet'!$E$10+1,1))</f>
        <v>304.32767345253382</v>
      </c>
      <c r="AO139" s="62">
        <f t="shared" si="144"/>
        <v>427.16091343339173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19.829383861074188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19.829383861074188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5.6843418860808015E-14</v>
      </c>
      <c r="BE139" s="14">
        <f>BD139*VLOOKUP('Données projet'!$B$11,Paramètres!$A$1:$I$89,3,0)*VLOOKUP('Données projet'!$B$11,Paramètres!$A$1:$I$89,5,0)</f>
        <v>3.3992364478763198E-14</v>
      </c>
      <c r="BF139" s="14">
        <f t="shared" si="145"/>
        <v>5.790027782444094E-13</v>
      </c>
      <c r="BG139" s="22">
        <f t="shared" si="115"/>
        <v>1.0676332069095257E-12</v>
      </c>
      <c r="BH139" s="62">
        <f t="shared" si="116"/>
        <v>293.33333333333439</v>
      </c>
      <c r="BI139" s="62">
        <f ca="1">AVERAGE(OFFSET($BH$3,0,0,'Données projet'!$E$11+1,1))-AVERAGE(OFFSET($H$3,0,0,'Données projet'!$E$11+1,1))</f>
        <v>294.26495752303765</v>
      </c>
      <c r="BJ139" s="62">
        <f t="shared" si="146"/>
        <v>212.24900914818096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62.793208681815422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1.1733441707216567E-7</v>
      </c>
      <c r="BS139" s="24">
        <f t="shared" si="117"/>
        <v>62.793208799149838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260.49759897936531</v>
      </c>
      <c r="T140" s="62">
        <f t="shared" si="142"/>
        <v>223.74038909289635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49.219412268150244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1.8929398138508975E-4</v>
      </c>
      <c r="AC140" s="24">
        <f t="shared" si="111"/>
        <v>49.219601562131629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5.6843418860808015E-14</v>
      </c>
      <c r="AJ140" s="14">
        <f>AI140*VLOOKUP('Données projet'!$B$10,Paramètres!$A$1:$I$89,3,0)*VLOOKUP('Données projet'!$B$10,Paramètres!$A$1:$I$89,5,0)</f>
        <v>4.9658410716801891E-14</v>
      </c>
      <c r="AK140" s="14">
        <f t="shared" si="143"/>
        <v>8.0934058173791862E-13</v>
      </c>
      <c r="AL140" s="22">
        <f t="shared" si="112"/>
        <v>1.4960899118586383E-12</v>
      </c>
      <c r="AM140" s="62">
        <f t="shared" si="113"/>
        <v>293.33333333333479</v>
      </c>
      <c r="AN140" s="62">
        <f ca="1">AVERAGE(OFFSET($AM$3,0,0,'Données projet'!$E$10+1,1))-AVERAGE(OFFSET($H$3,0,0,'Données projet'!$E$10+1,1))</f>
        <v>304.32767345253382</v>
      </c>
      <c r="AO140" s="62">
        <f t="shared" si="144"/>
        <v>427.16091343339173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19.440541738288424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19.440541738288424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5.6843418860808015E-14</v>
      </c>
      <c r="BE140" s="14">
        <f>BD140*VLOOKUP('Données projet'!$B$11,Paramètres!$A$1:$I$89,3,0)*VLOOKUP('Données projet'!$B$11,Paramètres!$A$1:$I$89,5,0)</f>
        <v>3.3992364478763198E-14</v>
      </c>
      <c r="BF140" s="14">
        <f t="shared" si="145"/>
        <v>5.790027782444094E-13</v>
      </c>
      <c r="BG140" s="22">
        <f t="shared" si="115"/>
        <v>1.0676332069095257E-12</v>
      </c>
      <c r="BH140" s="62">
        <f t="shared" si="116"/>
        <v>293.33333333333439</v>
      </c>
      <c r="BI140" s="62">
        <f ca="1">AVERAGE(OFFSET($BH$3,0,0,'Données projet'!$E$11+1,1))-AVERAGE(OFFSET($H$3,0,0,'Données projet'!$E$11+1,1))</f>
        <v>294.26495752303765</v>
      </c>
      <c r="BJ140" s="62">
        <f t="shared" si="146"/>
        <v>212.24900914818096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61.561872159640501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8.2967961978298963E-8</v>
      </c>
      <c r="BS140" s="24">
        <f t="shared" si="117"/>
        <v>61.561872242608466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260.49759897936531</v>
      </c>
      <c r="T141" s="62">
        <f t="shared" si="142"/>
        <v>223.74038909289635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48.254249614448987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1.3385105787519706E-4</v>
      </c>
      <c r="AC141" s="24">
        <f t="shared" si="111"/>
        <v>48.254383465506862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5.6843418860808015E-14</v>
      </c>
      <c r="AJ141" s="14">
        <f>AI141*VLOOKUP('Données projet'!$B$10,Paramètres!$A$1:$I$89,3,0)*VLOOKUP('Données projet'!$B$10,Paramètres!$A$1:$I$89,5,0)</f>
        <v>4.9658410716801891E-14</v>
      </c>
      <c r="AK141" s="14">
        <f t="shared" si="143"/>
        <v>8.0934058173791862E-13</v>
      </c>
      <c r="AL141" s="22">
        <f t="shared" si="112"/>
        <v>1.4960899118586383E-12</v>
      </c>
      <c r="AM141" s="62">
        <f t="shared" si="113"/>
        <v>293.33333333333479</v>
      </c>
      <c r="AN141" s="62">
        <f ca="1">AVERAGE(OFFSET($AM$3,0,0,'Données projet'!$E$10+1,1))-AVERAGE(OFFSET($H$3,0,0,'Données projet'!$E$10+1,1))</f>
        <v>304.32767345253382</v>
      </c>
      <c r="AO141" s="62">
        <f t="shared" si="144"/>
        <v>427.16091343339173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19.059324572360211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19.059324572360211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5.6843418860808015E-14</v>
      </c>
      <c r="BE141" s="14">
        <f>BD141*VLOOKUP('Données projet'!$B$11,Paramètres!$A$1:$I$89,3,0)*VLOOKUP('Données projet'!$B$11,Paramètres!$A$1:$I$89,5,0)</f>
        <v>3.3992364478763198E-14</v>
      </c>
      <c r="BF141" s="14">
        <f t="shared" si="145"/>
        <v>5.790027782444094E-13</v>
      </c>
      <c r="BG141" s="22">
        <f t="shared" si="115"/>
        <v>1.0676332069095257E-12</v>
      </c>
      <c r="BH141" s="62">
        <f t="shared" si="116"/>
        <v>293.33333333333439</v>
      </c>
      <c r="BI141" s="62">
        <f ca="1">AVERAGE(OFFSET($BH$3,0,0,'Données projet'!$E$11+1,1))-AVERAGE(OFFSET($H$3,0,0,'Données projet'!$E$11+1,1))</f>
        <v>294.26495752303765</v>
      </c>
      <c r="BJ141" s="62">
        <f t="shared" si="146"/>
        <v>212.24900914818096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60.354681395624311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5.8667208536082843E-8</v>
      </c>
      <c r="BS141" s="24">
        <f t="shared" si="117"/>
        <v>60.354681454291523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260.49759897936531</v>
      </c>
      <c r="T142" s="62">
        <f t="shared" si="142"/>
        <v>223.74038909289635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47.308013211695723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9.4646990692544874E-5</v>
      </c>
      <c r="AC142" s="24">
        <f t="shared" si="111"/>
        <v>47.308107858686412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5.6843418860808015E-14</v>
      </c>
      <c r="AJ142" s="14">
        <f>AI142*VLOOKUP('Données projet'!$B$10,Paramètres!$A$1:$I$89,3,0)*VLOOKUP('Données projet'!$B$10,Paramètres!$A$1:$I$89,5,0)</f>
        <v>4.9658410716801891E-14</v>
      </c>
      <c r="AK142" s="14">
        <f t="shared" si="143"/>
        <v>8.0934058173791862E-13</v>
      </c>
      <c r="AL142" s="22">
        <f t="shared" si="112"/>
        <v>1.4960899118586383E-12</v>
      </c>
      <c r="AM142" s="62">
        <f t="shared" si="113"/>
        <v>293.33333333333479</v>
      </c>
      <c r="AN142" s="62">
        <f ca="1">AVERAGE(OFFSET($AM$3,0,0,'Données projet'!$E$10+1,1))-AVERAGE(OFFSET($H$3,0,0,'Données projet'!$E$10+1,1))</f>
        <v>304.32767345253382</v>
      </c>
      <c r="AO142" s="62">
        <f t="shared" si="144"/>
        <v>427.16091343339173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18.685582842536338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18.685582842536338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5.6843418860808015E-14</v>
      </c>
      <c r="BE142" s="14">
        <f>BD142*VLOOKUP('Données projet'!$B$11,Paramètres!$A$1:$I$89,3,0)*VLOOKUP('Données projet'!$B$11,Paramètres!$A$1:$I$89,5,0)</f>
        <v>3.3992364478763198E-14</v>
      </c>
      <c r="BF142" s="14">
        <f t="shared" si="145"/>
        <v>5.790027782444094E-13</v>
      </c>
      <c r="BG142" s="22">
        <f t="shared" si="115"/>
        <v>1.0676332069095257E-12</v>
      </c>
      <c r="BH142" s="62">
        <f t="shared" si="116"/>
        <v>293.33333333333439</v>
      </c>
      <c r="BI142" s="62">
        <f ca="1">AVERAGE(OFFSET($BH$3,0,0,'Données projet'!$E$11+1,1))-AVERAGE(OFFSET($H$3,0,0,'Données projet'!$E$11+1,1))</f>
        <v>294.26495752303765</v>
      </c>
      <c r="BJ142" s="62">
        <f t="shared" si="146"/>
        <v>212.24900914818096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59.171162906176818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4.1483980989149488E-8</v>
      </c>
      <c r="BS142" s="24">
        <f t="shared" si="117"/>
        <v>59.171162947660797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260.49759897936531</v>
      </c>
      <c r="T143" s="62">
        <f t="shared" si="142"/>
        <v>223.74038909289635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46.380331927653231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6.6925528937598528E-5</v>
      </c>
      <c r="AC143" s="24">
        <f t="shared" si="111"/>
        <v>46.380398853182172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5.6843418860808015E-14</v>
      </c>
      <c r="AJ143" s="14">
        <f>AI143*VLOOKUP('Données projet'!$B$10,Paramètres!$A$1:$I$89,3,0)*VLOOKUP('Données projet'!$B$10,Paramètres!$A$1:$I$89,5,0)</f>
        <v>4.9658410716801891E-14</v>
      </c>
      <c r="AK143" s="14">
        <f t="shared" si="143"/>
        <v>8.0934058173791862E-13</v>
      </c>
      <c r="AL143" s="22">
        <f t="shared" si="112"/>
        <v>1.4960899118586383E-12</v>
      </c>
      <c r="AM143" s="62">
        <f t="shared" si="113"/>
        <v>293.33333333333479</v>
      </c>
      <c r="AN143" s="62">
        <f ca="1">AVERAGE(OFFSET($AM$3,0,0,'Données projet'!$E$10+1,1))-AVERAGE(OFFSET($H$3,0,0,'Données projet'!$E$10+1,1))</f>
        <v>304.32767345253382</v>
      </c>
      <c r="AO143" s="62">
        <f t="shared" si="144"/>
        <v>427.16091343339173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18.319169960074365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18.319169960074365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5.6843418860808015E-14</v>
      </c>
      <c r="BE143" s="14">
        <f>BD143*VLOOKUP('Données projet'!$B$11,Paramètres!$A$1:$I$89,3,0)*VLOOKUP('Données projet'!$B$11,Paramètres!$A$1:$I$89,5,0)</f>
        <v>3.3992364478763198E-14</v>
      </c>
      <c r="BF143" s="14">
        <f t="shared" si="145"/>
        <v>5.790027782444094E-13</v>
      </c>
      <c r="BG143" s="22">
        <f t="shared" si="115"/>
        <v>1.0676332069095257E-12</v>
      </c>
      <c r="BH143" s="62">
        <f t="shared" si="116"/>
        <v>293.33333333333439</v>
      </c>
      <c r="BI143" s="62">
        <f ca="1">AVERAGE(OFFSET($BH$3,0,0,'Données projet'!$E$11+1,1))-AVERAGE(OFFSET($H$3,0,0,'Données projet'!$E$11+1,1))</f>
        <v>294.26495752303765</v>
      </c>
      <c r="BJ143" s="62">
        <f t="shared" si="146"/>
        <v>212.24900914818096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58.010852492432392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2.9333604268041425E-8</v>
      </c>
      <c r="BS143" s="24">
        <f t="shared" si="117"/>
        <v>58.010852521765997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260.49759897936531</v>
      </c>
      <c r="T144" s="62">
        <f t="shared" si="142"/>
        <v>223.74038909289635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45.470841907761098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4.7323495346272437E-5</v>
      </c>
      <c r="AC144" s="24">
        <f t="shared" si="111"/>
        <v>45.470889231256443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5.6843418860808015E-14</v>
      </c>
      <c r="AJ144" s="14">
        <f>AI144*VLOOKUP('Données projet'!$B$10,Paramètres!$A$1:$I$89,3,0)*VLOOKUP('Données projet'!$B$10,Paramètres!$A$1:$I$89,5,0)</f>
        <v>4.9658410716801891E-14</v>
      </c>
      <c r="AK144" s="14">
        <f t="shared" si="143"/>
        <v>8.0934058173791862E-13</v>
      </c>
      <c r="AL144" s="22">
        <f t="shared" si="112"/>
        <v>1.4960899118586383E-12</v>
      </c>
      <c r="AM144" s="62">
        <f t="shared" si="113"/>
        <v>293.33333333333479</v>
      </c>
      <c r="AN144" s="62">
        <f ca="1">AVERAGE(OFFSET($AM$3,0,0,'Données projet'!$E$10+1,1))-AVERAGE(OFFSET($H$3,0,0,'Données projet'!$E$10+1,1))</f>
        <v>304.32767345253382</v>
      </c>
      <c r="AO144" s="62">
        <f t="shared" si="144"/>
        <v>427.16091343339173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17.959942210747684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17.959942210747684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5.6843418860808015E-14</v>
      </c>
      <c r="BE144" s="14">
        <f>BD144*VLOOKUP('Données projet'!$B$11,Paramètres!$A$1:$I$89,3,0)*VLOOKUP('Données projet'!$B$11,Paramètres!$A$1:$I$89,5,0)</f>
        <v>3.3992364478763198E-14</v>
      </c>
      <c r="BF144" s="14">
        <f t="shared" si="145"/>
        <v>5.790027782444094E-13</v>
      </c>
      <c r="BG144" s="22">
        <f t="shared" si="115"/>
        <v>1.0676332069095257E-12</v>
      </c>
      <c r="BH144" s="62">
        <f t="shared" si="116"/>
        <v>293.33333333333439</v>
      </c>
      <c r="BI144" s="62">
        <f ca="1">AVERAGE(OFFSET($BH$3,0,0,'Données projet'!$E$11+1,1))-AVERAGE(OFFSET($H$3,0,0,'Données projet'!$E$11+1,1))</f>
        <v>294.26495752303765</v>
      </c>
      <c r="BJ144" s="62">
        <f t="shared" si="146"/>
        <v>212.24900914818096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56.873295058182016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2.0741990494574747E-8</v>
      </c>
      <c r="BS144" s="24">
        <f t="shared" si="117"/>
        <v>56.873295078924009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260.49759897936531</v>
      </c>
      <c r="T145" s="62">
        <f t="shared" si="142"/>
        <v>223.74038909289635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44.579186432424912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3.3462764468799264E-5</v>
      </c>
      <c r="AC145" s="24">
        <f t="shared" si="111"/>
        <v>44.579219895189382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5.6843418860808015E-14</v>
      </c>
      <c r="AJ145" s="14">
        <f>AI145*VLOOKUP('Données projet'!$B$10,Paramètres!$A$1:$I$89,3,0)*VLOOKUP('Données projet'!$B$10,Paramètres!$A$1:$I$89,5,0)</f>
        <v>4.9658410716801891E-14</v>
      </c>
      <c r="AK145" s="14">
        <f t="shared" si="143"/>
        <v>8.0934058173791862E-13</v>
      </c>
      <c r="AL145" s="22">
        <f t="shared" si="112"/>
        <v>1.4960899118586383E-12</v>
      </c>
      <c r="AM145" s="62">
        <f t="shared" si="113"/>
        <v>293.33333333333479</v>
      </c>
      <c r="AN145" s="62">
        <f ca="1">AVERAGE(OFFSET($AM$3,0,0,'Données projet'!$E$10+1,1))-AVERAGE(OFFSET($H$3,0,0,'Données projet'!$E$10+1,1))</f>
        <v>304.32767345253382</v>
      </c>
      <c r="AO145" s="62">
        <f t="shared" si="144"/>
        <v>427.16091343339173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17.607758698478005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17.607758698478005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5.6843418860808015E-14</v>
      </c>
      <c r="BE145" s="14">
        <f>BD145*VLOOKUP('Données projet'!$B$11,Paramètres!$A$1:$I$89,3,0)*VLOOKUP('Données projet'!$B$11,Paramètres!$A$1:$I$89,5,0)</f>
        <v>3.3992364478763198E-14</v>
      </c>
      <c r="BF145" s="14">
        <f t="shared" si="145"/>
        <v>5.790027782444094E-13</v>
      </c>
      <c r="BG145" s="22">
        <f t="shared" si="115"/>
        <v>1.0676332069095257E-12</v>
      </c>
      <c r="BH145" s="62">
        <f t="shared" si="116"/>
        <v>293.33333333333439</v>
      </c>
      <c r="BI145" s="62">
        <f ca="1">AVERAGE(OFFSET($BH$3,0,0,'Données projet'!$E$11+1,1))-AVERAGE(OFFSET($H$3,0,0,'Données projet'!$E$11+1,1))</f>
        <v>294.26495752303765</v>
      </c>
      <c r="BJ145" s="62">
        <f t="shared" si="146"/>
        <v>212.24900914818096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55.758044431375772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1.4666802134020716E-8</v>
      </c>
      <c r="BS145" s="24">
        <f t="shared" si="117"/>
        <v>55.758044446042575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260.49759897936531</v>
      </c>
      <c r="T146" s="62">
        <f t="shared" si="142"/>
        <v>223.74038909289635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43.705015777103931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2.3661747673136219E-5</v>
      </c>
      <c r="AC146" s="24">
        <f t="shared" si="111"/>
        <v>43.705039438851607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5.6843418860808015E-14</v>
      </c>
      <c r="AJ146" s="14">
        <f>AI146*VLOOKUP('Données projet'!$B$10,Paramètres!$A$1:$I$89,3,0)*VLOOKUP('Données projet'!$B$10,Paramètres!$A$1:$I$89,5,0)</f>
        <v>4.9658410716801891E-14</v>
      </c>
      <c r="AK146" s="14">
        <f t="shared" si="143"/>
        <v>8.0934058173791862E-13</v>
      </c>
      <c r="AL146" s="22">
        <f t="shared" si="112"/>
        <v>1.4960899118586383E-12</v>
      </c>
      <c r="AM146" s="62">
        <f t="shared" si="113"/>
        <v>293.33333333333479</v>
      </c>
      <c r="AN146" s="62">
        <f ca="1">AVERAGE(OFFSET($AM$3,0,0,'Données projet'!$E$10+1,1))-AVERAGE(OFFSET($H$3,0,0,'Données projet'!$E$10+1,1))</f>
        <v>304.32767345253382</v>
      </c>
      <c r="AO146" s="62">
        <f t="shared" si="144"/>
        <v>427.16091343339173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17.262481290073204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17.262481290073204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5.6843418860808015E-14</v>
      </c>
      <c r="BE146" s="14">
        <f>BD146*VLOOKUP('Données projet'!$B$11,Paramètres!$A$1:$I$89,3,0)*VLOOKUP('Données projet'!$B$11,Paramètres!$A$1:$I$89,5,0)</f>
        <v>3.3992364478763198E-14</v>
      </c>
      <c r="BF146" s="14">
        <f t="shared" si="145"/>
        <v>5.790027782444094E-13</v>
      </c>
      <c r="BG146" s="22">
        <f t="shared" si="115"/>
        <v>1.0676332069095257E-12</v>
      </c>
      <c r="BH146" s="62">
        <f t="shared" si="116"/>
        <v>293.33333333333439</v>
      </c>
      <c r="BI146" s="62">
        <f ca="1">AVERAGE(OFFSET($BH$3,0,0,'Données projet'!$E$11+1,1))-AVERAGE(OFFSET($H$3,0,0,'Données projet'!$E$11+1,1))</f>
        <v>294.26495752303765</v>
      </c>
      <c r="BJ146" s="62">
        <f t="shared" si="146"/>
        <v>212.24900914818096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54.664663189125484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1.0370995247287375E-8</v>
      </c>
      <c r="BS146" s="24">
        <f t="shared" si="117"/>
        <v>54.664663199496481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260.49759897936531</v>
      </c>
      <c r="T147" s="62">
        <f t="shared" si="142"/>
        <v>223.74038909289635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42.847987075142342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1.6731382234399632E-5</v>
      </c>
      <c r="AC147" s="24">
        <f t="shared" si="111"/>
        <v>42.848003806524574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5.6843418860808015E-14</v>
      </c>
      <c r="AJ147" s="14">
        <f>AI147*VLOOKUP('Données projet'!$B$10,Paramètres!$A$1:$I$89,3,0)*VLOOKUP('Données projet'!$B$10,Paramètres!$A$1:$I$89,5,0)</f>
        <v>4.9658410716801891E-14</v>
      </c>
      <c r="AK147" s="14">
        <f t="shared" si="143"/>
        <v>8.0934058173791862E-13</v>
      </c>
      <c r="AL147" s="22">
        <f t="shared" si="112"/>
        <v>1.4960899118586383E-12</v>
      </c>
      <c r="AM147" s="62">
        <f t="shared" si="113"/>
        <v>293.33333333333479</v>
      </c>
      <c r="AN147" s="62">
        <f ca="1">AVERAGE(OFFSET($AM$3,0,0,'Données projet'!$E$10+1,1))-AVERAGE(OFFSET($H$3,0,0,'Données projet'!$E$10+1,1))</f>
        <v>304.32767345253382</v>
      </c>
      <c r="AO147" s="62">
        <f t="shared" si="144"/>
        <v>427.16091343339173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16.923974561048794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16.923974561048794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5.6843418860808015E-14</v>
      </c>
      <c r="BE147" s="14">
        <f>BD147*VLOOKUP('Données projet'!$B$11,Paramètres!$A$1:$I$89,3,0)*VLOOKUP('Données projet'!$B$11,Paramètres!$A$1:$I$89,5,0)</f>
        <v>3.3992364478763198E-14</v>
      </c>
      <c r="BF147" s="14">
        <f t="shared" si="145"/>
        <v>5.790027782444094E-13</v>
      </c>
      <c r="BG147" s="22">
        <f t="shared" si="115"/>
        <v>1.0676332069095257E-12</v>
      </c>
      <c r="BH147" s="62">
        <f t="shared" si="116"/>
        <v>293.33333333333439</v>
      </c>
      <c r="BI147" s="62">
        <f ca="1">AVERAGE(OFFSET($BH$3,0,0,'Données projet'!$E$11+1,1))-AVERAGE(OFFSET($H$3,0,0,'Données projet'!$E$11+1,1))</f>
        <v>294.26495752303765</v>
      </c>
      <c r="BJ147" s="62">
        <f t="shared" si="146"/>
        <v>212.24900914818096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53.592722486139017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7.3334010670103587E-9</v>
      </c>
      <c r="BS147" s="24">
        <f t="shared" si="117"/>
        <v>53.592722493472415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260.49759897936531</v>
      </c>
      <c r="T148" s="62">
        <f t="shared" si="142"/>
        <v>223.74038909289635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42.007764183290327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1.1830873836568109E-5</v>
      </c>
      <c r="AC148" s="24">
        <f t="shared" si="111"/>
        <v>42.007776014164165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5.6843418860808015E-14</v>
      </c>
      <c r="AJ148" s="14">
        <f>AI148*VLOOKUP('Données projet'!$B$10,Paramètres!$A$1:$I$89,3,0)*VLOOKUP('Données projet'!$B$10,Paramètres!$A$1:$I$89,5,0)</f>
        <v>4.9658410716801891E-14</v>
      </c>
      <c r="AK148" s="14">
        <f t="shared" si="143"/>
        <v>8.0934058173791862E-13</v>
      </c>
      <c r="AL148" s="22">
        <f t="shared" si="112"/>
        <v>1.4960899118586383E-12</v>
      </c>
      <c r="AM148" s="62">
        <f t="shared" si="113"/>
        <v>293.33333333333479</v>
      </c>
      <c r="AN148" s="62">
        <f ca="1">AVERAGE(OFFSET($AM$3,0,0,'Données projet'!$E$10+1,1))-AVERAGE(OFFSET($H$3,0,0,'Données projet'!$E$10+1,1))</f>
        <v>304.32767345253382</v>
      </c>
      <c r="AO148" s="62">
        <f t="shared" si="144"/>
        <v>427.16091343339173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16.592105742511837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16.592105742511837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5.6843418860808015E-14</v>
      </c>
      <c r="BE148" s="14">
        <f>BD148*VLOOKUP('Données projet'!$B$11,Paramètres!$A$1:$I$89,3,0)*VLOOKUP('Données projet'!$B$11,Paramètres!$A$1:$I$89,5,0)</f>
        <v>3.3992364478763198E-14</v>
      </c>
      <c r="BF148" s="14">
        <f t="shared" si="145"/>
        <v>5.790027782444094E-13</v>
      </c>
      <c r="BG148" s="22">
        <f t="shared" si="115"/>
        <v>1.0676332069095257E-12</v>
      </c>
      <c r="BH148" s="62">
        <f t="shared" si="116"/>
        <v>293.33333333333439</v>
      </c>
      <c r="BI148" s="62">
        <f ca="1">AVERAGE(OFFSET($BH$3,0,0,'Données projet'!$E$11+1,1))-AVERAGE(OFFSET($H$3,0,0,'Données projet'!$E$11+1,1))</f>
        <v>294.26495752303765</v>
      </c>
      <c r="BJ148" s="62">
        <f t="shared" si="146"/>
        <v>212.24900914818096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52.54180188651884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5.1854976236436885E-9</v>
      </c>
      <c r="BS148" s="24">
        <f t="shared" si="117"/>
        <v>52.541801891704338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260.49759897936531</v>
      </c>
      <c r="T149" s="62">
        <f t="shared" si="142"/>
        <v>223.74038909289635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41.184017549862176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8.365691117199816E-6</v>
      </c>
      <c r="AC149" s="24">
        <f t="shared" si="111"/>
        <v>41.184025915553292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5.6843418860808015E-14</v>
      </c>
      <c r="AJ149" s="14">
        <f>AI149*VLOOKUP('Données projet'!$B$10,Paramètres!$A$1:$I$89,3,0)*VLOOKUP('Données projet'!$B$10,Paramètres!$A$1:$I$89,5,0)</f>
        <v>4.9658410716801891E-14</v>
      </c>
      <c r="AK149" s="14">
        <f t="shared" si="143"/>
        <v>8.0934058173791862E-13</v>
      </c>
      <c r="AL149" s="22">
        <f t="shared" si="112"/>
        <v>1.4960899118586383E-12</v>
      </c>
      <c r="AM149" s="62">
        <f t="shared" si="113"/>
        <v>293.33333333333479</v>
      </c>
      <c r="AN149" s="62">
        <f ca="1">AVERAGE(OFFSET($AM$3,0,0,'Données projet'!$E$10+1,1))-AVERAGE(OFFSET($H$3,0,0,'Données projet'!$E$10+1,1))</f>
        <v>304.32767345253382</v>
      </c>
      <c r="AO149" s="62">
        <f t="shared" si="144"/>
        <v>427.16091343339173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16.266744669086396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16.266744669086396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5.6843418860808015E-14</v>
      </c>
      <c r="BE149" s="14">
        <f>BD149*VLOOKUP('Données projet'!$B$11,Paramètres!$A$1:$I$89,3,0)*VLOOKUP('Données projet'!$B$11,Paramètres!$A$1:$I$89,5,0)</f>
        <v>3.3992364478763198E-14</v>
      </c>
      <c r="BF149" s="14">
        <f t="shared" si="145"/>
        <v>5.790027782444094E-13</v>
      </c>
      <c r="BG149" s="22">
        <f t="shared" si="115"/>
        <v>1.0676332069095257E-12</v>
      </c>
      <c r="BH149" s="62">
        <f t="shared" si="116"/>
        <v>293.33333333333439</v>
      </c>
      <c r="BI149" s="62">
        <f ca="1">AVERAGE(OFFSET($BH$3,0,0,'Données projet'!$E$11+1,1))-AVERAGE(OFFSET($H$3,0,0,'Données projet'!$E$11+1,1))</f>
        <v>294.26495752303765</v>
      </c>
      <c r="BJ149" s="62">
        <f t="shared" si="146"/>
        <v>212.24900914818096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51.511489198858946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3.6667005335051802E-9</v>
      </c>
      <c r="BS149" s="24">
        <f t="shared" si="117"/>
        <v>51.511489202525645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260.49759897936531</v>
      </c>
      <c r="T150" s="62">
        <f t="shared" si="142"/>
        <v>223.74038909289635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40.376424085479712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5.9154369182840546E-6</v>
      </c>
      <c r="AC150" s="24">
        <f t="shared" si="111"/>
        <v>40.376430000916628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5.6843418860808015E-14</v>
      </c>
      <c r="AJ150" s="14">
        <f>AI150*VLOOKUP('Données projet'!$B$10,Paramètres!$A$1:$I$89,3,0)*VLOOKUP('Données projet'!$B$10,Paramètres!$A$1:$I$89,5,0)</f>
        <v>4.9658410716801891E-14</v>
      </c>
      <c r="AK150" s="14">
        <f t="shared" si="143"/>
        <v>8.0934058173791862E-13</v>
      </c>
      <c r="AL150" s="22">
        <f t="shared" si="112"/>
        <v>1.4960899118586383E-12</v>
      </c>
      <c r="AM150" s="62">
        <f t="shared" si="113"/>
        <v>293.33333333333479</v>
      </c>
      <c r="AN150" s="62">
        <f ca="1">AVERAGE(OFFSET($AM$3,0,0,'Données projet'!$E$10+1,1))-AVERAGE(OFFSET($H$3,0,0,'Données projet'!$E$10+1,1))</f>
        <v>304.32767345253382</v>
      </c>
      <c r="AO150" s="62">
        <f t="shared" si="144"/>
        <v>427.16091343339173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15.94776372786017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15.94776372786017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5.6843418860808015E-14</v>
      </c>
      <c r="BE150" s="14">
        <f>BD150*VLOOKUP('Données projet'!$B$11,Paramètres!$A$1:$I$89,3,0)*VLOOKUP('Données projet'!$B$11,Paramètres!$A$1:$I$89,5,0)</f>
        <v>3.3992364478763198E-14</v>
      </c>
      <c r="BF150" s="14">
        <f t="shared" si="145"/>
        <v>5.790027782444094E-13</v>
      </c>
      <c r="BG150" s="22">
        <f t="shared" si="115"/>
        <v>1.0676332069095257E-12</v>
      </c>
      <c r="BH150" s="62">
        <f t="shared" si="116"/>
        <v>293.33333333333439</v>
      </c>
      <c r="BI150" s="62">
        <f ca="1">AVERAGE(OFFSET($BH$3,0,0,'Données projet'!$E$11+1,1))-AVERAGE(OFFSET($H$3,0,0,'Données projet'!$E$11+1,1))</f>
        <v>294.26495752303765</v>
      </c>
      <c r="BJ150" s="62">
        <f t="shared" si="146"/>
        <v>212.24900914818096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50.501380314575371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2.5927488118218447E-9</v>
      </c>
      <c r="BS150" s="24">
        <f t="shared" si="117"/>
        <v>50.50138031716812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260.49759897936531</v>
      </c>
      <c r="T151" s="62">
        <f t="shared" si="142"/>
        <v>223.74038909289635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39.584667036350417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4.182845558599908E-6</v>
      </c>
      <c r="AC151" s="24">
        <f t="shared" si="111"/>
        <v>39.584671219195975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5.6843418860808015E-14</v>
      </c>
      <c r="AJ151" s="14">
        <f>AI151*VLOOKUP('Données projet'!$B$10,Paramètres!$A$1:$I$89,3,0)*VLOOKUP('Données projet'!$B$10,Paramètres!$A$1:$I$89,5,0)</f>
        <v>4.9658410716801891E-14</v>
      </c>
      <c r="AK151" s="14">
        <f t="shared" si="143"/>
        <v>8.0934058173791862E-13</v>
      </c>
      <c r="AL151" s="22">
        <f t="shared" si="112"/>
        <v>1.4960899118586383E-12</v>
      </c>
      <c r="AM151" s="62">
        <f t="shared" si="113"/>
        <v>293.33333333333479</v>
      </c>
      <c r="AN151" s="62">
        <f ca="1">AVERAGE(OFFSET($AM$3,0,0,'Données projet'!$E$10+1,1))-AVERAGE(OFFSET($H$3,0,0,'Données projet'!$E$10+1,1))</f>
        <v>304.32767345253382</v>
      </c>
      <c r="AO151" s="62">
        <f t="shared" si="144"/>
        <v>427.16091343339173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15.635037808332228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15.635037808332228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5.6843418860808015E-14</v>
      </c>
      <c r="BE151" s="14">
        <f>BD151*VLOOKUP('Données projet'!$B$11,Paramètres!$A$1:$I$89,3,0)*VLOOKUP('Données projet'!$B$11,Paramètres!$A$1:$I$89,5,0)</f>
        <v>3.3992364478763198E-14</v>
      </c>
      <c r="BF151" s="14">
        <f t="shared" si="145"/>
        <v>5.790027782444094E-13</v>
      </c>
      <c r="BG151" s="22">
        <f t="shared" si="115"/>
        <v>1.0676332069095257E-12</v>
      </c>
      <c r="BH151" s="62">
        <f t="shared" si="116"/>
        <v>293.33333333333439</v>
      </c>
      <c r="BI151" s="62">
        <f ca="1">AVERAGE(OFFSET($BH$3,0,0,'Données projet'!$E$11+1,1))-AVERAGE(OFFSET($H$3,0,0,'Données projet'!$E$11+1,1))</f>
        <v>294.26495752303765</v>
      </c>
      <c r="BJ151" s="62">
        <f t="shared" si="146"/>
        <v>212.24900914818096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49.511079049407016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1.8333502667525903E-9</v>
      </c>
      <c r="BS151" s="24">
        <f t="shared" si="117"/>
        <v>49.511079051240365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260.49759897936531</v>
      </c>
      <c r="T152" s="62">
        <f t="shared" si="142"/>
        <v>223.74038909289635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38.808435860030428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2.9577184591420273E-6</v>
      </c>
      <c r="AC152" s="24">
        <f t="shared" si="111"/>
        <v>38.808438817748886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5.6843418860808015E-14</v>
      </c>
      <c r="AJ152" s="14">
        <f>AI152*VLOOKUP('Données projet'!$B$10,Paramètres!$A$1:$I$89,3,0)*VLOOKUP('Données projet'!$B$10,Paramètres!$A$1:$I$89,5,0)</f>
        <v>4.9658410716801891E-14</v>
      </c>
      <c r="AK152" s="14">
        <f t="shared" si="143"/>
        <v>8.0934058173791862E-13</v>
      </c>
      <c r="AL152" s="22">
        <f t="shared" si="112"/>
        <v>1.4960899118586383E-12</v>
      </c>
      <c r="AM152" s="62">
        <f t="shared" si="113"/>
        <v>293.33333333333479</v>
      </c>
      <c r="AN152" s="62">
        <f ca="1">AVERAGE(OFFSET($AM$3,0,0,'Données projet'!$E$10+1,1))-AVERAGE(OFFSET($H$3,0,0,'Données projet'!$E$10+1,1))</f>
        <v>304.32767345253382</v>
      </c>
      <c r="AO152" s="62">
        <f t="shared" si="144"/>
        <v>427.16091343339173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15.328444253342251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15.328444253342251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5.6843418860808015E-14</v>
      </c>
      <c r="BE152" s="14">
        <f>BD152*VLOOKUP('Données projet'!$B$11,Paramètres!$A$1:$I$89,3,0)*VLOOKUP('Données projet'!$B$11,Paramètres!$A$1:$I$89,5,0)</f>
        <v>3.3992364478763198E-14</v>
      </c>
      <c r="BF152" s="14">
        <f t="shared" si="145"/>
        <v>5.790027782444094E-13</v>
      </c>
      <c r="BG152" s="22">
        <f t="shared" si="115"/>
        <v>1.0676332069095257E-12</v>
      </c>
      <c r="BH152" s="62">
        <f t="shared" si="116"/>
        <v>293.33333333333439</v>
      </c>
      <c r="BI152" s="62">
        <f ca="1">AVERAGE(OFFSET($BH$3,0,0,'Données projet'!$E$11+1,1))-AVERAGE(OFFSET($H$3,0,0,'Données projet'!$E$11+1,1))</f>
        <v>294.26495752303765</v>
      </c>
      <c r="BJ152" s="62">
        <f t="shared" si="146"/>
        <v>212.24900914818096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48.540196988024483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1.2963744059109225E-9</v>
      </c>
      <c r="BS152" s="24">
        <f t="shared" si="117"/>
        <v>48.540196989320854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260.49759897936531</v>
      </c>
      <c r="T153" s="62">
        <f t="shared" si="142"/>
        <v>223.74038909289635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38.047426103623806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2.091422779299954E-6</v>
      </c>
      <c r="AC153" s="24">
        <f t="shared" si="111"/>
        <v>38.047428195046585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5.6843418860808015E-14</v>
      </c>
      <c r="AJ153" s="14">
        <f>AI153*VLOOKUP('Données projet'!$B$10,Paramètres!$A$1:$I$89,3,0)*VLOOKUP('Données projet'!$B$10,Paramètres!$A$1:$I$89,5,0)</f>
        <v>4.9658410716801891E-14</v>
      </c>
      <c r="AK153" s="14">
        <f t="shared" si="143"/>
        <v>8.0934058173791862E-13</v>
      </c>
      <c r="AL153" s="22">
        <f t="shared" si="112"/>
        <v>1.4960899118586383E-12</v>
      </c>
      <c r="AM153" s="62">
        <f t="shared" si="113"/>
        <v>293.33333333333479</v>
      </c>
      <c r="AN153" s="62">
        <f ca="1">AVERAGE(OFFSET($AM$3,0,0,'Données projet'!$E$10+1,1))-AVERAGE(OFFSET($H$3,0,0,'Données projet'!$E$10+1,1))</f>
        <v>304.32767345253382</v>
      </c>
      <c r="AO153" s="62">
        <f t="shared" si="144"/>
        <v>427.16091343339173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15.027862810962025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15.027862810962025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5.6843418860808015E-14</v>
      </c>
      <c r="BE153" s="14">
        <f>BD153*VLOOKUP('Données projet'!$B$11,Paramètres!$A$1:$I$89,3,0)*VLOOKUP('Données projet'!$B$11,Paramètres!$A$1:$I$89,5,0)</f>
        <v>3.3992364478763198E-14</v>
      </c>
      <c r="BF153" s="14">
        <f t="shared" si="145"/>
        <v>5.790027782444094E-13</v>
      </c>
      <c r="BG153" s="22">
        <f t="shared" si="115"/>
        <v>1.0676332069095257E-12</v>
      </c>
      <c r="BH153" s="62">
        <f t="shared" si="116"/>
        <v>293.33333333333439</v>
      </c>
      <c r="BI153" s="62">
        <f ca="1">AVERAGE(OFFSET($BH$3,0,0,'Données projet'!$E$11+1,1))-AVERAGE(OFFSET($H$3,0,0,'Données projet'!$E$11+1,1))</f>
        <v>294.26495752303765</v>
      </c>
      <c r="BJ153" s="62">
        <f t="shared" si="146"/>
        <v>212.24900914818096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47.588353331686079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9.1667513337629535E-10</v>
      </c>
      <c r="BS153" s="24">
        <f t="shared" si="117"/>
        <v>47.588353332602757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260.49759897936531</v>
      </c>
      <c r="T154" s="62">
        <f t="shared" si="142"/>
        <v>223.74038909289635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37.301339284370201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1.4788592295710137E-6</v>
      </c>
      <c r="AC154" s="24">
        <f t="shared" ref="AC154:AC203" si="163">SUM(Z154:AB154)</f>
        <v>37.301340763229433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5.6843418860808015E-14</v>
      </c>
      <c r="AJ154" s="14">
        <f>AI154*VLOOKUP('Données projet'!$B$10,Paramètres!$A$1:$I$89,3,0)*VLOOKUP('Données projet'!$B$10,Paramètres!$A$1:$I$89,5,0)</f>
        <v>4.9658410716801891E-14</v>
      </c>
      <c r="AK154" s="14">
        <f t="shared" ref="AK154:AK203" si="164">EXP(-1.0587+0.8836*LN(AJ154)+0.284)</f>
        <v>8.0934058173791862E-13</v>
      </c>
      <c r="AL154" s="22">
        <f t="shared" ref="AL154:AL203" si="165">(AJ154+AK154)*0.475*44/12</f>
        <v>1.4960899118586383E-12</v>
      </c>
      <c r="AM154" s="62">
        <f t="shared" si="113"/>
        <v>293.33333333333479</v>
      </c>
      <c r="AN154" s="62">
        <f ca="1">AVERAGE(OFFSET($AM$3,0,0,'Données projet'!$E$10+1,1))-AVERAGE(OFFSET($H$3,0,0,'Données projet'!$E$10+1,1))</f>
        <v>304.32767345253382</v>
      </c>
      <c r="AO154" s="62">
        <f t="shared" si="144"/>
        <v>427.16091343339173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14.733175587330299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14.733175587330299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5.6843418860808015E-14</v>
      </c>
      <c r="BE154" s="14">
        <f>BD154*VLOOKUP('Données projet'!$B$11,Paramètres!$A$1:$I$89,3,0)*VLOOKUP('Données projet'!$B$11,Paramètres!$A$1:$I$89,5,0)</f>
        <v>3.3992364478763198E-14</v>
      </c>
      <c r="BF154" s="14">
        <f t="shared" ref="BF154:BF203" si="167">EXP(-1.0587+0.8836*LN(BE154)+0.284)</f>
        <v>5.790027782444094E-13</v>
      </c>
      <c r="BG154" s="22">
        <f t="shared" ref="BG154:BG203" si="168">(BE154+BF154)*0.475*44/12</f>
        <v>1.0676332069095257E-12</v>
      </c>
      <c r="BH154" s="62">
        <f t="shared" si="116"/>
        <v>293.33333333333439</v>
      </c>
      <c r="BI154" s="62">
        <f ca="1">AVERAGE(OFFSET($BH$3,0,0,'Données projet'!$E$11+1,1))-AVERAGE(OFFSET($H$3,0,0,'Données projet'!$E$11+1,1))</f>
        <v>294.26495752303765</v>
      </c>
      <c r="BJ154" s="62">
        <f t="shared" si="146"/>
        <v>212.24900914818096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46.655174748881166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6.4818720295546137E-10</v>
      </c>
      <c r="BS154" s="24">
        <f t="shared" ref="BS154:BS203" si="169">SUM(BP154:BR154)</f>
        <v>46.655174749529351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260.49759897936531</v>
      </c>
      <c r="T155" s="62">
        <f t="shared" si="142"/>
        <v>223.74038909289635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36.569882772574132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1.045711389649977E-6</v>
      </c>
      <c r="AC155" s="24">
        <f t="shared" si="163"/>
        <v>36.569883818285525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5.6843418860808015E-14</v>
      </c>
      <c r="AJ155" s="14">
        <f>AI155*VLOOKUP('Données projet'!$B$10,Paramètres!$A$1:$I$89,3,0)*VLOOKUP('Données projet'!$B$10,Paramètres!$A$1:$I$89,5,0)</f>
        <v>4.9658410716801891E-14</v>
      </c>
      <c r="AK155" s="14">
        <f t="shared" si="164"/>
        <v>8.0934058173791862E-13</v>
      </c>
      <c r="AL155" s="22">
        <f t="shared" si="165"/>
        <v>1.4960899118586383E-12</v>
      </c>
      <c r="AM155" s="62">
        <f t="shared" si="113"/>
        <v>293.33333333333479</v>
      </c>
      <c r="AN155" s="62">
        <f ca="1">AVERAGE(OFFSET($AM$3,0,0,'Données projet'!$E$10+1,1))-AVERAGE(OFFSET($H$3,0,0,'Données projet'!$E$10+1,1))</f>
        <v>304.32767345253382</v>
      </c>
      <c r="AO155" s="62">
        <f t="shared" si="144"/>
        <v>427.16091343339173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14.444267000412532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14.444267000412532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5.6843418860808015E-14</v>
      </c>
      <c r="BE155" s="14">
        <f>BD155*VLOOKUP('Données projet'!$B$11,Paramètres!$A$1:$I$89,3,0)*VLOOKUP('Données projet'!$B$11,Paramètres!$A$1:$I$89,5,0)</f>
        <v>3.3992364478763198E-14</v>
      </c>
      <c r="BF155" s="14">
        <f t="shared" si="167"/>
        <v>5.790027782444094E-13</v>
      </c>
      <c r="BG155" s="22">
        <f t="shared" si="168"/>
        <v>1.0676332069095257E-12</v>
      </c>
      <c r="BH155" s="62">
        <f t="shared" si="116"/>
        <v>293.33333333333439</v>
      </c>
      <c r="BI155" s="62">
        <f ca="1">AVERAGE(OFFSET($BH$3,0,0,'Données projet'!$E$11+1,1))-AVERAGE(OFFSET($H$3,0,0,'Données projet'!$E$11+1,1))</f>
        <v>294.26495752303765</v>
      </c>
      <c r="BJ155" s="62">
        <f t="shared" si="146"/>
        <v>212.24900914818096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45.740295228902326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4.5833756668814773E-10</v>
      </c>
      <c r="BS155" s="24">
        <f t="shared" si="169"/>
        <v>45.740295229360662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260.49759897936531</v>
      </c>
      <c r="T156" s="62">
        <f t="shared" si="142"/>
        <v>223.74038909289635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35.852769676829965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7.3942961478550683E-7</v>
      </c>
      <c r="AC156" s="24">
        <f t="shared" si="163"/>
        <v>35.852770416259581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5.6843418860808015E-14</v>
      </c>
      <c r="AJ156" s="14">
        <f>AI156*VLOOKUP('Données projet'!$B$10,Paramètres!$A$1:$I$89,3,0)*VLOOKUP('Données projet'!$B$10,Paramètres!$A$1:$I$89,5,0)</f>
        <v>4.9658410716801891E-14</v>
      </c>
      <c r="AK156" s="14">
        <f t="shared" si="164"/>
        <v>8.0934058173791862E-13</v>
      </c>
      <c r="AL156" s="22">
        <f t="shared" si="165"/>
        <v>1.4960899118586383E-12</v>
      </c>
      <c r="AM156" s="62">
        <f t="shared" si="113"/>
        <v>293.33333333333479</v>
      </c>
      <c r="AN156" s="62">
        <f ca="1">AVERAGE(OFFSET($AM$3,0,0,'Données projet'!$E$10+1,1))-AVERAGE(OFFSET($H$3,0,0,'Données projet'!$E$10+1,1))</f>
        <v>304.32767345253382</v>
      </c>
      <c r="AO156" s="62">
        <f t="shared" si="144"/>
        <v>427.16091343339173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14.161023734667385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14.161023734667385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5.6843418860808015E-14</v>
      </c>
      <c r="BE156" s="14">
        <f>BD156*VLOOKUP('Données projet'!$B$11,Paramètres!$A$1:$I$89,3,0)*VLOOKUP('Données projet'!$B$11,Paramètres!$A$1:$I$89,5,0)</f>
        <v>3.3992364478763198E-14</v>
      </c>
      <c r="BF156" s="14">
        <f t="shared" si="167"/>
        <v>5.790027782444094E-13</v>
      </c>
      <c r="BG156" s="22">
        <f t="shared" si="168"/>
        <v>1.0676332069095257E-12</v>
      </c>
      <c r="BH156" s="62">
        <f t="shared" si="116"/>
        <v>293.33333333333439</v>
      </c>
      <c r="BI156" s="62">
        <f ca="1">AVERAGE(OFFSET($BH$3,0,0,'Données projet'!$E$11+1,1))-AVERAGE(OFFSET($H$3,0,0,'Données projet'!$E$11+1,1))</f>
        <v>294.26495752303765</v>
      </c>
      <c r="BJ156" s="62">
        <f t="shared" si="146"/>
        <v>212.24900914818096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44.843355938288859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3.2409360147773074E-10</v>
      </c>
      <c r="BS156" s="24">
        <f t="shared" si="169"/>
        <v>44.843355938612952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260.49759897936531</v>
      </c>
      <c r="T157" s="62">
        <f t="shared" si="142"/>
        <v>223.74038909289635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35.149718731497543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5.228556948249885E-7</v>
      </c>
      <c r="AC157" s="24">
        <f t="shared" si="163"/>
        <v>35.149719254353236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5.6843418860808015E-14</v>
      </c>
      <c r="AJ157" s="14">
        <f>AI157*VLOOKUP('Données projet'!$B$10,Paramètres!$A$1:$I$89,3,0)*VLOOKUP('Données projet'!$B$10,Paramètres!$A$1:$I$89,5,0)</f>
        <v>4.9658410716801891E-14</v>
      </c>
      <c r="AK157" s="14">
        <f t="shared" si="164"/>
        <v>8.0934058173791862E-13</v>
      </c>
      <c r="AL157" s="22">
        <f t="shared" si="165"/>
        <v>1.4960899118586383E-12</v>
      </c>
      <c r="AM157" s="62">
        <f t="shared" si="113"/>
        <v>293.33333333333479</v>
      </c>
      <c r="AN157" s="62">
        <f ca="1">AVERAGE(OFFSET($AM$3,0,0,'Données projet'!$E$10+1,1))-AVERAGE(OFFSET($H$3,0,0,'Données projet'!$E$10+1,1))</f>
        <v>304.32767345253382</v>
      </c>
      <c r="AO157" s="62">
        <f t="shared" si="144"/>
        <v>427.16091343339173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13.883334696602166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13.883334696602166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5.6843418860808015E-14</v>
      </c>
      <c r="BE157" s="14">
        <f>BD157*VLOOKUP('Données projet'!$B$11,Paramètres!$A$1:$I$89,3,0)*VLOOKUP('Données projet'!$B$11,Paramètres!$A$1:$I$89,5,0)</f>
        <v>3.3992364478763198E-14</v>
      </c>
      <c r="BF157" s="14">
        <f t="shared" si="167"/>
        <v>5.790027782444094E-13</v>
      </c>
      <c r="BG157" s="22">
        <f t="shared" si="168"/>
        <v>1.0676332069095257E-12</v>
      </c>
      <c r="BH157" s="62">
        <f t="shared" si="116"/>
        <v>293.33333333333439</v>
      </c>
      <c r="BI157" s="62">
        <f ca="1">AVERAGE(OFFSET($BH$3,0,0,'Données projet'!$E$11+1,1))-AVERAGE(OFFSET($H$3,0,0,'Données projet'!$E$11+1,1))</f>
        <v>294.26495752303765</v>
      </c>
      <c r="BJ157" s="62">
        <f t="shared" si="146"/>
        <v>212.24900914818096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43.964005080085379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2.2916878334407389E-10</v>
      </c>
      <c r="BS157" s="24">
        <f t="shared" si="169"/>
        <v>43.96400508031455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260.49759897936531</v>
      </c>
      <c r="T158" s="62">
        <f t="shared" si="142"/>
        <v>223.74038909289635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34.460454186384354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3.6971480739275342E-7</v>
      </c>
      <c r="AC158" s="24">
        <f t="shared" si="163"/>
        <v>34.460454556099158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5.6843418860808015E-14</v>
      </c>
      <c r="AJ158" s="14">
        <f>AI158*VLOOKUP('Données projet'!$B$10,Paramètres!$A$1:$I$89,3,0)*VLOOKUP('Données projet'!$B$10,Paramètres!$A$1:$I$89,5,0)</f>
        <v>4.9658410716801891E-14</v>
      </c>
      <c r="AK158" s="14">
        <f t="shared" si="164"/>
        <v>8.0934058173791862E-13</v>
      </c>
      <c r="AL158" s="22">
        <f t="shared" si="165"/>
        <v>1.4960899118586383E-12</v>
      </c>
      <c r="AM158" s="62">
        <f t="shared" si="113"/>
        <v>293.33333333333479</v>
      </c>
      <c r="AN158" s="62">
        <f ca="1">AVERAGE(OFFSET($AM$3,0,0,'Données projet'!$E$10+1,1))-AVERAGE(OFFSET($H$3,0,0,'Données projet'!$E$10+1,1))</f>
        <v>304.32767345253382</v>
      </c>
      <c r="AO158" s="62">
        <f t="shared" si="144"/>
        <v>427.16091343339173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13.611090971199816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13.611090971199816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5.6843418860808015E-14</v>
      </c>
      <c r="BE158" s="14">
        <f>BD158*VLOOKUP('Données projet'!$B$11,Paramètres!$A$1:$I$89,3,0)*VLOOKUP('Données projet'!$B$11,Paramètres!$A$1:$I$89,5,0)</f>
        <v>3.3992364478763198E-14</v>
      </c>
      <c r="BF158" s="14">
        <f t="shared" si="167"/>
        <v>5.790027782444094E-13</v>
      </c>
      <c r="BG158" s="22">
        <f t="shared" si="168"/>
        <v>1.0676332069095257E-12</v>
      </c>
      <c r="BH158" s="62">
        <f t="shared" si="116"/>
        <v>293.33333333333439</v>
      </c>
      <c r="BI158" s="62">
        <f ca="1">AVERAGE(OFFSET($BH$3,0,0,'Données projet'!$E$11+1,1))-AVERAGE(OFFSET($H$3,0,0,'Données projet'!$E$11+1,1))</f>
        <v>294.26495752303765</v>
      </c>
      <c r="BJ158" s="62">
        <f t="shared" si="146"/>
        <v>212.24900914818096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43.1018977558602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1.6204680073886539E-10</v>
      </c>
      <c r="BS158" s="24">
        <f t="shared" si="169"/>
        <v>43.101897756022247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260.49759897936531</v>
      </c>
      <c r="T159" s="62">
        <f t="shared" si="142"/>
        <v>223.74038909289635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33.784705698590976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2.6142784741249425E-7</v>
      </c>
      <c r="AC159" s="24">
        <f t="shared" si="163"/>
        <v>33.784705960018826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5.6843418860808015E-14</v>
      </c>
      <c r="AJ159" s="14">
        <f>AI159*VLOOKUP('Données projet'!$B$10,Paramètres!$A$1:$I$89,3,0)*VLOOKUP('Données projet'!$B$10,Paramètres!$A$1:$I$89,5,0)</f>
        <v>4.9658410716801891E-14</v>
      </c>
      <c r="AK159" s="14">
        <f t="shared" si="164"/>
        <v>8.0934058173791862E-13</v>
      </c>
      <c r="AL159" s="22">
        <f t="shared" si="165"/>
        <v>1.4960899118586383E-12</v>
      </c>
      <c r="AM159" s="62">
        <f t="shared" si="113"/>
        <v>293.33333333333479</v>
      </c>
      <c r="AN159" s="62">
        <f ca="1">AVERAGE(OFFSET($AM$3,0,0,'Données projet'!$E$10+1,1))-AVERAGE(OFFSET($H$3,0,0,'Données projet'!$E$10+1,1))</f>
        <v>304.32767345253382</v>
      </c>
      <c r="AO159" s="62">
        <f t="shared" si="144"/>
        <v>427.16091343339173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13.344185779200332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13.344185779200332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5.6843418860808015E-14</v>
      </c>
      <c r="BE159" s="14">
        <f>BD159*VLOOKUP('Données projet'!$B$11,Paramètres!$A$1:$I$89,3,0)*VLOOKUP('Données projet'!$B$11,Paramètres!$A$1:$I$89,5,0)</f>
        <v>3.3992364478763198E-14</v>
      </c>
      <c r="BF159" s="14">
        <f t="shared" si="167"/>
        <v>5.790027782444094E-13</v>
      </c>
      <c r="BG159" s="22">
        <f t="shared" si="168"/>
        <v>1.0676332069095257E-12</v>
      </c>
      <c r="BH159" s="62">
        <f t="shared" si="116"/>
        <v>293.33333333333439</v>
      </c>
      <c r="BI159" s="62">
        <f ca="1">AVERAGE(OFFSET($BH$3,0,0,'Données projet'!$E$11+1,1))-AVERAGE(OFFSET($H$3,0,0,'Données projet'!$E$11+1,1))</f>
        <v>294.26495752303765</v>
      </c>
      <c r="BJ159" s="62">
        <f t="shared" si="146"/>
        <v>212.24900914818096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42.256695830429535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1.1458439167203697E-10</v>
      </c>
      <c r="BS159" s="24">
        <f t="shared" si="169"/>
        <v>42.256695830544118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260.49759897936531</v>
      </c>
      <c r="T160" s="62">
        <f t="shared" si="142"/>
        <v>223.74038909289635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33.122208226477348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1.8485740369637671E-7</v>
      </c>
      <c r="AC160" s="24">
        <f t="shared" si="163"/>
        <v>33.122208411334753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5.6843418860808015E-14</v>
      </c>
      <c r="AJ160" s="14">
        <f>AI160*VLOOKUP('Données projet'!$B$10,Paramètres!$A$1:$I$89,3,0)*VLOOKUP('Données projet'!$B$10,Paramètres!$A$1:$I$89,5,0)</f>
        <v>4.9658410716801891E-14</v>
      </c>
      <c r="AK160" s="14">
        <f t="shared" si="164"/>
        <v>8.0934058173791862E-13</v>
      </c>
      <c r="AL160" s="22">
        <f t="shared" si="165"/>
        <v>1.4960899118586383E-12</v>
      </c>
      <c r="AM160" s="62">
        <f t="shared" si="113"/>
        <v>293.33333333333479</v>
      </c>
      <c r="AN160" s="62">
        <f ca="1">AVERAGE(OFFSET($AM$3,0,0,'Données projet'!$E$10+1,1))-AVERAGE(OFFSET($H$3,0,0,'Données projet'!$E$10+1,1))</f>
        <v>304.32767345253382</v>
      </c>
      <c r="AO160" s="62">
        <f t="shared" si="144"/>
        <v>427.16091343339173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13.082514435219865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13.082514435219865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5.6843418860808015E-14</v>
      </c>
      <c r="BE160" s="14">
        <f>BD160*VLOOKUP('Données projet'!$B$11,Paramètres!$A$1:$I$89,3,0)*VLOOKUP('Données projet'!$B$11,Paramètres!$A$1:$I$89,5,0)</f>
        <v>3.3992364478763198E-14</v>
      </c>
      <c r="BF160" s="14">
        <f t="shared" si="167"/>
        <v>5.790027782444094E-13</v>
      </c>
      <c r="BG160" s="22">
        <f t="shared" si="168"/>
        <v>1.0676332069095257E-12</v>
      </c>
      <c r="BH160" s="62">
        <f t="shared" si="116"/>
        <v>293.33333333333439</v>
      </c>
      <c r="BI160" s="62">
        <f ca="1">AVERAGE(OFFSET($BH$3,0,0,'Données projet'!$E$11+1,1))-AVERAGE(OFFSET($H$3,0,0,'Données projet'!$E$11+1,1))</f>
        <v>294.26495752303765</v>
      </c>
      <c r="BJ160" s="62">
        <f t="shared" si="146"/>
        <v>212.24900914818096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41.428067799234292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8.102340036943271E-11</v>
      </c>
      <c r="BS160" s="24">
        <f t="shared" si="169"/>
        <v>41.428067799315315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260.49759897936531</v>
      </c>
      <c r="T161" s="62">
        <f t="shared" si="142"/>
        <v>223.74038909289635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32.472701925708307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1.3071392370624712E-7</v>
      </c>
      <c r="AC161" s="24">
        <f t="shared" si="163"/>
        <v>32.472702056422229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5.6843418860808015E-14</v>
      </c>
      <c r="AJ161" s="14">
        <f>AI161*VLOOKUP('Données projet'!$B$10,Paramètres!$A$1:$I$89,3,0)*VLOOKUP('Données projet'!$B$10,Paramètres!$A$1:$I$89,5,0)</f>
        <v>4.9658410716801891E-14</v>
      </c>
      <c r="AK161" s="14">
        <f t="shared" si="164"/>
        <v>8.0934058173791862E-13</v>
      </c>
      <c r="AL161" s="22">
        <f t="shared" si="165"/>
        <v>1.4960899118586383E-12</v>
      </c>
      <c r="AM161" s="62">
        <f t="shared" si="113"/>
        <v>293.33333333333479</v>
      </c>
      <c r="AN161" s="62">
        <f ca="1">AVERAGE(OFFSET($AM$3,0,0,'Données projet'!$E$10+1,1))-AVERAGE(OFFSET($H$3,0,0,'Données projet'!$E$10+1,1))</f>
        <v>304.32767345253382</v>
      </c>
      <c r="AO161" s="62">
        <f t="shared" si="144"/>
        <v>427.16091343339173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12.825974306691094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12.825974306691094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5.6843418860808015E-14</v>
      </c>
      <c r="BE161" s="14">
        <f>BD161*VLOOKUP('Données projet'!$B$11,Paramètres!$A$1:$I$89,3,0)*VLOOKUP('Données projet'!$B$11,Paramètres!$A$1:$I$89,5,0)</f>
        <v>3.3992364478763198E-14</v>
      </c>
      <c r="BF161" s="14">
        <f t="shared" si="167"/>
        <v>5.790027782444094E-13</v>
      </c>
      <c r="BG161" s="22">
        <f t="shared" si="168"/>
        <v>1.0676332069095257E-12</v>
      </c>
      <c r="BH161" s="62">
        <f t="shared" si="116"/>
        <v>293.33333333333439</v>
      </c>
      <c r="BI161" s="62">
        <f ca="1">AVERAGE(OFFSET($BH$3,0,0,'Données projet'!$E$11+1,1))-AVERAGE(OFFSET($H$3,0,0,'Données projet'!$E$11+1,1))</f>
        <v>294.26495752303765</v>
      </c>
      <c r="BJ161" s="62">
        <f t="shared" si="146"/>
        <v>212.24900914818096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40.615688658317595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5.7292195836018492E-11</v>
      </c>
      <c r="BS161" s="24">
        <f t="shared" si="169"/>
        <v>40.615688658374886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260.49759897936531</v>
      </c>
      <c r="T162" s="62">
        <f t="shared" si="142"/>
        <v>223.74038909289635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31.835932047337621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9.2428701848188354E-8</v>
      </c>
      <c r="AC162" s="24">
        <f t="shared" si="163"/>
        <v>31.835932139766324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5.6843418860808015E-14</v>
      </c>
      <c r="AJ162" s="14">
        <f>AI162*VLOOKUP('Données projet'!$B$10,Paramètres!$A$1:$I$89,3,0)*VLOOKUP('Données projet'!$B$10,Paramètres!$A$1:$I$89,5,0)</f>
        <v>4.9658410716801891E-14</v>
      </c>
      <c r="AK162" s="14">
        <f t="shared" si="164"/>
        <v>8.0934058173791862E-13</v>
      </c>
      <c r="AL162" s="22">
        <f t="shared" si="165"/>
        <v>1.4960899118586383E-12</v>
      </c>
      <c r="AM162" s="62">
        <f t="shared" si="113"/>
        <v>293.33333333333479</v>
      </c>
      <c r="AN162" s="62">
        <f ca="1">AVERAGE(OFFSET($AM$3,0,0,'Données projet'!$E$10+1,1))-AVERAGE(OFFSET($H$3,0,0,'Données projet'!$E$10+1,1))</f>
        <v>304.32767345253382</v>
      </c>
      <c r="AO162" s="62">
        <f t="shared" si="144"/>
        <v>427.16091343339173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12.574464773608744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12.574464773608744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5.6843418860808015E-14</v>
      </c>
      <c r="BE162" s="14">
        <f>BD162*VLOOKUP('Données projet'!$B$11,Paramètres!$A$1:$I$89,3,0)*VLOOKUP('Données projet'!$B$11,Paramètres!$A$1:$I$89,5,0)</f>
        <v>3.3992364478763198E-14</v>
      </c>
      <c r="BF162" s="14">
        <f t="shared" si="167"/>
        <v>5.790027782444094E-13</v>
      </c>
      <c r="BG162" s="22">
        <f t="shared" si="168"/>
        <v>1.0676332069095257E-12</v>
      </c>
      <c r="BH162" s="62">
        <f t="shared" si="116"/>
        <v>293.33333333333439</v>
      </c>
      <c r="BI162" s="62">
        <f ca="1">AVERAGE(OFFSET($BH$3,0,0,'Données projet'!$E$11+1,1))-AVERAGE(OFFSET($H$3,0,0,'Données projet'!$E$11+1,1))</f>
        <v>294.26495752303765</v>
      </c>
      <c r="BJ162" s="62">
        <f t="shared" si="146"/>
        <v>212.24900914818096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39.819239776851923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4.0511700184716362E-11</v>
      </c>
      <c r="BS162" s="24">
        <f t="shared" si="169"/>
        <v>39.819239776892438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260.49759897936531</v>
      </c>
      <c r="T163" s="62">
        <f t="shared" si="142"/>
        <v>223.74038909289635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31.211648837890511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6.5356961853123562E-8</v>
      </c>
      <c r="AC163" s="24">
        <f t="shared" si="163"/>
        <v>31.211648903247472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5.6843418860808015E-14</v>
      </c>
      <c r="AJ163" s="14">
        <f>AI163*VLOOKUP('Données projet'!$B$10,Paramètres!$A$1:$I$89,3,0)*VLOOKUP('Données projet'!$B$10,Paramètres!$A$1:$I$89,5,0)</f>
        <v>4.9658410716801891E-14</v>
      </c>
      <c r="AK163" s="14">
        <f t="shared" si="164"/>
        <v>8.0934058173791862E-13</v>
      </c>
      <c r="AL163" s="22">
        <f t="shared" si="165"/>
        <v>1.4960899118586383E-12</v>
      </c>
      <c r="AM163" s="62">
        <f t="shared" si="113"/>
        <v>293.33333333333479</v>
      </c>
      <c r="AN163" s="62">
        <f ca="1">AVERAGE(OFFSET($AM$3,0,0,'Données projet'!$E$10+1,1))-AVERAGE(OFFSET($H$3,0,0,'Données projet'!$E$10+1,1))</f>
        <v>304.32767345253382</v>
      </c>
      <c r="AO163" s="62">
        <f t="shared" si="144"/>
        <v>427.16091343339173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12.327887189064471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12.327887189064471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5.6843418860808015E-14</v>
      </c>
      <c r="BE163" s="14">
        <f>BD163*VLOOKUP('Données projet'!$B$11,Paramètres!$A$1:$I$89,3,0)*VLOOKUP('Données projet'!$B$11,Paramètres!$A$1:$I$89,5,0)</f>
        <v>3.3992364478763198E-14</v>
      </c>
      <c r="BF163" s="14">
        <f t="shared" si="167"/>
        <v>5.790027782444094E-13</v>
      </c>
      <c r="BG163" s="22">
        <f t="shared" si="168"/>
        <v>1.0676332069095257E-12</v>
      </c>
      <c r="BH163" s="62">
        <f t="shared" si="116"/>
        <v>293.33333333333439</v>
      </c>
      <c r="BI163" s="62">
        <f ca="1">AVERAGE(OFFSET($BH$3,0,0,'Données projet'!$E$11+1,1))-AVERAGE(OFFSET($H$3,0,0,'Données projet'!$E$11+1,1))</f>
        <v>294.26495752303765</v>
      </c>
      <c r="BJ163" s="62">
        <f t="shared" si="146"/>
        <v>212.24900914818096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39.038408772165944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2.8646097918009252E-11</v>
      </c>
      <c r="BS163" s="24">
        <f t="shared" si="169"/>
        <v>39.038408772194593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260.49759897936531</v>
      </c>
      <c r="T164" s="62">
        <f t="shared" si="142"/>
        <v>223.74038909289635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30.599607441405499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4.6214350924094177E-8</v>
      </c>
      <c r="AC164" s="24">
        <f t="shared" si="163"/>
        <v>30.599607487619849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5.6843418860808015E-14</v>
      </c>
      <c r="AJ164" s="14">
        <f>AI164*VLOOKUP('Données projet'!$B$10,Paramètres!$A$1:$I$89,3,0)*VLOOKUP('Données projet'!$B$10,Paramètres!$A$1:$I$89,5,0)</f>
        <v>4.9658410716801891E-14</v>
      </c>
      <c r="AK164" s="14">
        <f t="shared" si="164"/>
        <v>8.0934058173791862E-13</v>
      </c>
      <c r="AL164" s="22">
        <f t="shared" si="165"/>
        <v>1.4960899118586383E-12</v>
      </c>
      <c r="AM164" s="62">
        <f t="shared" si="113"/>
        <v>293.33333333333479</v>
      </c>
      <c r="AN164" s="62">
        <f ca="1">AVERAGE(OFFSET($AM$3,0,0,'Données projet'!$E$10+1,1))-AVERAGE(OFFSET($H$3,0,0,'Données projet'!$E$10+1,1))</f>
        <v>304.32767345253382</v>
      </c>
      <c r="AO164" s="62">
        <f t="shared" si="144"/>
        <v>427.16091343339173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12.086144840555637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12.086144840555637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5.6843418860808015E-14</v>
      </c>
      <c r="BE164" s="14">
        <f>BD164*VLOOKUP('Données projet'!$B$11,Paramètres!$A$1:$I$89,3,0)*VLOOKUP('Données projet'!$B$11,Paramètres!$A$1:$I$89,5,0)</f>
        <v>3.3992364478763198E-14</v>
      </c>
      <c r="BF164" s="14">
        <f t="shared" si="167"/>
        <v>5.790027782444094E-13</v>
      </c>
      <c r="BG164" s="22">
        <f t="shared" si="168"/>
        <v>1.0676332069095257E-12</v>
      </c>
      <c r="BH164" s="62">
        <f t="shared" si="116"/>
        <v>293.33333333333439</v>
      </c>
      <c r="BI164" s="62">
        <f ca="1">AVERAGE(OFFSET($BH$3,0,0,'Données projet'!$E$11+1,1))-AVERAGE(OFFSET($H$3,0,0,'Données projet'!$E$11+1,1))</f>
        <v>294.26495752303765</v>
      </c>
      <c r="BJ164" s="62">
        <f t="shared" si="146"/>
        <v>212.24900914818096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38.272889387221973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2.0255850092358184E-11</v>
      </c>
      <c r="BS164" s="24">
        <f t="shared" si="169"/>
        <v>38.27288938724223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260.49759897936531</v>
      </c>
      <c r="T165" s="62">
        <f t="shared" si="142"/>
        <v>223.74038909289635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29.999567803397166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3.2678480926561781E-8</v>
      </c>
      <c r="AC165" s="24">
        <f t="shared" si="163"/>
        <v>29.999567836075649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5.6843418860808015E-14</v>
      </c>
      <c r="AJ165" s="14">
        <f>AI165*VLOOKUP('Données projet'!$B$10,Paramètres!$A$1:$I$89,3,0)*VLOOKUP('Données projet'!$B$10,Paramètres!$A$1:$I$89,5,0)</f>
        <v>4.9658410716801891E-14</v>
      </c>
      <c r="AK165" s="14">
        <f t="shared" si="164"/>
        <v>8.0934058173791862E-13</v>
      </c>
      <c r="AL165" s="22">
        <f t="shared" si="165"/>
        <v>1.4960899118586383E-12</v>
      </c>
      <c r="AM165" s="62">
        <f t="shared" si="113"/>
        <v>293.33333333333479</v>
      </c>
      <c r="AN165" s="62">
        <f ca="1">AVERAGE(OFFSET($AM$3,0,0,'Données projet'!$E$10+1,1))-AVERAGE(OFFSET($H$3,0,0,'Données projet'!$E$10+1,1))</f>
        <v>304.32767345253382</v>
      </c>
      <c r="AO165" s="62">
        <f t="shared" si="144"/>
        <v>427.16091343339173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11.849142912052786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11.849142912052786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5.6843418860808015E-14</v>
      </c>
      <c r="BE165" s="14">
        <f>BD165*VLOOKUP('Données projet'!$B$11,Paramètres!$A$1:$I$89,3,0)*VLOOKUP('Données projet'!$B$11,Paramètres!$A$1:$I$89,5,0)</f>
        <v>3.3992364478763198E-14</v>
      </c>
      <c r="BF165" s="14">
        <f t="shared" si="167"/>
        <v>5.790027782444094E-13</v>
      </c>
      <c r="BG165" s="22">
        <f t="shared" si="168"/>
        <v>1.0676332069095257E-12</v>
      </c>
      <c r="BH165" s="62">
        <f t="shared" si="116"/>
        <v>293.33333333333439</v>
      </c>
      <c r="BI165" s="62">
        <f ca="1">AVERAGE(OFFSET($BH$3,0,0,'Données projet'!$E$11+1,1))-AVERAGE(OFFSET($H$3,0,0,'Données projet'!$E$11+1,1))</f>
        <v>294.26495752303765</v>
      </c>
      <c r="BJ165" s="62">
        <f t="shared" si="146"/>
        <v>212.24900914818096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37.522381370496035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1.4323048959004628E-11</v>
      </c>
      <c r="BS165" s="24">
        <f t="shared" si="169"/>
        <v>37.522381370510359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260.49759897936531</v>
      </c>
      <c r="T166" s="62">
        <f t="shared" si="142"/>
        <v>223.74038909289635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29.411294576702137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2.3107175462047088E-8</v>
      </c>
      <c r="AC166" s="24">
        <f t="shared" si="163"/>
        <v>29.411294599809313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5.6843418860808015E-14</v>
      </c>
      <c r="AJ166" s="14">
        <f>AI166*VLOOKUP('Données projet'!$B$10,Paramètres!$A$1:$I$89,3,0)*VLOOKUP('Données projet'!$B$10,Paramètres!$A$1:$I$89,5,0)</f>
        <v>4.9658410716801891E-14</v>
      </c>
      <c r="AK166" s="14">
        <f t="shared" si="164"/>
        <v>8.0934058173791862E-13</v>
      </c>
      <c r="AL166" s="22">
        <f t="shared" si="165"/>
        <v>1.4960899118586383E-12</v>
      </c>
      <c r="AM166" s="62">
        <f t="shared" si="113"/>
        <v>293.33333333333479</v>
      </c>
      <c r="AN166" s="62">
        <f ca="1">AVERAGE(OFFSET($AM$3,0,0,'Données projet'!$E$10+1,1))-AVERAGE(OFFSET($H$3,0,0,'Données projet'!$E$10+1,1))</f>
        <v>304.32767345253382</v>
      </c>
      <c r="AO166" s="62">
        <f t="shared" si="144"/>
        <v>427.16091343339173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11.616788446810974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11.616788446810974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5.6843418860808015E-14</v>
      </c>
      <c r="BE166" s="14">
        <f>BD166*VLOOKUP('Données projet'!$B$11,Paramètres!$A$1:$I$89,3,0)*VLOOKUP('Données projet'!$B$11,Paramètres!$A$1:$I$89,5,0)</f>
        <v>3.3992364478763198E-14</v>
      </c>
      <c r="BF166" s="14">
        <f t="shared" si="167"/>
        <v>5.790027782444094E-13</v>
      </c>
      <c r="BG166" s="22">
        <f t="shared" si="168"/>
        <v>1.0676332069095257E-12</v>
      </c>
      <c r="BH166" s="62">
        <f t="shared" si="116"/>
        <v>293.33333333333439</v>
      </c>
      <c r="BI166" s="62">
        <f ca="1">AVERAGE(OFFSET($BH$3,0,0,'Données projet'!$E$11+1,1))-AVERAGE(OFFSET($H$3,0,0,'Données projet'!$E$11+1,1))</f>
        <v>294.26495752303765</v>
      </c>
      <c r="BJ166" s="62">
        <f t="shared" si="146"/>
        <v>212.24900914818096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36.786590358213402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1.0127925046179094E-11</v>
      </c>
      <c r="BS166" s="24">
        <f t="shared" si="169"/>
        <v>36.786590358223528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260.49759897936531</v>
      </c>
      <c r="T167" s="62">
        <f t="shared" si="142"/>
        <v>223.74038909289635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28.834557029171357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1.6339240463280891E-8</v>
      </c>
      <c r="AC167" s="24">
        <f t="shared" si="163"/>
        <v>28.834557045510596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5.6843418860808015E-14</v>
      </c>
      <c r="AJ167" s="14">
        <f>AI167*VLOOKUP('Données projet'!$B$10,Paramètres!$A$1:$I$89,3,0)*VLOOKUP('Données projet'!$B$10,Paramètres!$A$1:$I$89,5,0)</f>
        <v>4.9658410716801891E-14</v>
      </c>
      <c r="AK167" s="14">
        <f t="shared" si="164"/>
        <v>8.0934058173791862E-13</v>
      </c>
      <c r="AL167" s="22">
        <f t="shared" si="165"/>
        <v>1.4960899118586383E-12</v>
      </c>
      <c r="AM167" s="62">
        <f t="shared" si="113"/>
        <v>293.33333333333479</v>
      </c>
      <c r="AN167" s="62">
        <f ca="1">AVERAGE(OFFSET($AM$3,0,0,'Données projet'!$E$10+1,1))-AVERAGE(OFFSET($H$3,0,0,'Données projet'!$E$10+1,1))</f>
        <v>304.32767345253382</v>
      </c>
      <c r="AO167" s="62">
        <f t="shared" si="144"/>
        <v>427.16091343339173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11.388990310910325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11.388990310910325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5.6843418860808015E-14</v>
      </c>
      <c r="BE167" s="14">
        <f>BD167*VLOOKUP('Données projet'!$B$11,Paramètres!$A$1:$I$89,3,0)*VLOOKUP('Données projet'!$B$11,Paramètres!$A$1:$I$89,5,0)</f>
        <v>3.3992364478763198E-14</v>
      </c>
      <c r="BF167" s="14">
        <f t="shared" si="167"/>
        <v>5.790027782444094E-13</v>
      </c>
      <c r="BG167" s="22">
        <f t="shared" si="168"/>
        <v>1.0676332069095257E-12</v>
      </c>
      <c r="BH167" s="62">
        <f t="shared" si="116"/>
        <v>293.33333333333439</v>
      </c>
      <c r="BI167" s="62">
        <f ca="1">AVERAGE(OFFSET($BH$3,0,0,'Données projet'!$E$11+1,1))-AVERAGE(OFFSET($H$3,0,0,'Données projet'!$E$11+1,1))</f>
        <v>294.26495752303765</v>
      </c>
      <c r="BJ167" s="62">
        <f t="shared" si="146"/>
        <v>212.24900914818096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36.065227758893428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7.1615244795023147E-12</v>
      </c>
      <c r="BS167" s="24">
        <f t="shared" si="169"/>
        <v>36.065227758900591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260.49759897936531</v>
      </c>
      <c r="T168" s="62">
        <f t="shared" si="142"/>
        <v>223.74038909289635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28.269128953172487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1.1553587731023544E-8</v>
      </c>
      <c r="AC168" s="24">
        <f t="shared" si="163"/>
        <v>28.269128964726075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5.6843418860808015E-14</v>
      </c>
      <c r="AJ168" s="14">
        <f>AI168*VLOOKUP('Données projet'!$B$10,Paramètres!$A$1:$I$89,3,0)*VLOOKUP('Données projet'!$B$10,Paramètres!$A$1:$I$89,5,0)</f>
        <v>4.9658410716801891E-14</v>
      </c>
      <c r="AK168" s="14">
        <f t="shared" si="164"/>
        <v>8.0934058173791862E-13</v>
      </c>
      <c r="AL168" s="22">
        <f t="shared" si="165"/>
        <v>1.4960899118586383E-12</v>
      </c>
      <c r="AM168" s="62">
        <f t="shared" si="113"/>
        <v>293.33333333333479</v>
      </c>
      <c r="AN168" s="62">
        <f ca="1">AVERAGE(OFFSET($AM$3,0,0,'Données projet'!$E$10+1,1))-AVERAGE(OFFSET($H$3,0,0,'Données projet'!$E$10+1,1))</f>
        <v>304.32767345253382</v>
      </c>
      <c r="AO168" s="62">
        <f t="shared" si="144"/>
        <v>427.16091343339173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11.165659157511543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11.165659157511543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5.6843418860808015E-14</v>
      </c>
      <c r="BE168" s="14">
        <f>BD168*VLOOKUP('Données projet'!$B$11,Paramètres!$A$1:$I$89,3,0)*VLOOKUP('Données projet'!$B$11,Paramètres!$A$1:$I$89,5,0)</f>
        <v>3.3992364478763198E-14</v>
      </c>
      <c r="BF168" s="14">
        <f t="shared" si="167"/>
        <v>5.790027782444094E-13</v>
      </c>
      <c r="BG168" s="22">
        <f t="shared" si="168"/>
        <v>1.0676332069095257E-12</v>
      </c>
      <c r="BH168" s="62">
        <f t="shared" si="116"/>
        <v>293.33333333333439</v>
      </c>
      <c r="BI168" s="62">
        <f ca="1">AVERAGE(OFFSET($BH$3,0,0,'Données projet'!$E$11+1,1))-AVERAGE(OFFSET($H$3,0,0,'Données projet'!$E$11+1,1))</f>
        <v>294.26495752303765</v>
      </c>
      <c r="BJ168" s="62">
        <f t="shared" si="146"/>
        <v>212.24900914818096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35.358010640158376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5.0639625230895476E-12</v>
      </c>
      <c r="BS168" s="24">
        <f t="shared" si="169"/>
        <v>35.358010640163442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260.49759897936531</v>
      </c>
      <c r="T169" s="62">
        <f t="shared" si="142"/>
        <v>223.74038909289635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27.714788576866884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8.1696202316404453E-9</v>
      </c>
      <c r="AC169" s="24">
        <f t="shared" si="163"/>
        <v>27.714788585036505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5.6843418860808015E-14</v>
      </c>
      <c r="AJ169" s="14">
        <f>AI169*VLOOKUP('Données projet'!$B$10,Paramètres!$A$1:$I$89,3,0)*VLOOKUP('Données projet'!$B$10,Paramètres!$A$1:$I$89,5,0)</f>
        <v>4.9658410716801891E-14</v>
      </c>
      <c r="AK169" s="14">
        <f t="shared" si="164"/>
        <v>8.0934058173791862E-13</v>
      </c>
      <c r="AL169" s="22">
        <f t="shared" si="165"/>
        <v>1.4960899118586383E-12</v>
      </c>
      <c r="AM169" s="62">
        <f t="shared" si="113"/>
        <v>293.33333333333479</v>
      </c>
      <c r="AN169" s="62">
        <f ca="1">AVERAGE(OFFSET($AM$3,0,0,'Données projet'!$E$10+1,1))-AVERAGE(OFFSET($H$3,0,0,'Données projet'!$E$10+1,1))</f>
        <v>304.32767345253382</v>
      </c>
      <c r="AO169" s="62">
        <f t="shared" si="144"/>
        <v>427.16091343339173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10.946707391812359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10.946707391812359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5.6843418860808015E-14</v>
      </c>
      <c r="BE169" s="14">
        <f>BD169*VLOOKUP('Données projet'!$B$11,Paramètres!$A$1:$I$89,3,0)*VLOOKUP('Données projet'!$B$11,Paramètres!$A$1:$I$89,5,0)</f>
        <v>3.3992364478763198E-14</v>
      </c>
      <c r="BF169" s="14">
        <f t="shared" si="167"/>
        <v>5.790027782444094E-13</v>
      </c>
      <c r="BG169" s="22">
        <f t="shared" si="168"/>
        <v>1.0676332069095257E-12</v>
      </c>
      <c r="BH169" s="62">
        <f t="shared" si="116"/>
        <v>293.33333333333439</v>
      </c>
      <c r="BI169" s="62">
        <f ca="1">AVERAGE(OFFSET($BH$3,0,0,'Données projet'!$E$11+1,1))-AVERAGE(OFFSET($H$3,0,0,'Données projet'!$E$11+1,1))</f>
        <v>294.26495752303765</v>
      </c>
      <c r="BJ169" s="62">
        <f t="shared" si="146"/>
        <v>212.24900914818096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34.664661617761872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3.5807622397511582E-12</v>
      </c>
      <c r="BS169" s="24">
        <f t="shared" si="169"/>
        <v>34.664661617765454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260.49759897936531</v>
      </c>
      <c r="T170" s="62">
        <f t="shared" si="142"/>
        <v>223.74038909289635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27.171318477226389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5.7767938655117721E-9</v>
      </c>
      <c r="AC170" s="24">
        <f t="shared" si="163"/>
        <v>27.171318483003184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5.6843418860808015E-14</v>
      </c>
      <c r="AJ170" s="14">
        <f>AI170*VLOOKUP('Données projet'!$B$10,Paramètres!$A$1:$I$89,3,0)*VLOOKUP('Données projet'!$B$10,Paramètres!$A$1:$I$89,5,0)</f>
        <v>4.9658410716801891E-14</v>
      </c>
      <c r="AK170" s="14">
        <f t="shared" si="164"/>
        <v>8.0934058173791862E-13</v>
      </c>
      <c r="AL170" s="22">
        <f t="shared" si="165"/>
        <v>1.4960899118586383E-12</v>
      </c>
      <c r="AM170" s="62">
        <f t="shared" si="113"/>
        <v>293.33333333333479</v>
      </c>
      <c r="AN170" s="62">
        <f ca="1">AVERAGE(OFFSET($AM$3,0,0,'Données projet'!$E$10+1,1))-AVERAGE(OFFSET($H$3,0,0,'Données projet'!$E$10+1,1))</f>
        <v>304.32767345253382</v>
      </c>
      <c r="AO170" s="62">
        <f t="shared" si="144"/>
        <v>427.16091343339173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10.732049136691145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10.732049136691145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5.6843418860808015E-14</v>
      </c>
      <c r="BE170" s="14">
        <f>BD170*VLOOKUP('Données projet'!$B$11,Paramètres!$A$1:$I$89,3,0)*VLOOKUP('Données projet'!$B$11,Paramètres!$A$1:$I$89,5,0)</f>
        <v>3.3992364478763198E-14</v>
      </c>
      <c r="BF170" s="14">
        <f t="shared" si="167"/>
        <v>5.790027782444094E-13</v>
      </c>
      <c r="BG170" s="22">
        <f t="shared" si="168"/>
        <v>1.0676332069095257E-12</v>
      </c>
      <c r="BH170" s="62">
        <f t="shared" si="116"/>
        <v>293.33333333333439</v>
      </c>
      <c r="BI170" s="62">
        <f ca="1">AVERAGE(OFFSET($BH$3,0,0,'Données projet'!$E$11+1,1))-AVERAGE(OFFSET($H$3,0,0,'Données projet'!$E$11+1,1))</f>
        <v>294.26495752303765</v>
      </c>
      <c r="BJ170" s="62">
        <f t="shared" si="146"/>
        <v>212.24900914818096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33.984908746793415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2.5319812615447742E-12</v>
      </c>
      <c r="BS170" s="24">
        <f t="shared" si="169"/>
        <v>33.984908746795945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260.49759897936531</v>
      </c>
      <c r="T171" s="62">
        <f t="shared" si="142"/>
        <v>223.74038909289635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26.638505494755815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4.0848101158202227E-9</v>
      </c>
      <c r="AC171" s="24">
        <f t="shared" si="163"/>
        <v>26.638505498840626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5.6843418860808015E-14</v>
      </c>
      <c r="AJ171" s="14">
        <f>AI171*VLOOKUP('Données projet'!$B$10,Paramètres!$A$1:$I$89,3,0)*VLOOKUP('Données projet'!$B$10,Paramètres!$A$1:$I$89,5,0)</f>
        <v>4.9658410716801891E-14</v>
      </c>
      <c r="AK171" s="14">
        <f t="shared" si="164"/>
        <v>8.0934058173791862E-13</v>
      </c>
      <c r="AL171" s="22">
        <f t="shared" si="165"/>
        <v>1.4960899118586383E-12</v>
      </c>
      <c r="AM171" s="62">
        <f t="shared" si="113"/>
        <v>293.33333333333479</v>
      </c>
      <c r="AN171" s="62">
        <f ca="1">AVERAGE(OFFSET($AM$3,0,0,'Données projet'!$E$10+1,1))-AVERAGE(OFFSET($H$3,0,0,'Données projet'!$E$10+1,1))</f>
        <v>304.32767345253382</v>
      </c>
      <c r="AO171" s="62">
        <f t="shared" si="144"/>
        <v>427.16091343339173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10.521600199024251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10.521600199024251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5.6843418860808015E-14</v>
      </c>
      <c r="BE171" s="14">
        <f>BD171*VLOOKUP('Données projet'!$B$11,Paramètres!$A$1:$I$89,3,0)*VLOOKUP('Données projet'!$B$11,Paramètres!$A$1:$I$89,5,0)</f>
        <v>3.3992364478763198E-14</v>
      </c>
      <c r="BF171" s="14">
        <f t="shared" si="167"/>
        <v>5.790027782444094E-13</v>
      </c>
      <c r="BG171" s="22">
        <f t="shared" si="168"/>
        <v>1.0676332069095257E-12</v>
      </c>
      <c r="BH171" s="62">
        <f t="shared" si="116"/>
        <v>293.33333333333439</v>
      </c>
      <c r="BI171" s="62">
        <f ca="1">AVERAGE(OFFSET($BH$3,0,0,'Données projet'!$E$11+1,1))-AVERAGE(OFFSET($H$3,0,0,'Données projet'!$E$11+1,1))</f>
        <v>294.26495752303765</v>
      </c>
      <c r="BJ171" s="62">
        <f t="shared" si="146"/>
        <v>212.24900914818096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33.31848541501634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1.7903811198755793E-12</v>
      </c>
      <c r="BS171" s="24">
        <f t="shared" si="169"/>
        <v>33.318485415018131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260.49759897936531</v>
      </c>
      <c r="T172" s="62">
        <f t="shared" si="142"/>
        <v>223.74038909289635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26.116140649887662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2.8883969327558861E-9</v>
      </c>
      <c r="AC172" s="24">
        <f t="shared" si="163"/>
        <v>26.116140652776057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5.6843418860808015E-14</v>
      </c>
      <c r="AJ172" s="14">
        <f>AI172*VLOOKUP('Données projet'!$B$10,Paramètres!$A$1:$I$89,3,0)*VLOOKUP('Données projet'!$B$10,Paramètres!$A$1:$I$89,5,0)</f>
        <v>4.9658410716801891E-14</v>
      </c>
      <c r="AK172" s="14">
        <f t="shared" si="164"/>
        <v>8.0934058173791862E-13</v>
      </c>
      <c r="AL172" s="22">
        <f t="shared" si="165"/>
        <v>1.4960899118586383E-12</v>
      </c>
      <c r="AM172" s="62">
        <f t="shared" si="113"/>
        <v>293.33333333333479</v>
      </c>
      <c r="AN172" s="62">
        <f ca="1">AVERAGE(OFFSET($AM$3,0,0,'Données projet'!$E$10+1,1))-AVERAGE(OFFSET($H$3,0,0,'Données projet'!$E$10+1,1))</f>
        <v>304.32767345253382</v>
      </c>
      <c r="AO172" s="62">
        <f t="shared" si="144"/>
        <v>427.16091343339173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10.315278036663827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10.315278036663827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5.6843418860808015E-14</v>
      </c>
      <c r="BE172" s="14">
        <f>BD172*VLOOKUP('Données projet'!$B$11,Paramètres!$A$1:$I$89,3,0)*VLOOKUP('Données projet'!$B$11,Paramètres!$A$1:$I$89,5,0)</f>
        <v>3.3992364478763198E-14</v>
      </c>
      <c r="BF172" s="14">
        <f t="shared" si="167"/>
        <v>5.790027782444094E-13</v>
      </c>
      <c r="BG172" s="22">
        <f t="shared" si="168"/>
        <v>1.0676332069095257E-12</v>
      </c>
      <c r="BH172" s="62">
        <f t="shared" si="116"/>
        <v>293.33333333333439</v>
      </c>
      <c r="BI172" s="62">
        <f ca="1">AVERAGE(OFFSET($BH$3,0,0,'Données projet'!$E$11+1,1))-AVERAGE(OFFSET($H$3,0,0,'Données projet'!$E$11+1,1))</f>
        <v>294.26495752303765</v>
      </c>
      <c r="BJ172" s="62">
        <f t="shared" si="146"/>
        <v>212.24900914818096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32.665130238297316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1.2659906307723873E-12</v>
      </c>
      <c r="BS172" s="24">
        <f t="shared" si="169"/>
        <v>32.66513023829858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260.49759897936531</v>
      </c>
      <c r="T173" s="62">
        <f t="shared" si="142"/>
        <v>223.74038909289635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25.604019061016277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2.0424050579101113E-9</v>
      </c>
      <c r="AC173" s="24">
        <f t="shared" si="163"/>
        <v>25.604019063058683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5.6843418860808015E-14</v>
      </c>
      <c r="AJ173" s="14">
        <f>AI173*VLOOKUP('Données projet'!$B$10,Paramètres!$A$1:$I$89,3,0)*VLOOKUP('Données projet'!$B$10,Paramètres!$A$1:$I$89,5,0)</f>
        <v>4.9658410716801891E-14</v>
      </c>
      <c r="AK173" s="14">
        <f t="shared" si="164"/>
        <v>8.0934058173791862E-13</v>
      </c>
      <c r="AL173" s="22">
        <f t="shared" si="165"/>
        <v>1.4960899118586383E-12</v>
      </c>
      <c r="AM173" s="62">
        <f t="shared" si="113"/>
        <v>293.33333333333479</v>
      </c>
      <c r="AN173" s="62">
        <f ca="1">AVERAGE(OFFSET($AM$3,0,0,'Données projet'!$E$10+1,1))-AVERAGE(OFFSET($H$3,0,0,'Données projet'!$E$10+1,1))</f>
        <v>304.32767345253382</v>
      </c>
      <c r="AO173" s="62">
        <f t="shared" si="144"/>
        <v>427.16091343339173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10.113001726063198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10.113001726063198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5.6843418860808015E-14</v>
      </c>
      <c r="BE173" s="14">
        <f>BD173*VLOOKUP('Données projet'!$B$11,Paramètres!$A$1:$I$89,3,0)*VLOOKUP('Données projet'!$B$11,Paramètres!$A$1:$I$89,5,0)</f>
        <v>3.3992364478763198E-14</v>
      </c>
      <c r="BF173" s="14">
        <f t="shared" si="167"/>
        <v>5.790027782444094E-13</v>
      </c>
      <c r="BG173" s="22">
        <f t="shared" si="168"/>
        <v>1.0676332069095257E-12</v>
      </c>
      <c r="BH173" s="62">
        <f t="shared" si="116"/>
        <v>293.33333333333439</v>
      </c>
      <c r="BI173" s="62">
        <f ca="1">AVERAGE(OFFSET($BH$3,0,0,'Données projet'!$E$11+1,1))-AVERAGE(OFFSET($H$3,0,0,'Données projet'!$E$11+1,1))</f>
        <v>294.26495752303765</v>
      </c>
      <c r="BJ173" s="62">
        <f t="shared" si="146"/>
        <v>212.24900914818096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32.024586958086445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8.9519055993778984E-13</v>
      </c>
      <c r="BS173" s="24">
        <f t="shared" si="169"/>
        <v>32.02458695808734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260.49759897936531</v>
      </c>
      <c r="T174" s="62">
        <f t="shared" si="142"/>
        <v>223.74038909289635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25.101939864139332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1.444198466377943E-9</v>
      </c>
      <c r="AC174" s="24">
        <f t="shared" si="163"/>
        <v>25.101939865583532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5.6843418860808015E-14</v>
      </c>
      <c r="AJ174" s="14">
        <f>AI174*VLOOKUP('Données projet'!$B$10,Paramètres!$A$1:$I$89,3,0)*VLOOKUP('Données projet'!$B$10,Paramètres!$A$1:$I$89,5,0)</f>
        <v>4.9658410716801891E-14</v>
      </c>
      <c r="AK174" s="14">
        <f t="shared" si="164"/>
        <v>8.0934058173791862E-13</v>
      </c>
      <c r="AL174" s="22">
        <f t="shared" si="165"/>
        <v>1.4960899118586383E-12</v>
      </c>
      <c r="AM174" s="62">
        <f t="shared" si="113"/>
        <v>293.33333333333479</v>
      </c>
      <c r="AN174" s="62">
        <f ca="1">AVERAGE(OFFSET($AM$3,0,0,'Données projet'!$E$10+1,1))-AVERAGE(OFFSET($H$3,0,0,'Données projet'!$E$10+1,1))</f>
        <v>304.32767345253382</v>
      </c>
      <c r="AO174" s="62">
        <f t="shared" si="144"/>
        <v>427.16091343339173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9.9146919305370798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9.9146919305370798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5.6843418860808015E-14</v>
      </c>
      <c r="BE174" s="14">
        <f>BD174*VLOOKUP('Données projet'!$B$11,Paramètres!$A$1:$I$89,3,0)*VLOOKUP('Données projet'!$B$11,Paramètres!$A$1:$I$89,5,0)</f>
        <v>3.3992364478763198E-14</v>
      </c>
      <c r="BF174" s="14">
        <f t="shared" si="167"/>
        <v>5.790027782444094E-13</v>
      </c>
      <c r="BG174" s="22">
        <f t="shared" si="168"/>
        <v>1.0676332069095257E-12</v>
      </c>
      <c r="BH174" s="62">
        <f t="shared" si="116"/>
        <v>293.33333333333439</v>
      </c>
      <c r="BI174" s="62">
        <f ca="1">AVERAGE(OFFSET($BH$3,0,0,'Données projet'!$E$11+1,1))-AVERAGE(OFFSET($H$3,0,0,'Données projet'!$E$11+1,1))</f>
        <v>294.26495752303765</v>
      </c>
      <c r="BJ174" s="62">
        <f t="shared" si="146"/>
        <v>212.24900914818096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31.396604340907682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6.3299531538619376E-13</v>
      </c>
      <c r="BS174" s="24">
        <f t="shared" si="169"/>
        <v>31.396604340908315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260.49759897936531</v>
      </c>
      <c r="T175" s="62">
        <f t="shared" si="142"/>
        <v>223.74038909289635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24.609706134075076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1.0212025289550557E-9</v>
      </c>
      <c r="AC175" s="24">
        <f t="shared" si="163"/>
        <v>24.609706135096278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5.6843418860808015E-14</v>
      </c>
      <c r="AJ175" s="14">
        <f>AI175*VLOOKUP('Données projet'!$B$10,Paramètres!$A$1:$I$89,3,0)*VLOOKUP('Données projet'!$B$10,Paramètres!$A$1:$I$89,5,0)</f>
        <v>4.9658410716801891E-14</v>
      </c>
      <c r="AK175" s="14">
        <f t="shared" si="164"/>
        <v>8.0934058173791862E-13</v>
      </c>
      <c r="AL175" s="22">
        <f t="shared" si="165"/>
        <v>1.4960899118586383E-12</v>
      </c>
      <c r="AM175" s="62">
        <f t="shared" si="113"/>
        <v>293.33333333333479</v>
      </c>
      <c r="AN175" s="62">
        <f ca="1">AVERAGE(OFFSET($AM$3,0,0,'Données projet'!$E$10+1,1))-AVERAGE(OFFSET($H$3,0,0,'Données projet'!$E$10+1,1))</f>
        <v>304.32767345253382</v>
      </c>
      <c r="AO175" s="62">
        <f t="shared" si="144"/>
        <v>427.16091343339173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9.7202708691441977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9.7202708691441977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5.6843418860808015E-14</v>
      </c>
      <c r="BE175" s="14">
        <f>BD175*VLOOKUP('Données projet'!$B$11,Paramètres!$A$1:$I$89,3,0)*VLOOKUP('Données projet'!$B$11,Paramètres!$A$1:$I$89,5,0)</f>
        <v>3.3992364478763198E-14</v>
      </c>
      <c r="BF175" s="14">
        <f t="shared" si="167"/>
        <v>5.790027782444094E-13</v>
      </c>
      <c r="BG175" s="22">
        <f t="shared" si="168"/>
        <v>1.0676332069095257E-12</v>
      </c>
      <c r="BH175" s="62">
        <f t="shared" si="116"/>
        <v>293.33333333333439</v>
      </c>
      <c r="BI175" s="62">
        <f ca="1">AVERAGE(OFFSET($BH$3,0,0,'Données projet'!$E$11+1,1))-AVERAGE(OFFSET($H$3,0,0,'Données projet'!$E$11+1,1))</f>
        <v>294.26495752303765</v>
      </c>
      <c r="BJ175" s="62">
        <f t="shared" si="146"/>
        <v>212.24900914818096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30.780936079820222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4.4759527996889497E-13</v>
      </c>
      <c r="BS175" s="24">
        <f t="shared" si="169"/>
        <v>30.78093607982067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260.49759897936531</v>
      </c>
      <c r="T176" s="62">
        <f t="shared" si="142"/>
        <v>223.74038909289635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24.127124807224448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7.2209923318897151E-10</v>
      </c>
      <c r="AC176" s="24">
        <f t="shared" si="163"/>
        <v>24.127124807946547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5.6843418860808015E-14</v>
      </c>
      <c r="AJ176" s="14">
        <f>AI176*VLOOKUP('Données projet'!$B$10,Paramètres!$A$1:$I$89,3,0)*VLOOKUP('Données projet'!$B$10,Paramètres!$A$1:$I$89,5,0)</f>
        <v>4.9658410716801891E-14</v>
      </c>
      <c r="AK176" s="14">
        <f t="shared" si="164"/>
        <v>8.0934058173791862E-13</v>
      </c>
      <c r="AL176" s="22">
        <f t="shared" si="165"/>
        <v>1.4960899118586383E-12</v>
      </c>
      <c r="AM176" s="62">
        <f t="shared" si="113"/>
        <v>293.33333333333479</v>
      </c>
      <c r="AN176" s="62">
        <f ca="1">AVERAGE(OFFSET($AM$3,0,0,'Données projet'!$E$10+1,1))-AVERAGE(OFFSET($H$3,0,0,'Données projet'!$E$10+1,1))</f>
        <v>304.32767345253382</v>
      </c>
      <c r="AO176" s="62">
        <f t="shared" si="144"/>
        <v>427.16091343339173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9.5296622861800913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9.5296622861800913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5.6843418860808015E-14</v>
      </c>
      <c r="BE176" s="14">
        <f>BD176*VLOOKUP('Données projet'!$B$11,Paramètres!$A$1:$I$89,3,0)*VLOOKUP('Données projet'!$B$11,Paramètres!$A$1:$I$89,5,0)</f>
        <v>3.3992364478763198E-14</v>
      </c>
      <c r="BF176" s="14">
        <f t="shared" si="167"/>
        <v>5.790027782444094E-13</v>
      </c>
      <c r="BG176" s="22">
        <f t="shared" si="168"/>
        <v>1.0676332069095257E-12</v>
      </c>
      <c r="BH176" s="62">
        <f t="shared" si="116"/>
        <v>293.33333333333439</v>
      </c>
      <c r="BI176" s="62">
        <f ca="1">AVERAGE(OFFSET($BH$3,0,0,'Données projet'!$E$11+1,1))-AVERAGE(OFFSET($H$3,0,0,'Données projet'!$E$11+1,1))</f>
        <v>294.26495752303765</v>
      </c>
      <c r="BJ176" s="62">
        <f t="shared" si="146"/>
        <v>212.24900914818096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30.177340697812127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3.1649765769309693E-13</v>
      </c>
      <c r="BS176" s="24">
        <f t="shared" si="169"/>
        <v>30.177340697812443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260.49759897936531</v>
      </c>
      <c r="T177" s="62">
        <f t="shared" si="142"/>
        <v>223.74038909289635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23.654006605847815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5.1060126447752783E-10</v>
      </c>
      <c r="AC177" s="24">
        <f t="shared" si="163"/>
        <v>23.654006606358415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5.6843418860808015E-14</v>
      </c>
      <c r="AJ177" s="14">
        <f>AI177*VLOOKUP('Données projet'!$B$10,Paramètres!$A$1:$I$89,3,0)*VLOOKUP('Données projet'!$B$10,Paramètres!$A$1:$I$89,5,0)</f>
        <v>4.9658410716801891E-14</v>
      </c>
      <c r="AK177" s="14">
        <f t="shared" si="164"/>
        <v>8.0934058173791862E-13</v>
      </c>
      <c r="AL177" s="22">
        <f t="shared" si="165"/>
        <v>1.4960899118586383E-12</v>
      </c>
      <c r="AM177" s="62">
        <f t="shared" si="113"/>
        <v>293.33333333333479</v>
      </c>
      <c r="AN177" s="62">
        <f ca="1">AVERAGE(OFFSET($AM$3,0,0,'Données projet'!$E$10+1,1))-AVERAGE(OFFSET($H$3,0,0,'Données projet'!$E$10+1,1))</f>
        <v>304.32767345253382</v>
      </c>
      <c r="AO177" s="62">
        <f t="shared" si="144"/>
        <v>427.16091343339173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9.3427914212681564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9.3427914212681564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5.6843418860808015E-14</v>
      </c>
      <c r="BE177" s="14">
        <f>BD177*VLOOKUP('Données projet'!$B$11,Paramètres!$A$1:$I$89,3,0)*VLOOKUP('Données projet'!$B$11,Paramètres!$A$1:$I$89,5,0)</f>
        <v>3.3992364478763198E-14</v>
      </c>
      <c r="BF177" s="14">
        <f t="shared" si="167"/>
        <v>5.790027782444094E-13</v>
      </c>
      <c r="BG177" s="22">
        <f t="shared" si="168"/>
        <v>1.0676332069095257E-12</v>
      </c>
      <c r="BH177" s="62">
        <f t="shared" si="116"/>
        <v>293.33333333333439</v>
      </c>
      <c r="BI177" s="62">
        <f ca="1">AVERAGE(OFFSET($BH$3,0,0,'Données projet'!$E$11+1,1))-AVERAGE(OFFSET($H$3,0,0,'Données projet'!$E$11+1,1))</f>
        <v>294.26495752303765</v>
      </c>
      <c r="BJ177" s="62">
        <f t="shared" si="146"/>
        <v>212.24900914818096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29.58558145308838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2.2379763998444754E-13</v>
      </c>
      <c r="BS177" s="24">
        <f t="shared" si="169"/>
        <v>29.585581453088604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260.49759897936531</v>
      </c>
      <c r="T178" s="62">
        <f t="shared" si="142"/>
        <v>223.74038909289635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23.190165963826569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3.6104961659448576E-10</v>
      </c>
      <c r="AC178" s="24">
        <f t="shared" si="163"/>
        <v>23.190165964187617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5.6843418860808015E-14</v>
      </c>
      <c r="AJ178" s="14">
        <f>AI178*VLOOKUP('Données projet'!$B$10,Paramètres!$A$1:$I$89,3,0)*VLOOKUP('Données projet'!$B$10,Paramètres!$A$1:$I$89,5,0)</f>
        <v>4.9658410716801891E-14</v>
      </c>
      <c r="AK178" s="14">
        <f t="shared" si="164"/>
        <v>8.0934058173791862E-13</v>
      </c>
      <c r="AL178" s="22">
        <f t="shared" si="165"/>
        <v>1.4960899118586383E-12</v>
      </c>
      <c r="AM178" s="62">
        <f t="shared" si="113"/>
        <v>293.33333333333479</v>
      </c>
      <c r="AN178" s="62">
        <f ca="1">AVERAGE(OFFSET($AM$3,0,0,'Données projet'!$E$10+1,1))-AVERAGE(OFFSET($H$3,0,0,'Données projet'!$E$10+1,1))</f>
        <v>304.32767345253382</v>
      </c>
      <c r="AO178" s="62">
        <f t="shared" si="144"/>
        <v>427.16091343339173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9.1595849800371703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9.1595849800371703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5.6843418860808015E-14</v>
      </c>
      <c r="BE178" s="14">
        <f>BD178*VLOOKUP('Données projet'!$B$11,Paramètres!$A$1:$I$89,3,0)*VLOOKUP('Données projet'!$B$11,Paramètres!$A$1:$I$89,5,0)</f>
        <v>3.3992364478763198E-14</v>
      </c>
      <c r="BF178" s="14">
        <f t="shared" si="167"/>
        <v>5.790027782444094E-13</v>
      </c>
      <c r="BG178" s="22">
        <f t="shared" si="168"/>
        <v>1.0676332069095257E-12</v>
      </c>
      <c r="BH178" s="62">
        <f t="shared" si="116"/>
        <v>293.33333333333439</v>
      </c>
      <c r="BI178" s="62">
        <f ca="1">AVERAGE(OFFSET($BH$3,0,0,'Données projet'!$E$11+1,1))-AVERAGE(OFFSET($H$3,0,0,'Données projet'!$E$11+1,1))</f>
        <v>294.26495752303765</v>
      </c>
      <c r="BJ178" s="62">
        <f t="shared" si="146"/>
        <v>212.24900914818096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29.005426246216167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1.5824882884654849E-13</v>
      </c>
      <c r="BS178" s="24">
        <f t="shared" si="169"/>
        <v>29.005426246216327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260.49759897936531</v>
      </c>
      <c r="T179" s="62">
        <f t="shared" si="142"/>
        <v>223.74038909289635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22.735420953880503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2.5530063223876392E-10</v>
      </c>
      <c r="AC179" s="24">
        <f t="shared" si="163"/>
        <v>22.735420954135805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5.6843418860808015E-14</v>
      </c>
      <c r="AJ179" s="14">
        <f>AI179*VLOOKUP('Données projet'!$B$10,Paramètres!$A$1:$I$89,3,0)*VLOOKUP('Données projet'!$B$10,Paramètres!$A$1:$I$89,5,0)</f>
        <v>4.9658410716801891E-14</v>
      </c>
      <c r="AK179" s="14">
        <f t="shared" si="164"/>
        <v>8.0934058173791862E-13</v>
      </c>
      <c r="AL179" s="22">
        <f t="shared" si="165"/>
        <v>1.4960899118586383E-12</v>
      </c>
      <c r="AM179" s="62">
        <f t="shared" si="113"/>
        <v>293.33333333333479</v>
      </c>
      <c r="AN179" s="62">
        <f ca="1">AVERAGE(OFFSET($AM$3,0,0,'Données projet'!$E$10+1,1))-AVERAGE(OFFSET($H$3,0,0,'Données projet'!$E$10+1,1))</f>
        <v>304.32767345253382</v>
      </c>
      <c r="AO179" s="62">
        <f t="shared" si="144"/>
        <v>427.16091343339173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8.9799711053738296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8.9799711053738296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5.6843418860808015E-14</v>
      </c>
      <c r="BE179" s="14">
        <f>BD179*VLOOKUP('Données projet'!$B$11,Paramètres!$A$1:$I$89,3,0)*VLOOKUP('Données projet'!$B$11,Paramètres!$A$1:$I$89,5,0)</f>
        <v>3.3992364478763198E-14</v>
      </c>
      <c r="BF179" s="14">
        <f t="shared" si="167"/>
        <v>5.790027782444094E-13</v>
      </c>
      <c r="BG179" s="22">
        <f t="shared" si="168"/>
        <v>1.0676332069095257E-12</v>
      </c>
      <c r="BH179" s="62">
        <f t="shared" si="116"/>
        <v>293.33333333333439</v>
      </c>
      <c r="BI179" s="62">
        <f ca="1">AVERAGE(OFFSET($BH$3,0,0,'Données projet'!$E$11+1,1))-AVERAGE(OFFSET($H$3,0,0,'Données projet'!$E$11+1,1))</f>
        <v>294.26495752303765</v>
      </c>
      <c r="BJ179" s="62">
        <f t="shared" si="146"/>
        <v>212.24900914818096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28.436647529090983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1.1189881999222378E-13</v>
      </c>
      <c r="BS179" s="24">
        <f t="shared" si="169"/>
        <v>28.436647529091093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260.49759897936531</v>
      </c>
      <c r="T180" s="62">
        <f t="shared" si="142"/>
        <v>223.74038909289635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22.289593216212413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1.8052480829724288E-10</v>
      </c>
      <c r="AC180" s="24">
        <f t="shared" si="163"/>
        <v>22.289593216392937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5.6843418860808015E-14</v>
      </c>
      <c r="AJ180" s="14">
        <f>AI180*VLOOKUP('Données projet'!$B$10,Paramètres!$A$1:$I$89,3,0)*VLOOKUP('Données projet'!$B$10,Paramètres!$A$1:$I$89,5,0)</f>
        <v>4.9658410716801891E-14</v>
      </c>
      <c r="AK180" s="14">
        <f t="shared" si="164"/>
        <v>8.0934058173791862E-13</v>
      </c>
      <c r="AL180" s="22">
        <f t="shared" si="165"/>
        <v>1.4960899118586383E-12</v>
      </c>
      <c r="AM180" s="62">
        <f t="shared" si="113"/>
        <v>293.33333333333479</v>
      </c>
      <c r="AN180" s="62">
        <f ca="1">AVERAGE(OFFSET($AM$3,0,0,'Données projet'!$E$10+1,1))-AVERAGE(OFFSET($H$3,0,0,'Données projet'!$E$10+1,1))</f>
        <v>304.32767345253382</v>
      </c>
      <c r="AO180" s="62">
        <f t="shared" si="144"/>
        <v>427.16091343339173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8.80387934923899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8.80387934923899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5.6843418860808015E-14</v>
      </c>
      <c r="BE180" s="14">
        <f>BD180*VLOOKUP('Données projet'!$B$11,Paramètres!$A$1:$I$89,3,0)*VLOOKUP('Données projet'!$B$11,Paramètres!$A$1:$I$89,5,0)</f>
        <v>3.3992364478763198E-14</v>
      </c>
      <c r="BF180" s="14">
        <f t="shared" si="167"/>
        <v>5.790027782444094E-13</v>
      </c>
      <c r="BG180" s="22">
        <f t="shared" si="168"/>
        <v>1.0676332069095257E-12</v>
      </c>
      <c r="BH180" s="62">
        <f t="shared" si="116"/>
        <v>293.33333333333439</v>
      </c>
      <c r="BI180" s="62">
        <f ca="1">AVERAGE(OFFSET($BH$3,0,0,'Données projet'!$E$11+1,1))-AVERAGE(OFFSET($H$3,0,0,'Données projet'!$E$11+1,1))</f>
        <v>294.26495752303765</v>
      </c>
      <c r="BJ180" s="62">
        <f t="shared" si="146"/>
        <v>212.24900914818096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27.879022215687861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7.9124414423274257E-14</v>
      </c>
      <c r="BS180" s="24">
        <f t="shared" si="169"/>
        <v>27.879022215687939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260.49759897936531</v>
      </c>
      <c r="T181" s="62">
        <f t="shared" si="142"/>
        <v>223.74038909289635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21.852507888551923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1.2765031611938196E-10</v>
      </c>
      <c r="AC181" s="24">
        <f t="shared" si="163"/>
        <v>21.852507888679572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5.6843418860808015E-14</v>
      </c>
      <c r="AJ181" s="14">
        <f>AI181*VLOOKUP('Données projet'!$B$10,Paramètres!$A$1:$I$89,3,0)*VLOOKUP('Données projet'!$B$10,Paramètres!$A$1:$I$89,5,0)</f>
        <v>4.9658410716801891E-14</v>
      </c>
      <c r="AK181" s="14">
        <f t="shared" si="164"/>
        <v>8.0934058173791862E-13</v>
      </c>
      <c r="AL181" s="22">
        <f t="shared" si="165"/>
        <v>1.4960899118586383E-12</v>
      </c>
      <c r="AM181" s="62">
        <f t="shared" si="113"/>
        <v>293.33333333333479</v>
      </c>
      <c r="AN181" s="62">
        <f ca="1">AVERAGE(OFFSET($AM$3,0,0,'Données projet'!$E$10+1,1))-AVERAGE(OFFSET($H$3,0,0,'Données projet'!$E$10+1,1))</f>
        <v>304.32767345253382</v>
      </c>
      <c r="AO181" s="62">
        <f t="shared" si="144"/>
        <v>427.16091343339173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8.6312406450365895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8.6312406450365895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5.6843418860808015E-14</v>
      </c>
      <c r="BE181" s="14">
        <f>BD181*VLOOKUP('Données projet'!$B$11,Paramètres!$A$1:$I$89,3,0)*VLOOKUP('Données projet'!$B$11,Paramètres!$A$1:$I$89,5,0)</f>
        <v>3.3992364478763198E-14</v>
      </c>
      <c r="BF181" s="14">
        <f t="shared" si="167"/>
        <v>5.790027782444094E-13</v>
      </c>
      <c r="BG181" s="22">
        <f t="shared" si="168"/>
        <v>1.0676332069095257E-12</v>
      </c>
      <c r="BH181" s="62">
        <f t="shared" si="116"/>
        <v>293.33333333333439</v>
      </c>
      <c r="BI181" s="62">
        <f ca="1">AVERAGE(OFFSET($BH$3,0,0,'Données projet'!$E$11+1,1))-AVERAGE(OFFSET($H$3,0,0,'Données projet'!$E$11+1,1))</f>
        <v>294.26495752303765</v>
      </c>
      <c r="BJ181" s="62">
        <f t="shared" si="146"/>
        <v>212.24900914818096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27.332331594562717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5.5949409996111897E-14</v>
      </c>
      <c r="BS181" s="24">
        <f t="shared" si="169"/>
        <v>27.332331594562774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260.49759897936531</v>
      </c>
      <c r="T182" s="62">
        <f t="shared" si="142"/>
        <v>223.74038909289635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21.423993537571132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9.0262404148621439E-11</v>
      </c>
      <c r="AC182" s="24">
        <f t="shared" si="163"/>
        <v>21.423993537661396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5.6843418860808015E-14</v>
      </c>
      <c r="AJ182" s="14">
        <f>AI182*VLOOKUP('Données projet'!$B$10,Paramètres!$A$1:$I$89,3,0)*VLOOKUP('Données projet'!$B$10,Paramètres!$A$1:$I$89,5,0)</f>
        <v>4.9658410716801891E-14</v>
      </c>
      <c r="AK182" s="14">
        <f t="shared" si="164"/>
        <v>8.0934058173791862E-13</v>
      </c>
      <c r="AL182" s="22">
        <f t="shared" si="165"/>
        <v>1.4960899118586383E-12</v>
      </c>
      <c r="AM182" s="62">
        <f t="shared" si="113"/>
        <v>293.33333333333479</v>
      </c>
      <c r="AN182" s="62">
        <f ca="1">AVERAGE(OFFSET($AM$3,0,0,'Données projet'!$E$10+1,1))-AVERAGE(OFFSET($H$3,0,0,'Données projet'!$E$10+1,1))</f>
        <v>304.32767345253382</v>
      </c>
      <c r="AO182" s="62">
        <f t="shared" si="144"/>
        <v>427.16091343339173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8.4619872805243848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8.4619872805243848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5.6843418860808015E-14</v>
      </c>
      <c r="BE182" s="14">
        <f>BD182*VLOOKUP('Données projet'!$B$11,Paramètres!$A$1:$I$89,3,0)*VLOOKUP('Données projet'!$B$11,Paramètres!$A$1:$I$89,5,0)</f>
        <v>3.3992364478763198E-14</v>
      </c>
      <c r="BF182" s="14">
        <f t="shared" si="167"/>
        <v>5.790027782444094E-13</v>
      </c>
      <c r="BG182" s="22">
        <f t="shared" si="168"/>
        <v>1.0676332069095257E-12</v>
      </c>
      <c r="BH182" s="62">
        <f t="shared" si="116"/>
        <v>293.33333333333439</v>
      </c>
      <c r="BI182" s="62">
        <f ca="1">AVERAGE(OFFSET($BH$3,0,0,'Données projet'!$E$11+1,1))-AVERAGE(OFFSET($H$3,0,0,'Données projet'!$E$11+1,1))</f>
        <v>294.26495752303765</v>
      </c>
      <c r="BJ182" s="62">
        <f t="shared" si="146"/>
        <v>212.24900914818096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26.796361243069484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3.9562207211637135E-14</v>
      </c>
      <c r="BS182" s="24">
        <f t="shared" si="169"/>
        <v>26.796361243069523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260.49759897936531</v>
      </c>
      <c r="T183" s="62">
        <f t="shared" si="142"/>
        <v>223.74038909289635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21.003882091645128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6.3825158059690979E-11</v>
      </c>
      <c r="AC183" s="24">
        <f t="shared" si="163"/>
        <v>21.003882091708952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5.6843418860808015E-14</v>
      </c>
      <c r="AJ183" s="14">
        <f>AI183*VLOOKUP('Données projet'!$B$10,Paramètres!$A$1:$I$89,3,0)*VLOOKUP('Données projet'!$B$10,Paramètres!$A$1:$I$89,5,0)</f>
        <v>4.9658410716801891E-14</v>
      </c>
      <c r="AK183" s="14">
        <f t="shared" si="164"/>
        <v>8.0934058173791862E-13</v>
      </c>
      <c r="AL183" s="22">
        <f t="shared" si="165"/>
        <v>1.4960899118586383E-12</v>
      </c>
      <c r="AM183" s="62">
        <f t="shared" si="113"/>
        <v>293.33333333333479</v>
      </c>
      <c r="AN183" s="62">
        <f ca="1">AVERAGE(OFFSET($AM$3,0,0,'Données projet'!$E$10+1,1))-AVERAGE(OFFSET($H$3,0,0,'Données projet'!$E$10+1,1))</f>
        <v>304.32767345253382</v>
      </c>
      <c r="AO183" s="62">
        <f t="shared" si="144"/>
        <v>427.16091343339173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8.2960528712559061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8.2960528712559061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5.6843418860808015E-14</v>
      </c>
      <c r="BE183" s="14">
        <f>BD183*VLOOKUP('Données projet'!$B$11,Paramètres!$A$1:$I$89,3,0)*VLOOKUP('Données projet'!$B$11,Paramètres!$A$1:$I$89,5,0)</f>
        <v>3.3992364478763198E-14</v>
      </c>
      <c r="BF183" s="14">
        <f t="shared" si="167"/>
        <v>5.790027782444094E-13</v>
      </c>
      <c r="BG183" s="22">
        <f t="shared" si="168"/>
        <v>1.0676332069095257E-12</v>
      </c>
      <c r="BH183" s="62">
        <f t="shared" si="116"/>
        <v>293.33333333333439</v>
      </c>
      <c r="BI183" s="62">
        <f ca="1">AVERAGE(OFFSET($BH$3,0,0,'Données projet'!$E$11+1,1))-AVERAGE(OFFSET($H$3,0,0,'Données projet'!$E$11+1,1))</f>
        <v>294.26495752303765</v>
      </c>
      <c r="BJ183" s="62">
        <f t="shared" si="146"/>
        <v>212.24900914818096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26.270900943259399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2.7974704998055955E-14</v>
      </c>
      <c r="BS183" s="24">
        <f t="shared" si="169"/>
        <v>26.270900943259427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260.49759897936531</v>
      </c>
      <c r="T184" s="62">
        <f t="shared" si="142"/>
        <v>223.74038909289635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20.592008774931053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4.513120207431072E-11</v>
      </c>
      <c r="AC184" s="24">
        <f t="shared" si="163"/>
        <v>20.592008774976183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5.6843418860808015E-14</v>
      </c>
      <c r="AJ184" s="14">
        <f>AI184*VLOOKUP('Données projet'!$B$10,Paramètres!$A$1:$I$89,3,0)*VLOOKUP('Données projet'!$B$10,Paramètres!$A$1:$I$89,5,0)</f>
        <v>4.9658410716801891E-14</v>
      </c>
      <c r="AK184" s="14">
        <f t="shared" si="164"/>
        <v>8.0934058173791862E-13</v>
      </c>
      <c r="AL184" s="22">
        <f t="shared" si="165"/>
        <v>1.4960899118586383E-12</v>
      </c>
      <c r="AM184" s="62">
        <f t="shared" si="113"/>
        <v>293.33333333333479</v>
      </c>
      <c r="AN184" s="62">
        <f ca="1">AVERAGE(OFFSET($AM$3,0,0,'Données projet'!$E$10+1,1))-AVERAGE(OFFSET($H$3,0,0,'Données projet'!$E$10+1,1))</f>
        <v>304.32767345253382</v>
      </c>
      <c r="AO184" s="62">
        <f t="shared" si="144"/>
        <v>427.16091343339173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8.1333723345431874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8.1333723345431874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5.6843418860808015E-14</v>
      </c>
      <c r="BE184" s="14">
        <f>BD184*VLOOKUP('Données projet'!$B$11,Paramètres!$A$1:$I$89,3,0)*VLOOKUP('Données projet'!$B$11,Paramètres!$A$1:$I$89,5,0)</f>
        <v>3.3992364478763198E-14</v>
      </c>
      <c r="BF184" s="14">
        <f t="shared" si="167"/>
        <v>5.790027782444094E-13</v>
      </c>
      <c r="BG184" s="22">
        <f t="shared" si="168"/>
        <v>1.0676332069095257E-12</v>
      </c>
      <c r="BH184" s="62">
        <f t="shared" si="116"/>
        <v>293.33333333333439</v>
      </c>
      <c r="BI184" s="62">
        <f ca="1">AVERAGE(OFFSET($BH$3,0,0,'Données projet'!$E$11+1,1))-AVERAGE(OFFSET($H$3,0,0,'Données projet'!$E$11+1,1))</f>
        <v>294.26495752303765</v>
      </c>
      <c r="BJ184" s="62">
        <f t="shared" si="146"/>
        <v>212.24900914818096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25.755744599429452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1.9781103605818571E-14</v>
      </c>
      <c r="BS184" s="24">
        <f t="shared" si="169"/>
        <v>25.755744599429473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260.49759897936531</v>
      </c>
      <c r="T185" s="62">
        <f t="shared" si="142"/>
        <v>223.74038909289635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20.188212042739821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3.1912579029845489E-11</v>
      </c>
      <c r="AC185" s="24">
        <f t="shared" si="163"/>
        <v>20.188212042771735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5.6843418860808015E-14</v>
      </c>
      <c r="AJ185" s="14">
        <f>AI185*VLOOKUP('Données projet'!$B$10,Paramètres!$A$1:$I$89,3,0)*VLOOKUP('Données projet'!$B$10,Paramètres!$A$1:$I$89,5,0)</f>
        <v>4.9658410716801891E-14</v>
      </c>
      <c r="AK185" s="14">
        <f t="shared" si="164"/>
        <v>8.0934058173791862E-13</v>
      </c>
      <c r="AL185" s="22">
        <f t="shared" si="165"/>
        <v>1.4960899118586383E-12</v>
      </c>
      <c r="AM185" s="62">
        <f t="shared" si="113"/>
        <v>293.33333333333479</v>
      </c>
      <c r="AN185" s="62">
        <f ca="1">AVERAGE(OFFSET($AM$3,0,0,'Données projet'!$E$10+1,1))-AVERAGE(OFFSET($H$3,0,0,'Données projet'!$E$10+1,1))</f>
        <v>304.32767345253382</v>
      </c>
      <c r="AO185" s="62">
        <f t="shared" si="144"/>
        <v>427.16091343339173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7.9738818639300746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7.9738818639300746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5.6843418860808015E-14</v>
      </c>
      <c r="BE185" s="14">
        <f>BD185*VLOOKUP('Données projet'!$B$11,Paramètres!$A$1:$I$89,3,0)*VLOOKUP('Données projet'!$B$11,Paramètres!$A$1:$I$89,5,0)</f>
        <v>3.3992364478763198E-14</v>
      </c>
      <c r="BF185" s="14">
        <f t="shared" si="167"/>
        <v>5.790027782444094E-13</v>
      </c>
      <c r="BG185" s="22">
        <f t="shared" si="168"/>
        <v>1.0676332069095257E-12</v>
      </c>
      <c r="BH185" s="62">
        <f t="shared" si="116"/>
        <v>293.33333333333439</v>
      </c>
      <c r="BI185" s="62">
        <f ca="1">AVERAGE(OFFSET($BH$3,0,0,'Données projet'!$E$11+1,1))-AVERAGE(OFFSET($H$3,0,0,'Données projet'!$E$11+1,1))</f>
        <v>294.26495752303765</v>
      </c>
      <c r="BJ185" s="62">
        <f t="shared" si="146"/>
        <v>212.24900914818096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25.250690157287668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1.3987352499027979E-14</v>
      </c>
      <c r="BS185" s="24">
        <f t="shared" si="169"/>
        <v>25.250690157287682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260.49759897936531</v>
      </c>
      <c r="T186" s="62">
        <f t="shared" si="142"/>
        <v>223.74038909289635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19.792333518175173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2.256560103715536E-11</v>
      </c>
      <c r="AC186" s="24">
        <f t="shared" si="163"/>
        <v>19.79233351819774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5.6843418860808015E-14</v>
      </c>
      <c r="AJ186" s="14">
        <f>AI186*VLOOKUP('Données projet'!$B$10,Paramètres!$A$1:$I$89,3,0)*VLOOKUP('Données projet'!$B$10,Paramètres!$A$1:$I$89,5,0)</f>
        <v>4.9658410716801891E-14</v>
      </c>
      <c r="AK186" s="14">
        <f t="shared" si="164"/>
        <v>8.0934058173791862E-13</v>
      </c>
      <c r="AL186" s="22">
        <f t="shared" si="165"/>
        <v>1.4960899118586383E-12</v>
      </c>
      <c r="AM186" s="62">
        <f t="shared" si="113"/>
        <v>293.33333333333479</v>
      </c>
      <c r="AN186" s="62">
        <f ca="1">AVERAGE(OFFSET($AM$3,0,0,'Données projet'!$E$10+1,1))-AVERAGE(OFFSET($H$3,0,0,'Données projet'!$E$10+1,1))</f>
        <v>304.32767345253382</v>
      </c>
      <c r="AO186" s="62">
        <f t="shared" si="144"/>
        <v>427.16091343339173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7.8175189041661035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7.8175189041661035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5.6843418860808015E-14</v>
      </c>
      <c r="BE186" s="14">
        <f>BD186*VLOOKUP('Données projet'!$B$11,Paramètres!$A$1:$I$89,3,0)*VLOOKUP('Données projet'!$B$11,Paramètres!$A$1:$I$89,5,0)</f>
        <v>3.3992364478763198E-14</v>
      </c>
      <c r="BF186" s="14">
        <f t="shared" si="167"/>
        <v>5.790027782444094E-13</v>
      </c>
      <c r="BG186" s="22">
        <f t="shared" si="168"/>
        <v>1.0676332069095257E-12</v>
      </c>
      <c r="BH186" s="62">
        <f t="shared" si="116"/>
        <v>293.33333333333439</v>
      </c>
      <c r="BI186" s="62">
        <f ca="1">AVERAGE(OFFSET($BH$3,0,0,'Données projet'!$E$11+1,1))-AVERAGE(OFFSET($H$3,0,0,'Données projet'!$E$11+1,1))</f>
        <v>294.26495752303765</v>
      </c>
      <c r="BJ186" s="62">
        <f t="shared" si="146"/>
        <v>212.24900914818096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24.75553952470349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9.8905518029092869E-15</v>
      </c>
      <c r="BS186" s="24">
        <f t="shared" si="169"/>
        <v>24.755539524703501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260.49759897936531</v>
      </c>
      <c r="T187" s="62">
        <f t="shared" si="142"/>
        <v>223.74038909289635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19.404217930015179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1.5956289514922745E-11</v>
      </c>
      <c r="AC187" s="24">
        <f t="shared" si="163"/>
        <v>19.404217930031134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5.6843418860808015E-14</v>
      </c>
      <c r="AJ187" s="14">
        <f>AI187*VLOOKUP('Données projet'!$B$10,Paramètres!$A$1:$I$89,3,0)*VLOOKUP('Données projet'!$B$10,Paramètres!$A$1:$I$89,5,0)</f>
        <v>4.9658410716801891E-14</v>
      </c>
      <c r="AK187" s="14">
        <f t="shared" si="164"/>
        <v>8.0934058173791862E-13</v>
      </c>
      <c r="AL187" s="22">
        <f t="shared" si="165"/>
        <v>1.4960899118586383E-12</v>
      </c>
      <c r="AM187" s="62">
        <f t="shared" si="113"/>
        <v>293.33333333333479</v>
      </c>
      <c r="AN187" s="62">
        <f ca="1">AVERAGE(OFFSET($AM$3,0,0,'Données projet'!$E$10+1,1))-AVERAGE(OFFSET($H$3,0,0,'Données projet'!$E$10+1,1))</f>
        <v>304.32767345253382</v>
      </c>
      <c r="AO187" s="62">
        <f t="shared" si="144"/>
        <v>427.16091343339173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7.6642221266711159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7.6642221266711159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5.6843418860808015E-14</v>
      </c>
      <c r="BE187" s="14">
        <f>BD187*VLOOKUP('Données projet'!$B$11,Paramètres!$A$1:$I$89,3,0)*VLOOKUP('Données projet'!$B$11,Paramètres!$A$1:$I$89,5,0)</f>
        <v>3.3992364478763198E-14</v>
      </c>
      <c r="BF187" s="14">
        <f t="shared" si="167"/>
        <v>5.790027782444094E-13</v>
      </c>
      <c r="BG187" s="22">
        <f t="shared" si="168"/>
        <v>1.0676332069095257E-12</v>
      </c>
      <c r="BH187" s="62">
        <f t="shared" si="116"/>
        <v>293.33333333333439</v>
      </c>
      <c r="BI187" s="62">
        <f ca="1">AVERAGE(OFFSET($BH$3,0,0,'Données projet'!$E$11+1,1))-AVERAGE(OFFSET($H$3,0,0,'Données projet'!$E$11+1,1))</f>
        <v>294.26495752303765</v>
      </c>
      <c r="BJ187" s="62">
        <f t="shared" si="146"/>
        <v>212.24900914818096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24.270098494012224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6.993676249513991E-15</v>
      </c>
      <c r="BS187" s="24">
        <f t="shared" si="169"/>
        <v>24.270098494012231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260.49759897936531</v>
      </c>
      <c r="T188" s="62">
        <f t="shared" si="142"/>
        <v>223.74038909289635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19.023713051811868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1.128280051857768E-11</v>
      </c>
      <c r="AC188" s="24">
        <f t="shared" si="163"/>
        <v>19.023713051823151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5.6843418860808015E-14</v>
      </c>
      <c r="AJ188" s="14">
        <f>AI188*VLOOKUP('Données projet'!$B$10,Paramètres!$A$1:$I$89,3,0)*VLOOKUP('Données projet'!$B$10,Paramètres!$A$1:$I$89,5,0)</f>
        <v>4.9658410716801891E-14</v>
      </c>
      <c r="AK188" s="14">
        <f t="shared" si="164"/>
        <v>8.0934058173791862E-13</v>
      </c>
      <c r="AL188" s="22">
        <f t="shared" si="165"/>
        <v>1.4960899118586383E-12</v>
      </c>
      <c r="AM188" s="62">
        <f t="shared" si="113"/>
        <v>293.33333333333479</v>
      </c>
      <c r="AN188" s="62">
        <f ca="1">AVERAGE(OFFSET($AM$3,0,0,'Données projet'!$E$10+1,1))-AVERAGE(OFFSET($H$3,0,0,'Données projet'!$E$10+1,1))</f>
        <v>304.32767345253382</v>
      </c>
      <c r="AO188" s="62">
        <f t="shared" si="144"/>
        <v>427.16091343339173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7.5139314054810029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7.5139314054810029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5.6843418860808015E-14</v>
      </c>
      <c r="BE188" s="14">
        <f>BD188*VLOOKUP('Données projet'!$B$11,Paramètres!$A$1:$I$89,3,0)*VLOOKUP('Données projet'!$B$11,Paramètres!$A$1:$I$89,5,0)</f>
        <v>3.3992364478763198E-14</v>
      </c>
      <c r="BF188" s="14">
        <f t="shared" si="167"/>
        <v>5.790027782444094E-13</v>
      </c>
      <c r="BG188" s="22">
        <f t="shared" si="168"/>
        <v>1.0676332069095257E-12</v>
      </c>
      <c r="BH188" s="62">
        <f t="shared" si="116"/>
        <v>293.33333333333439</v>
      </c>
      <c r="BI188" s="62">
        <f ca="1">AVERAGE(OFFSET($BH$3,0,0,'Données projet'!$E$11+1,1))-AVERAGE(OFFSET($H$3,0,0,'Données projet'!$E$11+1,1))</f>
        <v>294.26495752303765</v>
      </c>
      <c r="BJ188" s="62">
        <f t="shared" si="146"/>
        <v>212.24900914818096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23.794176665843022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4.9452759014546442E-15</v>
      </c>
      <c r="BS188" s="24">
        <f t="shared" si="169"/>
        <v>23.794176665843025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260.49759897936531</v>
      </c>
      <c r="T189" s="62">
        <f t="shared" si="142"/>
        <v>223.74038909289635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18.650669642185065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7.9781447574613724E-12</v>
      </c>
      <c r="AC189" s="24">
        <f t="shared" si="163"/>
        <v>18.650669642193044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5.6843418860808015E-14</v>
      </c>
      <c r="AJ189" s="14">
        <f>AI189*VLOOKUP('Données projet'!$B$10,Paramètres!$A$1:$I$89,3,0)*VLOOKUP('Données projet'!$B$10,Paramètres!$A$1:$I$89,5,0)</f>
        <v>4.9658410716801891E-14</v>
      </c>
      <c r="AK189" s="14">
        <f t="shared" si="164"/>
        <v>8.0934058173791862E-13</v>
      </c>
      <c r="AL189" s="22">
        <f t="shared" si="165"/>
        <v>1.4960899118586383E-12</v>
      </c>
      <c r="AM189" s="62">
        <f t="shared" si="113"/>
        <v>293.33333333333479</v>
      </c>
      <c r="AN189" s="62">
        <f ca="1">AVERAGE(OFFSET($AM$3,0,0,'Données projet'!$E$10+1,1))-AVERAGE(OFFSET($H$3,0,0,'Données projet'!$E$10+1,1))</f>
        <v>304.32767345253382</v>
      </c>
      <c r="AO189" s="62">
        <f t="shared" si="144"/>
        <v>427.16091343339173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7.3665877936651398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7.3665877936651398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5.6843418860808015E-14</v>
      </c>
      <c r="BE189" s="14">
        <f>BD189*VLOOKUP('Données projet'!$B$11,Paramètres!$A$1:$I$89,3,0)*VLOOKUP('Données projet'!$B$11,Paramètres!$A$1:$I$89,5,0)</f>
        <v>3.3992364478763198E-14</v>
      </c>
      <c r="BF189" s="14">
        <f t="shared" si="167"/>
        <v>5.790027782444094E-13</v>
      </c>
      <c r="BG189" s="22">
        <f t="shared" si="168"/>
        <v>1.0676332069095257E-12</v>
      </c>
      <c r="BH189" s="62">
        <f t="shared" si="116"/>
        <v>293.33333333333439</v>
      </c>
      <c r="BI189" s="62">
        <f ca="1">AVERAGE(OFFSET($BH$3,0,0,'Données projet'!$E$11+1,1))-AVERAGE(OFFSET($H$3,0,0,'Données projet'!$E$11+1,1))</f>
        <v>294.26495752303765</v>
      </c>
      <c r="BJ189" s="62">
        <f t="shared" si="146"/>
        <v>212.24900914818096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23.327587374440565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3.4968381247569959E-15</v>
      </c>
      <c r="BS189" s="24">
        <f t="shared" si="169"/>
        <v>23.327587374440569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260.49759897936531</v>
      </c>
      <c r="T190" s="62">
        <f t="shared" si="142"/>
        <v>223.74038909289635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18.284941386287031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5.64140025928884E-12</v>
      </c>
      <c r="AC190" s="24">
        <f t="shared" si="163"/>
        <v>18.284941386292672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5.6843418860808015E-14</v>
      </c>
      <c r="AJ190" s="14">
        <f>AI190*VLOOKUP('Données projet'!$B$10,Paramètres!$A$1:$I$89,3,0)*VLOOKUP('Données projet'!$B$10,Paramètres!$A$1:$I$89,5,0)</f>
        <v>4.9658410716801891E-14</v>
      </c>
      <c r="AK190" s="14">
        <f t="shared" si="164"/>
        <v>8.0934058173791862E-13</v>
      </c>
      <c r="AL190" s="22">
        <f t="shared" si="165"/>
        <v>1.4960899118586383E-12</v>
      </c>
      <c r="AM190" s="62">
        <f t="shared" si="113"/>
        <v>293.33333333333479</v>
      </c>
      <c r="AN190" s="62">
        <f ca="1">AVERAGE(OFFSET($AM$3,0,0,'Données projet'!$E$10+1,1))-AVERAGE(OFFSET($H$3,0,0,'Données projet'!$E$10+1,1))</f>
        <v>304.32767345253382</v>
      </c>
      <c r="AO190" s="62">
        <f t="shared" si="144"/>
        <v>427.16091343339173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7.2221335002062563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7.2221335002062563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5.6843418860808015E-14</v>
      </c>
      <c r="BE190" s="14">
        <f>BD190*VLOOKUP('Données projet'!$B$11,Paramètres!$A$1:$I$89,3,0)*VLOOKUP('Données projet'!$B$11,Paramètres!$A$1:$I$89,5,0)</f>
        <v>3.3992364478763198E-14</v>
      </c>
      <c r="BF190" s="14">
        <f t="shared" si="167"/>
        <v>5.790027782444094E-13</v>
      </c>
      <c r="BG190" s="22">
        <f t="shared" si="168"/>
        <v>1.0676332069095257E-12</v>
      </c>
      <c r="BH190" s="62">
        <f t="shared" si="116"/>
        <v>293.33333333333439</v>
      </c>
      <c r="BI190" s="62">
        <f ca="1">AVERAGE(OFFSET($BH$3,0,0,'Données projet'!$E$11+1,1))-AVERAGE(OFFSET($H$3,0,0,'Données projet'!$E$11+1,1))</f>
        <v>294.26495752303765</v>
      </c>
      <c r="BJ190" s="62">
        <f t="shared" si="146"/>
        <v>212.24900914818096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22.870147614451145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2.4726379507273225E-15</v>
      </c>
      <c r="BS190" s="24">
        <f t="shared" si="169"/>
        <v>22.870147614451149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260.49759897936531</v>
      </c>
      <c r="T191" s="62">
        <f t="shared" si="142"/>
        <v>223.74038909289635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17.92638483841495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3.9890723787306862E-12</v>
      </c>
      <c r="AC191" s="24">
        <f t="shared" si="163"/>
        <v>17.92638483841894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5.6843418860808015E-14</v>
      </c>
      <c r="AJ191" s="14">
        <f>AI191*VLOOKUP('Données projet'!$B$10,Paramètres!$A$1:$I$89,3,0)*VLOOKUP('Données projet'!$B$10,Paramètres!$A$1:$I$89,5,0)</f>
        <v>4.9658410716801891E-14</v>
      </c>
      <c r="AK191" s="14">
        <f t="shared" si="164"/>
        <v>8.0934058173791862E-13</v>
      </c>
      <c r="AL191" s="22">
        <f t="shared" si="165"/>
        <v>1.4960899118586383E-12</v>
      </c>
      <c r="AM191" s="62">
        <f t="shared" si="113"/>
        <v>293.33333333333479</v>
      </c>
      <c r="AN191" s="62">
        <f ca="1">AVERAGE(OFFSET($AM$3,0,0,'Données projet'!$E$10+1,1))-AVERAGE(OFFSET($H$3,0,0,'Données projet'!$E$10+1,1))</f>
        <v>304.32767345253382</v>
      </c>
      <c r="AO191" s="62">
        <f t="shared" si="144"/>
        <v>427.16091343339173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7.0805118673336827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7.0805118673336827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5.6843418860808015E-14</v>
      </c>
      <c r="BE191" s="14">
        <f>BD191*VLOOKUP('Données projet'!$B$11,Paramètres!$A$1:$I$89,3,0)*VLOOKUP('Données projet'!$B$11,Paramètres!$A$1:$I$89,5,0)</f>
        <v>3.3992364478763198E-14</v>
      </c>
      <c r="BF191" s="14">
        <f t="shared" si="167"/>
        <v>5.790027782444094E-13</v>
      </c>
      <c r="BG191" s="22">
        <f t="shared" si="168"/>
        <v>1.0676332069095257E-12</v>
      </c>
      <c r="BH191" s="62">
        <f t="shared" si="116"/>
        <v>293.33333333333439</v>
      </c>
      <c r="BI191" s="62">
        <f ca="1">AVERAGE(OFFSET($BH$3,0,0,'Données projet'!$E$11+1,1))-AVERAGE(OFFSET($H$3,0,0,'Données projet'!$E$11+1,1))</f>
        <v>294.26495752303765</v>
      </c>
      <c r="BJ191" s="62">
        <f t="shared" si="146"/>
        <v>212.24900914818096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22.421677969144412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1.7484190623784982E-15</v>
      </c>
      <c r="BS191" s="24">
        <f t="shared" si="169"/>
        <v>22.421677969144412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260.49759897936531</v>
      </c>
      <c r="T192" s="62">
        <f t="shared" si="142"/>
        <v>223.74038909289635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17.57485936574874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2.82070012964442E-12</v>
      </c>
      <c r="AC192" s="24">
        <f t="shared" si="163"/>
        <v>17.574859365751561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5.6843418860808015E-14</v>
      </c>
      <c r="AJ192" s="14">
        <f>AI192*VLOOKUP('Données projet'!$B$10,Paramètres!$A$1:$I$89,3,0)*VLOOKUP('Données projet'!$B$10,Paramètres!$A$1:$I$89,5,0)</f>
        <v>4.9658410716801891E-14</v>
      </c>
      <c r="AK192" s="14">
        <f t="shared" si="164"/>
        <v>8.0934058173791862E-13</v>
      </c>
      <c r="AL192" s="22">
        <f t="shared" si="165"/>
        <v>1.4960899118586383E-12</v>
      </c>
      <c r="AM192" s="62">
        <f t="shared" si="113"/>
        <v>293.33333333333479</v>
      </c>
      <c r="AN192" s="62">
        <f ca="1">AVERAGE(OFFSET($AM$3,0,0,'Données projet'!$E$10+1,1))-AVERAGE(OFFSET($H$3,0,0,'Données projet'!$E$10+1,1))</f>
        <v>304.32767345253382</v>
      </c>
      <c r="AO192" s="62">
        <f t="shared" si="144"/>
        <v>427.16091343339173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6.9416673483010731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6.9416673483010731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5.6843418860808015E-14</v>
      </c>
      <c r="BE192" s="14">
        <f>BD192*VLOOKUP('Données projet'!$B$11,Paramètres!$A$1:$I$89,3,0)*VLOOKUP('Données projet'!$B$11,Paramètres!$A$1:$I$89,5,0)</f>
        <v>3.3992364478763198E-14</v>
      </c>
      <c r="BF192" s="14">
        <f t="shared" si="167"/>
        <v>5.790027782444094E-13</v>
      </c>
      <c r="BG192" s="22">
        <f t="shared" si="168"/>
        <v>1.0676332069095257E-12</v>
      </c>
      <c r="BH192" s="62">
        <f t="shared" si="116"/>
        <v>293.33333333333439</v>
      </c>
      <c r="BI192" s="62">
        <f ca="1">AVERAGE(OFFSET($BH$3,0,0,'Données projet'!$E$11+1,1))-AVERAGE(OFFSET($H$3,0,0,'Données projet'!$E$11+1,1))</f>
        <v>294.26495752303765</v>
      </c>
      <c r="BJ192" s="62">
        <f t="shared" si="146"/>
        <v>212.24900914818096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21.982002540042672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1.2363189753636615E-15</v>
      </c>
      <c r="BS192" s="24">
        <f t="shared" si="169"/>
        <v>21.982002540042672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260.49759897936531</v>
      </c>
      <c r="T193" s="62">
        <f t="shared" si="142"/>
        <v>223.74038909289635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17.230227093192148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1.9945361893653431E-12</v>
      </c>
      <c r="AC193" s="24">
        <f t="shared" si="163"/>
        <v>17.230227093194141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5.6843418860808015E-14</v>
      </c>
      <c r="AJ193" s="14">
        <f>AI193*VLOOKUP('Données projet'!$B$10,Paramètres!$A$1:$I$89,3,0)*VLOOKUP('Données projet'!$B$10,Paramètres!$A$1:$I$89,5,0)</f>
        <v>4.9658410716801891E-14</v>
      </c>
      <c r="AK193" s="14">
        <f t="shared" si="164"/>
        <v>8.0934058173791862E-13</v>
      </c>
      <c r="AL193" s="22">
        <f t="shared" si="165"/>
        <v>1.4960899118586383E-12</v>
      </c>
      <c r="AM193" s="62">
        <f t="shared" si="113"/>
        <v>293.33333333333479</v>
      </c>
      <c r="AN193" s="62">
        <f ca="1">AVERAGE(OFFSET($AM$3,0,0,'Données projet'!$E$10+1,1))-AVERAGE(OFFSET($H$3,0,0,'Données projet'!$E$10+1,1))</f>
        <v>304.32767345253382</v>
      </c>
      <c r="AO193" s="62">
        <f t="shared" si="144"/>
        <v>427.16091343339173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6.8055454855998985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6.8055454855998985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5.6843418860808015E-14</v>
      </c>
      <c r="BE193" s="14">
        <f>BD193*VLOOKUP('Données projet'!$B$11,Paramètres!$A$1:$I$89,3,0)*VLOOKUP('Données projet'!$B$11,Paramètres!$A$1:$I$89,5,0)</f>
        <v>3.3992364478763198E-14</v>
      </c>
      <c r="BF193" s="14">
        <f t="shared" si="167"/>
        <v>5.790027782444094E-13</v>
      </c>
      <c r="BG193" s="22">
        <f t="shared" si="168"/>
        <v>1.0676332069095257E-12</v>
      </c>
      <c r="BH193" s="62">
        <f t="shared" si="116"/>
        <v>293.33333333333439</v>
      </c>
      <c r="BI193" s="62">
        <f ca="1">AVERAGE(OFFSET($BH$3,0,0,'Données projet'!$E$11+1,1))-AVERAGE(OFFSET($H$3,0,0,'Données projet'!$E$11+1,1))</f>
        <v>294.26495752303765</v>
      </c>
      <c r="BJ193" s="62">
        <f t="shared" si="146"/>
        <v>212.24900914818096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21.550948877930082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8.7420953118924927E-16</v>
      </c>
      <c r="BS193" s="24">
        <f t="shared" si="169"/>
        <v>21.550948877930082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260.49759897936531</v>
      </c>
      <c r="T194" s="62">
        <f t="shared" si="142"/>
        <v>223.74038909289635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16.89235284929546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1.41035006482221E-12</v>
      </c>
      <c r="AC194" s="24">
        <f t="shared" si="163"/>
        <v>16.89235284929687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5.6843418860808015E-14</v>
      </c>
      <c r="AJ194" s="14">
        <f>AI194*VLOOKUP('Données projet'!$B$10,Paramètres!$A$1:$I$89,3,0)*VLOOKUP('Données projet'!$B$10,Paramètres!$A$1:$I$89,5,0)</f>
        <v>4.9658410716801891E-14</v>
      </c>
      <c r="AK194" s="14">
        <f t="shared" si="164"/>
        <v>8.0934058173791862E-13</v>
      </c>
      <c r="AL194" s="22">
        <f t="shared" si="165"/>
        <v>1.4960899118586383E-12</v>
      </c>
      <c r="AM194" s="62">
        <f t="shared" si="113"/>
        <v>293.33333333333479</v>
      </c>
      <c r="AN194" s="62">
        <f ca="1">AVERAGE(OFFSET($AM$3,0,0,'Données projet'!$E$10+1,1))-AVERAGE(OFFSET($H$3,0,0,'Données projet'!$E$10+1,1))</f>
        <v>304.32767345253382</v>
      </c>
      <c r="AO194" s="62">
        <f t="shared" si="144"/>
        <v>427.16091343339173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6.6720928896001563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6.6720928896001563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5.6843418860808015E-14</v>
      </c>
      <c r="BE194" s="14">
        <f>BD194*VLOOKUP('Données projet'!$B$11,Paramètres!$A$1:$I$89,3,0)*VLOOKUP('Données projet'!$B$11,Paramètres!$A$1:$I$89,5,0)</f>
        <v>3.3992364478763198E-14</v>
      </c>
      <c r="BF194" s="14">
        <f t="shared" si="167"/>
        <v>5.790027782444094E-13</v>
      </c>
      <c r="BG194" s="22">
        <f t="shared" si="168"/>
        <v>1.0676332069095257E-12</v>
      </c>
      <c r="BH194" s="62">
        <f t="shared" si="116"/>
        <v>293.33333333333439</v>
      </c>
      <c r="BI194" s="62">
        <f ca="1">AVERAGE(OFFSET($BH$3,0,0,'Données projet'!$E$11+1,1))-AVERAGE(OFFSET($H$3,0,0,'Données projet'!$E$11+1,1))</f>
        <v>294.26495752303765</v>
      </c>
      <c r="BJ194" s="62">
        <f t="shared" si="146"/>
        <v>212.24900914818096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21.12834791521475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6.1815948768183083E-16</v>
      </c>
      <c r="BS194" s="24">
        <f t="shared" si="169"/>
        <v>21.12834791521475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260.49759897936531</v>
      </c>
      <c r="T195" s="62">
        <f t="shared" si="142"/>
        <v>223.74038909289635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16.561104113238645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9.9726809468267155E-13</v>
      </c>
      <c r="AC195" s="24">
        <f t="shared" si="163"/>
        <v>16.561104113239644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5.6843418860808015E-14</v>
      </c>
      <c r="AJ195" s="14">
        <f>AI195*VLOOKUP('Données projet'!$B$10,Paramètres!$A$1:$I$89,3,0)*VLOOKUP('Données projet'!$B$10,Paramètres!$A$1:$I$89,5,0)</f>
        <v>4.9658410716801891E-14</v>
      </c>
      <c r="AK195" s="14">
        <f t="shared" si="164"/>
        <v>8.0934058173791862E-13</v>
      </c>
      <c r="AL195" s="22">
        <f t="shared" si="165"/>
        <v>1.4960899118586383E-12</v>
      </c>
      <c r="AM195" s="62">
        <f t="shared" si="113"/>
        <v>293.33333333333479</v>
      </c>
      <c r="AN195" s="62">
        <f ca="1">AVERAGE(OFFSET($AM$3,0,0,'Données projet'!$E$10+1,1))-AVERAGE(OFFSET($H$3,0,0,'Données projet'!$E$10+1,1))</f>
        <v>304.32767345253382</v>
      </c>
      <c r="AO195" s="62">
        <f t="shared" si="144"/>
        <v>427.16091343339173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6.5412572176099228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6.5412572176099228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5.6843418860808015E-14</v>
      </c>
      <c r="BE195" s="14">
        <f>BD195*VLOOKUP('Données projet'!$B$11,Paramètres!$A$1:$I$89,3,0)*VLOOKUP('Données projet'!$B$11,Paramètres!$A$1:$I$89,5,0)</f>
        <v>3.3992364478763198E-14</v>
      </c>
      <c r="BF195" s="14">
        <f t="shared" si="167"/>
        <v>5.790027782444094E-13</v>
      </c>
      <c r="BG195" s="22">
        <f t="shared" si="168"/>
        <v>1.0676332069095257E-12</v>
      </c>
      <c r="BH195" s="62">
        <f t="shared" si="116"/>
        <v>293.33333333333439</v>
      </c>
      <c r="BI195" s="62">
        <f ca="1">AVERAGE(OFFSET($BH$3,0,0,'Données projet'!$E$11+1,1))-AVERAGE(OFFSET($H$3,0,0,'Données projet'!$E$11+1,1))</f>
        <v>294.26495752303765</v>
      </c>
      <c r="BJ195" s="62">
        <f t="shared" si="146"/>
        <v>212.24900914818096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20.714033899617128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4.3710476559462469E-16</v>
      </c>
      <c r="BS195" s="24">
        <f t="shared" si="169"/>
        <v>20.714033899617128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260.49759897936531</v>
      </c>
      <c r="T196" s="62">
        <f t="shared" si="142"/>
        <v>223.74038909289635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16.236350962854125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7.0517503241110499E-13</v>
      </c>
      <c r="AC196" s="24">
        <f t="shared" si="163"/>
        <v>16.236350962854829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5.6843418860808015E-14</v>
      </c>
      <c r="AJ196" s="14">
        <f>AI196*VLOOKUP('Données projet'!$B$10,Paramètres!$A$1:$I$89,3,0)*VLOOKUP('Données projet'!$B$10,Paramètres!$A$1:$I$89,5,0)</f>
        <v>4.9658410716801891E-14</v>
      </c>
      <c r="AK196" s="14">
        <f t="shared" si="164"/>
        <v>8.0934058173791862E-13</v>
      </c>
      <c r="AL196" s="22">
        <f t="shared" si="165"/>
        <v>1.4960899118586383E-12</v>
      </c>
      <c r="AM196" s="62">
        <f t="shared" ref="AM196:AM203" si="193">AL196+(AD196+AE196)*44/12</f>
        <v>293.33333333333479</v>
      </c>
      <c r="AN196" s="62">
        <f ca="1">AVERAGE(OFFSET($AM$3,0,0,'Données projet'!$E$10+1,1))-AVERAGE(OFFSET($H$3,0,0,'Données projet'!$E$10+1,1))</f>
        <v>304.32767345253382</v>
      </c>
      <c r="AO196" s="62">
        <f t="shared" si="144"/>
        <v>427.16091343339173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6.4129871533455374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6.4129871533455374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5.6843418860808015E-14</v>
      </c>
      <c r="BE196" s="14">
        <f>BD196*VLOOKUP('Données projet'!$B$11,Paramètres!$A$1:$I$89,3,0)*VLOOKUP('Données projet'!$B$11,Paramètres!$A$1:$I$89,5,0)</f>
        <v>3.3992364478763198E-14</v>
      </c>
      <c r="BF196" s="14">
        <f t="shared" si="167"/>
        <v>5.790027782444094E-13</v>
      </c>
      <c r="BG196" s="22">
        <f t="shared" si="168"/>
        <v>1.0676332069095257E-12</v>
      </c>
      <c r="BH196" s="62">
        <f t="shared" ref="BH196:BH203" si="194">BG196+(AY196+AZ196)*44/12</f>
        <v>293.33333333333439</v>
      </c>
      <c r="BI196" s="62">
        <f ca="1">AVERAGE(OFFSET($BH$3,0,0,'Données projet'!$E$11+1,1))-AVERAGE(OFFSET($H$3,0,0,'Données projet'!$E$11+1,1))</f>
        <v>294.26495752303765</v>
      </c>
      <c r="BJ196" s="62">
        <f t="shared" si="146"/>
        <v>212.24900914818096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20.30784432915878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3.0907974384091546E-16</v>
      </c>
      <c r="BS196" s="24">
        <f t="shared" si="169"/>
        <v>20.30784432915878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260.49759897936531</v>
      </c>
      <c r="T197" s="62">
        <f t="shared" ref="T197:T203" si="204">$T$3</f>
        <v>223.74038909289635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15.917966023668784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4.9863404734133577E-13</v>
      </c>
      <c r="AC197" s="24">
        <f t="shared" si="163"/>
        <v>15.917966023669283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5.6843418860808015E-14</v>
      </c>
      <c r="AJ197" s="14">
        <f>AI197*VLOOKUP('Données projet'!$B$10,Paramètres!$A$1:$I$89,3,0)*VLOOKUP('Données projet'!$B$10,Paramètres!$A$1:$I$89,5,0)</f>
        <v>4.9658410716801891E-14</v>
      </c>
      <c r="AK197" s="14">
        <f t="shared" si="164"/>
        <v>8.0934058173791862E-13</v>
      </c>
      <c r="AL197" s="22">
        <f t="shared" si="165"/>
        <v>1.4960899118586383E-12</v>
      </c>
      <c r="AM197" s="62">
        <f t="shared" si="193"/>
        <v>293.33333333333479</v>
      </c>
      <c r="AN197" s="62">
        <f ca="1">AVERAGE(OFFSET($AM$3,0,0,'Données projet'!$E$10+1,1))-AVERAGE(OFFSET($H$3,0,0,'Données projet'!$E$10+1,1))</f>
        <v>304.32767345253382</v>
      </c>
      <c r="AO197" s="62">
        <f t="shared" ref="AO197:AO203" si="205">$AO$3</f>
        <v>427.16091343339173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6.2872323868043631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6.2872323868043631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5.6843418860808015E-14</v>
      </c>
      <c r="BE197" s="14">
        <f>BD197*VLOOKUP('Données projet'!$B$11,Paramètres!$A$1:$I$89,3,0)*VLOOKUP('Données projet'!$B$11,Paramètres!$A$1:$I$89,5,0)</f>
        <v>3.3992364478763198E-14</v>
      </c>
      <c r="BF197" s="14">
        <f t="shared" si="167"/>
        <v>5.790027782444094E-13</v>
      </c>
      <c r="BG197" s="22">
        <f t="shared" si="168"/>
        <v>1.0676332069095257E-12</v>
      </c>
      <c r="BH197" s="62">
        <f t="shared" si="194"/>
        <v>293.33333333333439</v>
      </c>
      <c r="BI197" s="62">
        <f ca="1">AVERAGE(OFFSET($BH$3,0,0,'Données projet'!$E$11+1,1))-AVERAGE(OFFSET($H$3,0,0,'Données projet'!$E$11+1,1))</f>
        <v>294.26495752303765</v>
      </c>
      <c r="BJ197" s="62">
        <f t="shared" ref="BJ197:BJ203" si="206">$BJ$3</f>
        <v>212.24900914818096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19.909619888425944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2.1855238279731239E-16</v>
      </c>
      <c r="BS197" s="24">
        <f t="shared" si="169"/>
        <v>19.909619888425944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260.49759897936531</v>
      </c>
      <c r="T198" s="62">
        <f t="shared" si="204"/>
        <v>223.74038909289635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15.605824418945229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3.525875162055525E-13</v>
      </c>
      <c r="AC198" s="24">
        <f t="shared" si="163"/>
        <v>15.605824418945581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5.6843418860808015E-14</v>
      </c>
      <c r="AJ198" s="14">
        <f>AI198*VLOOKUP('Données projet'!$B$10,Paramètres!$A$1:$I$89,3,0)*VLOOKUP('Données projet'!$B$10,Paramètres!$A$1:$I$89,5,0)</f>
        <v>4.9658410716801891E-14</v>
      </c>
      <c r="AK198" s="14">
        <f t="shared" si="164"/>
        <v>8.0934058173791862E-13</v>
      </c>
      <c r="AL198" s="22">
        <f t="shared" si="165"/>
        <v>1.4960899118586383E-12</v>
      </c>
      <c r="AM198" s="62">
        <f t="shared" si="193"/>
        <v>293.33333333333479</v>
      </c>
      <c r="AN198" s="62">
        <f ca="1">AVERAGE(OFFSET($AM$3,0,0,'Données projet'!$E$10+1,1))-AVERAGE(OFFSET($H$3,0,0,'Données projet'!$E$10+1,1))</f>
        <v>304.32767345253382</v>
      </c>
      <c r="AO198" s="62">
        <f t="shared" si="205"/>
        <v>427.16091343339173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6.1639435945322276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6.1639435945322276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5.6843418860808015E-14</v>
      </c>
      <c r="BE198" s="14">
        <f>BD198*VLOOKUP('Données projet'!$B$11,Paramètres!$A$1:$I$89,3,0)*VLOOKUP('Données projet'!$B$11,Paramètres!$A$1:$I$89,5,0)</f>
        <v>3.3992364478763198E-14</v>
      </c>
      <c r="BF198" s="14">
        <f t="shared" si="167"/>
        <v>5.790027782444094E-13</v>
      </c>
      <c r="BG198" s="22">
        <f t="shared" si="168"/>
        <v>1.0676332069095257E-12</v>
      </c>
      <c r="BH198" s="62">
        <f t="shared" si="194"/>
        <v>293.33333333333439</v>
      </c>
      <c r="BI198" s="62">
        <f ca="1">AVERAGE(OFFSET($BH$3,0,0,'Données projet'!$E$11+1,1))-AVERAGE(OFFSET($H$3,0,0,'Données projet'!$E$11+1,1))</f>
        <v>294.26495752303765</v>
      </c>
      <c r="BJ198" s="62">
        <f t="shared" si="206"/>
        <v>212.24900914818096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19.519204386082954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1.5453987192045776E-16</v>
      </c>
      <c r="BS198" s="24">
        <f t="shared" si="169"/>
        <v>19.519204386082954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260.49759897936531</v>
      </c>
      <c r="T199" s="62">
        <f t="shared" si="204"/>
        <v>223.74038909289635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15.299803720702723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2.4931702367066789E-13</v>
      </c>
      <c r="AC199" s="24">
        <f t="shared" si="163"/>
        <v>15.299803720702972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5.6843418860808015E-14</v>
      </c>
      <c r="AJ199" s="14">
        <f>AI199*VLOOKUP('Données projet'!$B$10,Paramètres!$A$1:$I$89,3,0)*VLOOKUP('Données projet'!$B$10,Paramètres!$A$1:$I$89,5,0)</f>
        <v>4.9658410716801891E-14</v>
      </c>
      <c r="AK199" s="14">
        <f t="shared" si="164"/>
        <v>8.0934058173791862E-13</v>
      </c>
      <c r="AL199" s="22">
        <f t="shared" si="165"/>
        <v>1.4960899118586383E-12</v>
      </c>
      <c r="AM199" s="62">
        <f t="shared" si="193"/>
        <v>293.33333333333479</v>
      </c>
      <c r="AN199" s="62">
        <f ca="1">AVERAGE(OFFSET($AM$3,0,0,'Données projet'!$E$10+1,1))-AVERAGE(OFFSET($H$3,0,0,'Données projet'!$E$10+1,1))</f>
        <v>304.32767345253382</v>
      </c>
      <c r="AO199" s="62">
        <f t="shared" si="205"/>
        <v>427.16091343339173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6.0430724202778103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6.0430724202778103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5.6843418860808015E-14</v>
      </c>
      <c r="BE199" s="14">
        <f>BD199*VLOOKUP('Données projet'!$B$11,Paramètres!$A$1:$I$89,3,0)*VLOOKUP('Données projet'!$B$11,Paramètres!$A$1:$I$89,5,0)</f>
        <v>3.3992364478763198E-14</v>
      </c>
      <c r="BF199" s="14">
        <f t="shared" si="167"/>
        <v>5.790027782444094E-13</v>
      </c>
      <c r="BG199" s="22">
        <f t="shared" si="168"/>
        <v>1.0676332069095257E-12</v>
      </c>
      <c r="BH199" s="62">
        <f t="shared" si="194"/>
        <v>293.33333333333439</v>
      </c>
      <c r="BI199" s="62">
        <f ca="1">AVERAGE(OFFSET($BH$3,0,0,'Données projet'!$E$11+1,1))-AVERAGE(OFFSET($H$3,0,0,'Données projet'!$E$11+1,1))</f>
        <v>294.26495752303765</v>
      </c>
      <c r="BJ199" s="62">
        <f t="shared" si="206"/>
        <v>212.24900914818096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19.136444693610969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1.0927619139865621E-16</v>
      </c>
      <c r="BS199" s="24">
        <f t="shared" si="169"/>
        <v>19.136444693610969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260.49759897936531</v>
      </c>
      <c r="T200" s="62">
        <f t="shared" si="204"/>
        <v>223.74038909289635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14.999783901698558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1.7629375810277625E-13</v>
      </c>
      <c r="AC200" s="24">
        <f t="shared" si="163"/>
        <v>14.999783901698734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5.6843418860808015E-14</v>
      </c>
      <c r="AJ200" s="14">
        <f>AI200*VLOOKUP('Données projet'!$B$10,Paramètres!$A$1:$I$89,3,0)*VLOOKUP('Données projet'!$B$10,Paramètres!$A$1:$I$89,5,0)</f>
        <v>4.9658410716801891E-14</v>
      </c>
      <c r="AK200" s="14">
        <f t="shared" si="164"/>
        <v>8.0934058173791862E-13</v>
      </c>
      <c r="AL200" s="22">
        <f t="shared" si="165"/>
        <v>1.4960899118586383E-12</v>
      </c>
      <c r="AM200" s="62">
        <f t="shared" si="193"/>
        <v>293.33333333333479</v>
      </c>
      <c r="AN200" s="62">
        <f ca="1">AVERAGE(OFFSET($AM$3,0,0,'Données projet'!$E$10+1,1))-AVERAGE(OFFSET($H$3,0,0,'Données projet'!$E$10+1,1))</f>
        <v>304.32767345253382</v>
      </c>
      <c r="AO200" s="62">
        <f t="shared" si="205"/>
        <v>427.16091343339173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5.9245714560263858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5.9245714560263858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5.6843418860808015E-14</v>
      </c>
      <c r="BE200" s="14">
        <f>BD200*VLOOKUP('Données projet'!$B$11,Paramètres!$A$1:$I$89,3,0)*VLOOKUP('Données projet'!$B$11,Paramètres!$A$1:$I$89,5,0)</f>
        <v>3.3992364478763198E-14</v>
      </c>
      <c r="BF200" s="14">
        <f t="shared" si="167"/>
        <v>5.790027782444094E-13</v>
      </c>
      <c r="BG200" s="22">
        <f t="shared" si="168"/>
        <v>1.0676332069095257E-12</v>
      </c>
      <c r="BH200" s="62">
        <f t="shared" si="194"/>
        <v>293.33333333333439</v>
      </c>
      <c r="BI200" s="62">
        <f ca="1">AVERAGE(OFFSET($BH$3,0,0,'Données projet'!$E$11+1,1))-AVERAGE(OFFSET($H$3,0,0,'Données projet'!$E$11+1,1))</f>
        <v>294.26495752303765</v>
      </c>
      <c r="BJ200" s="62">
        <f t="shared" si="206"/>
        <v>212.24900914818096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18.761190685248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7.726993596022889E-17</v>
      </c>
      <c r="BS200" s="24">
        <f t="shared" si="169"/>
        <v>18.761190685248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260.49759897936531</v>
      </c>
      <c r="T201" s="62">
        <f t="shared" si="204"/>
        <v>223.74038909289635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14.705647288351045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1.2465851183533394E-13</v>
      </c>
      <c r="AC201" s="24">
        <f t="shared" si="163"/>
        <v>14.70564728835117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5.6843418860808015E-14</v>
      </c>
      <c r="AJ201" s="14">
        <f>AI201*VLOOKUP('Données projet'!$B$10,Paramètres!$A$1:$I$89,3,0)*VLOOKUP('Données projet'!$B$10,Paramètres!$A$1:$I$89,5,0)</f>
        <v>4.9658410716801891E-14</v>
      </c>
      <c r="AK201" s="14">
        <f t="shared" si="164"/>
        <v>8.0934058173791862E-13</v>
      </c>
      <c r="AL201" s="22">
        <f t="shared" si="165"/>
        <v>1.4960899118586383E-12</v>
      </c>
      <c r="AM201" s="62">
        <f t="shared" si="193"/>
        <v>293.33333333333479</v>
      </c>
      <c r="AN201" s="62">
        <f ca="1">AVERAGE(OFFSET($AM$3,0,0,'Données projet'!$E$10+1,1))-AVERAGE(OFFSET($H$3,0,0,'Données projet'!$E$10+1,1))</f>
        <v>304.32767345253382</v>
      </c>
      <c r="AO201" s="62">
        <f t="shared" si="205"/>
        <v>427.16091343339173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5.8083942234054797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5.8083942234054797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5.6843418860808015E-14</v>
      </c>
      <c r="BE201" s="14">
        <f>BD201*VLOOKUP('Données projet'!$B$11,Paramètres!$A$1:$I$89,3,0)*VLOOKUP('Données projet'!$B$11,Paramètres!$A$1:$I$89,5,0)</f>
        <v>3.3992364478763198E-14</v>
      </c>
      <c r="BF201" s="14">
        <f t="shared" si="167"/>
        <v>5.790027782444094E-13</v>
      </c>
      <c r="BG201" s="22">
        <f t="shared" si="168"/>
        <v>1.0676332069095257E-12</v>
      </c>
      <c r="BH201" s="62">
        <f t="shared" si="194"/>
        <v>293.33333333333439</v>
      </c>
      <c r="BI201" s="62">
        <f ca="1">AVERAGE(OFFSET($BH$3,0,0,'Données projet'!$E$11+1,1))-AVERAGE(OFFSET($H$3,0,0,'Données projet'!$E$11+1,1))</f>
        <v>294.26495752303765</v>
      </c>
      <c r="BJ201" s="62">
        <f t="shared" si="206"/>
        <v>212.24900914818096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18.393295179106683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5.463809569932811E-17</v>
      </c>
      <c r="BS201" s="24">
        <f t="shared" si="169"/>
        <v>18.393295179106683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260.49759897936531</v>
      </c>
      <c r="T202" s="62">
        <f t="shared" si="204"/>
        <v>223.74038909289635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14.417278514585657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8.8146879051388124E-14</v>
      </c>
      <c r="AC202" s="24">
        <f t="shared" si="163"/>
        <v>14.417278514585746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5.6843418860808015E-14</v>
      </c>
      <c r="AJ202" s="14">
        <f>AI202*VLOOKUP('Données projet'!$B$10,Paramètres!$A$1:$I$89,3,0)*VLOOKUP('Données projet'!$B$10,Paramètres!$A$1:$I$89,5,0)</f>
        <v>4.9658410716801891E-14</v>
      </c>
      <c r="AK202" s="14">
        <f t="shared" si="164"/>
        <v>8.0934058173791862E-13</v>
      </c>
      <c r="AL202" s="22">
        <f t="shared" si="165"/>
        <v>1.4960899118586383E-12</v>
      </c>
      <c r="AM202" s="62">
        <f t="shared" si="193"/>
        <v>293.33333333333479</v>
      </c>
      <c r="AN202" s="62">
        <f ca="1">AVERAGE(OFFSET($AM$3,0,0,'Données projet'!$E$10+1,1))-AVERAGE(OFFSET($H$3,0,0,'Données projet'!$E$10+1,1))</f>
        <v>304.32767345253382</v>
      </c>
      <c r="AO202" s="62">
        <f t="shared" si="205"/>
        <v>427.16091343339173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5.6944951554551553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5.6944951554551553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5.6843418860808015E-14</v>
      </c>
      <c r="BE202" s="14">
        <f>BD202*VLOOKUP('Données projet'!$B$11,Paramètres!$A$1:$I$89,3,0)*VLOOKUP('Données projet'!$B$11,Paramètres!$A$1:$I$89,5,0)</f>
        <v>3.3992364478763198E-14</v>
      </c>
      <c r="BF202" s="14">
        <f t="shared" si="167"/>
        <v>5.790027782444094E-13</v>
      </c>
      <c r="BG202" s="22">
        <f t="shared" si="168"/>
        <v>1.0676332069095257E-12</v>
      </c>
      <c r="BH202" s="62">
        <f t="shared" si="194"/>
        <v>293.33333333333439</v>
      </c>
      <c r="BI202" s="62">
        <f ca="1">AVERAGE(OFFSET($BH$3,0,0,'Données projet'!$E$11+1,1))-AVERAGE(OFFSET($H$3,0,0,'Données projet'!$E$11+1,1))</f>
        <v>294.26495752303765</v>
      </c>
      <c r="BJ202" s="62">
        <f t="shared" si="206"/>
        <v>212.24900914818096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18.032613879446696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3.8634967980114451E-17</v>
      </c>
      <c r="BS202" s="24">
        <f t="shared" si="169"/>
        <v>18.032613879446696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260.49759897936531</v>
      </c>
      <c r="T203" s="62">
        <f t="shared" si="204"/>
        <v>223.74038909289635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14.134564476586224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6.2329255917666972E-14</v>
      </c>
      <c r="AC203" s="24">
        <f t="shared" si="163"/>
        <v>14.134564476586286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5.6843418860808015E-14</v>
      </c>
      <c r="AJ203" s="14">
        <f>AI203*VLOOKUP('Données projet'!$B$10,Paramètres!$A$1:$I$89,3,0)*VLOOKUP('Données projet'!$B$10,Paramètres!$A$1:$I$89,5,0)</f>
        <v>4.9658410716801891E-14</v>
      </c>
      <c r="AK203" s="14">
        <f t="shared" si="164"/>
        <v>8.0934058173791862E-13</v>
      </c>
      <c r="AL203" s="22">
        <f t="shared" si="165"/>
        <v>1.4960899118586383E-12</v>
      </c>
      <c r="AM203" s="62">
        <f t="shared" si="193"/>
        <v>293.33333333333479</v>
      </c>
      <c r="AN203" s="62">
        <f ca="1">AVERAGE(OFFSET($AM$3,0,0,'Données projet'!$E$10+1,1))-AVERAGE(OFFSET($H$3,0,0,'Données projet'!$E$10+1,1))</f>
        <v>304.32767345253382</v>
      </c>
      <c r="AO203" s="62">
        <f t="shared" si="205"/>
        <v>427.16091343339173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5.5828295787557645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5.5828295787557645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5.6843418860808015E-14</v>
      </c>
      <c r="BE203" s="14">
        <f>BD203*VLOOKUP('Données projet'!$B$11,Paramètres!$A$1:$I$89,3,0)*VLOOKUP('Données projet'!$B$11,Paramètres!$A$1:$I$89,5,0)</f>
        <v>3.3992364478763198E-14</v>
      </c>
      <c r="BF203" s="14">
        <f t="shared" si="167"/>
        <v>5.790027782444094E-13</v>
      </c>
      <c r="BG203" s="22">
        <f t="shared" si="168"/>
        <v>1.0676332069095257E-12</v>
      </c>
      <c r="BH203" s="62">
        <f t="shared" si="194"/>
        <v>293.33333333333439</v>
      </c>
      <c r="BI203" s="62">
        <f ca="1">AVERAGE(OFFSET($BH$3,0,0,'Données projet'!$E$11+1,1))-AVERAGE(OFFSET($H$3,0,0,'Données projet'!$E$11+1,1))</f>
        <v>294.26495752303765</v>
      </c>
      <c r="BJ203" s="62">
        <f t="shared" si="206"/>
        <v>212.24900914818096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17.67900532007917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2.7319047849664061E-17</v>
      </c>
      <c r="BS203" s="24">
        <f t="shared" si="169"/>
        <v>17.67900532007917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1.2693871579679339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1.3655017210306359</v>
      </c>
      <c r="BA205" s="88">
        <f>EXP(LN('Données projet'!B88)/'Données projet'!A88)</f>
        <v>1.1932635389591795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G19" sqref="G19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Cèdre de l'Atlas</v>
      </c>
      <c r="B6" s="155">
        <f>'Données projet'!D9</f>
        <v>1.43</v>
      </c>
      <c r="C6" s="156">
        <f ca="1">IF(OR('Données projet'!B9="",'Données projet'!C9="",'Données projet'!C9=0%),0,Calculateur!S3)</f>
        <v>260.49759897936531</v>
      </c>
      <c r="D6" s="156">
        <f>IF(OR('Données projet'!B9="",'Données projet'!C9="",'Données projet'!C9=0%),0,Calculateur!T3)</f>
        <v>223.74038909289635</v>
      </c>
      <c r="E6" s="156">
        <f ca="1">MIN(C6,D6)</f>
        <v>223.74038909289635</v>
      </c>
      <c r="F6" s="156">
        <f ca="1">E6*B6</f>
        <v>319.94875640284175</v>
      </c>
      <c r="G6" s="156">
        <f ca="1">F6*(100%-'Données projet'!$C$24)*(100%-'Données projet'!$C$25)*(100%-'Données projet'!$C$26)*(100%-'Données projet'!$C$27)</f>
        <v>273.55618672442966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273.55618672442966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rouge d'Amérique</v>
      </c>
      <c r="B7" s="163">
        <f>'Données projet'!D10</f>
        <v>0.39</v>
      </c>
      <c r="C7" s="156">
        <f ca="1">IF(OR('Données projet'!B10="",'Données projet'!C10="",'Données projet'!C10=0%),0,Calculateur!AN3)</f>
        <v>304.32767345253382</v>
      </c>
      <c r="D7" s="156">
        <f>IF(OR('Données projet'!B10="",'Données projet'!C10="",'Données projet'!C10=0%),0,Calculateur!AO3)</f>
        <v>427.16091343339173</v>
      </c>
      <c r="E7" s="156">
        <f t="shared" ref="E7:E15" ca="1" si="0">MIN(C7,D7)</f>
        <v>304.32767345253382</v>
      </c>
      <c r="F7" s="156">
        <f t="shared" ref="F7:F15" ca="1" si="1">E7*B7</f>
        <v>118.68779264648819</v>
      </c>
      <c r="G7" s="156">
        <f ca="1">F7*(100%-'Données projet'!$C$24)*(100%-'Données projet'!$C$25)*(100%-'Données projet'!$C$26)*(100%-'Données projet'!$C$27)</f>
        <v>101.4780627127474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18.232500000000002</v>
      </c>
      <c r="K7" s="160">
        <f>J7*(100%-'Données projet'!$C$24)*(100%-'Données projet'!$C$25)*(100%-'Données projet'!$C$26)*(100%-'Données projet'!$C$27)</f>
        <v>15.588787500000002</v>
      </c>
      <c r="L7" s="161">
        <f t="shared" ref="L7:L15" ca="1" si="2">G7+I7+K7</f>
        <v>117.0668502127474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Pin laricio</v>
      </c>
      <c r="B8" s="163">
        <f>'Données projet'!D11</f>
        <v>1.43</v>
      </c>
      <c r="C8" s="156">
        <f ca="1">IF(OR('Données projet'!B11="",'Données projet'!C11="",'Données projet'!C11=0%),0,Calculateur!BI3)</f>
        <v>294.26495752303765</v>
      </c>
      <c r="D8" s="156">
        <f>IF(OR('Données projet'!B11="",'Données projet'!C11="",'Données projet'!C11=0%),0,Calculateur!BJ3)</f>
        <v>212.24900914818096</v>
      </c>
      <c r="E8" s="156">
        <f t="shared" ca="1" si="0"/>
        <v>212.24900914818096</v>
      </c>
      <c r="F8" s="156">
        <f t="shared" ca="1" si="1"/>
        <v>303.51608308189878</v>
      </c>
      <c r="G8" s="156">
        <f ca="1">F8*(100%-'Données projet'!$C$24)*(100%-'Données projet'!$C$25)*(100%-'Données projet'!$C$26)*(100%-'Données projet'!$C$27)</f>
        <v>259.50625103502341</v>
      </c>
      <c r="H8" s="164">
        <f>IF(OR('Données projet'!B11="",'Données projet'!C11="",'Données projet'!C11=0%),0,AVERAGE(Calculateur!$BS$3:$BS$33)*B8)</f>
        <v>0.20301326854497043</v>
      </c>
      <c r="I8" s="158">
        <f>H8*(100%-'Données projet'!$C$24)*(100%-'Données projet'!$C$25)*(100%-'Données projet'!$C$26)*(100%-'Données projet'!$C$27)</f>
        <v>0.1735763446059497</v>
      </c>
      <c r="J8" s="159">
        <f>IF(OR('Données projet'!B11="",'Données projet'!C11="",'Données projet'!C11=0%),0,SUM(Calculateur!$BL$3:$BL$33)*VLOOKUP('Données projet'!$B$11,Paramètres!$A$1:$I$89,9,0)*B8)</f>
        <v>17.217199999999998</v>
      </c>
      <c r="K8" s="160">
        <f>J8*(100%-'Données projet'!$C$24)*(100%-'Données projet'!$C$25)*(100%-'Données projet'!$C$26)*(100%-'Données projet'!$C$27)</f>
        <v>14.720705999999998</v>
      </c>
      <c r="L8" s="161">
        <f t="shared" ca="1" si="2"/>
        <v>274.40053337962939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742.15263213122876</v>
      </c>
      <c r="G16" s="175">
        <f t="shared" ca="1" si="3"/>
        <v>634.54050047220051</v>
      </c>
      <c r="H16" s="176">
        <f t="shared" si="3"/>
        <v>0.20301326854497043</v>
      </c>
      <c r="I16" s="176">
        <f t="shared" si="3"/>
        <v>0.1735763446059497</v>
      </c>
      <c r="J16" s="177">
        <f t="shared" si="3"/>
        <v>35.4497</v>
      </c>
      <c r="K16" s="177">
        <f t="shared" si="3"/>
        <v>30.309493500000002</v>
      </c>
      <c r="L16" s="178">
        <f t="shared" ca="1" si="3"/>
        <v>665.0235703168064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Cèdre de l'Atlas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rouge d'Amérique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Pin laricio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E1" zoomScale="90" zoomScaleNormal="90" workbookViewId="0">
      <selection activeCell="G29" sqref="G2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Cèdre de l'Atlas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-2416.3145828592305</v>
      </c>
      <c r="U10" s="190">
        <f>'Données projet'!D9</f>
        <v>1.43</v>
      </c>
      <c r="V10" s="189">
        <f>U10*T10</f>
        <v>-3455.3298534886994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rouge d'Amérique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-132.48207841756357</v>
      </c>
      <c r="U11" s="190">
        <f>'Données projet'!D10</f>
        <v>0.39</v>
      </c>
      <c r="V11" s="189">
        <f t="shared" ref="V11" si="0">U11*T11</f>
        <v>-51.668010582849796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Pin laricio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-2014.380721902859</v>
      </c>
      <c r="U12" s="190">
        <f>'Données projet'!D11</f>
        <v>1.43</v>
      </c>
      <c r="V12" s="189">
        <f t="shared" ref="V12:V19" si="1">U12*T12</f>
        <v>-2880.5644323210881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Cèdre de l'Atlas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>
        <v>2888</v>
      </c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6673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400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650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0</v>
      </c>
      <c r="C23" s="206">
        <v>6</v>
      </c>
      <c r="D23" s="194">
        <f>B23*C23</f>
        <v>0</v>
      </c>
      <c r="E23" s="206"/>
      <c r="F23" s="261"/>
      <c r="H23" s="203">
        <v>3</v>
      </c>
      <c r="I23" s="204">
        <v>650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-33104.487533203581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0</v>
      </c>
      <c r="C24" s="206">
        <v>11</v>
      </c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40</v>
      </c>
      <c r="B25" s="193">
        <f>'Données projet'!D38</f>
        <v>63</v>
      </c>
      <c r="C25" s="206">
        <v>16</v>
      </c>
      <c r="D25" s="194">
        <f t="shared" si="2"/>
        <v>1008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-33104.487533203581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60</v>
      </c>
      <c r="B26" s="193">
        <f>'Données projet'!D39</f>
        <v>67</v>
      </c>
      <c r="C26" s="206">
        <v>25</v>
      </c>
      <c r="D26" s="194">
        <f t="shared" si="2"/>
        <v>1675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70</v>
      </c>
      <c r="B27" s="193">
        <f>'Données projet'!D40</f>
        <v>69</v>
      </c>
      <c r="C27" s="206">
        <v>30</v>
      </c>
      <c r="D27" s="194">
        <f t="shared" si="2"/>
        <v>2070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80</v>
      </c>
      <c r="B28" s="193">
        <f>'Données projet'!D41</f>
        <v>71</v>
      </c>
      <c r="C28" s="206">
        <v>40</v>
      </c>
      <c r="D28" s="194">
        <f t="shared" si="2"/>
        <v>2840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90</v>
      </c>
      <c r="B29" s="193">
        <f>'Données projet'!D42</f>
        <v>73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100</v>
      </c>
      <c r="B30" s="193">
        <f>'Données projet'!D43</f>
        <v>375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rouge d'Amérique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>
        <v>2040</v>
      </c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15</v>
      </c>
      <c r="B54" s="193">
        <f>'Données projet'!D62</f>
        <v>34</v>
      </c>
      <c r="C54" s="204">
        <v>1</v>
      </c>
      <c r="D54" s="191">
        <f>B54*C54</f>
        <v>34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20</v>
      </c>
      <c r="B55" s="193">
        <f>'Données projet'!D63</f>
        <v>50</v>
      </c>
      <c r="C55" s="204">
        <v>1</v>
      </c>
      <c r="D55" s="191">
        <f t="shared" ref="D55:D73" si="4">B55*C55</f>
        <v>50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25</v>
      </c>
      <c r="B56" s="193">
        <f>'Données projet'!D64</f>
        <v>52</v>
      </c>
      <c r="C56" s="204">
        <v>6</v>
      </c>
      <c r="D56" s="191">
        <f t="shared" si="4"/>
        <v>312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30</v>
      </c>
      <c r="B57" s="193">
        <f>'Données projet'!D65</f>
        <v>51</v>
      </c>
      <c r="C57" s="204">
        <v>8</v>
      </c>
      <c r="D57" s="191">
        <f t="shared" si="4"/>
        <v>408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35</v>
      </c>
      <c r="B58" s="193">
        <f>'Données projet'!D66</f>
        <v>49</v>
      </c>
      <c r="C58" s="204">
        <v>12.5</v>
      </c>
      <c r="D58" s="191">
        <f t="shared" si="4"/>
        <v>612.5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40</v>
      </c>
      <c r="B59" s="193">
        <f>'Données projet'!D67</f>
        <v>45</v>
      </c>
      <c r="C59" s="204">
        <v>21</v>
      </c>
      <c r="D59" s="191">
        <f t="shared" si="4"/>
        <v>945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45</v>
      </c>
      <c r="B60" s="193">
        <f>'Données projet'!D68</f>
        <v>41</v>
      </c>
      <c r="C60" s="204">
        <v>34</v>
      </c>
      <c r="D60" s="191">
        <f t="shared" si="4"/>
        <v>1394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50</v>
      </c>
      <c r="B61" s="193">
        <f>'Données projet'!D69</f>
        <v>37</v>
      </c>
      <c r="C61" s="204">
        <v>39</v>
      </c>
      <c r="D61" s="191">
        <f t="shared" si="4"/>
        <v>1443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55</v>
      </c>
      <c r="B62" s="193">
        <f>'Données projet'!D70</f>
        <v>258</v>
      </c>
      <c r="C62" s="204">
        <v>45</v>
      </c>
      <c r="D62" s="191">
        <f t="shared" si="4"/>
        <v>11610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Pin laricio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>
        <v>2007</v>
      </c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27</v>
      </c>
      <c r="B85" s="193">
        <f>'Données projet'!D88</f>
        <v>15</v>
      </c>
      <c r="C85" s="204"/>
      <c r="D85" s="191">
        <f>B85*C85</f>
        <v>0</v>
      </c>
      <c r="E85" s="206">
        <v>1</v>
      </c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30</v>
      </c>
      <c r="B86" s="193">
        <f>'Données projet'!D89</f>
        <v>13</v>
      </c>
      <c r="C86" s="204"/>
      <c r="D86" s="191">
        <f t="shared" ref="D86:D104" si="6">B86*C86</f>
        <v>0</v>
      </c>
      <c r="E86" s="206">
        <v>2</v>
      </c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35</v>
      </c>
      <c r="B87" s="193">
        <f>'Données projet'!D90</f>
        <v>23</v>
      </c>
      <c r="C87" s="204"/>
      <c r="D87" s="191">
        <f t="shared" si="6"/>
        <v>0</v>
      </c>
      <c r="E87" s="206">
        <v>5</v>
      </c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40</v>
      </c>
      <c r="B88" s="193">
        <f>'Données projet'!D91</f>
        <v>34</v>
      </c>
      <c r="C88" s="204"/>
      <c r="D88" s="191">
        <f t="shared" si="6"/>
        <v>0</v>
      </c>
      <c r="E88" s="206">
        <v>6</v>
      </c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50</v>
      </c>
      <c r="B89" s="193">
        <f>'Données projet'!D92</f>
        <v>79</v>
      </c>
      <c r="C89" s="204"/>
      <c r="D89" s="191">
        <f t="shared" si="6"/>
        <v>0</v>
      </c>
      <c r="E89" s="206">
        <v>9</v>
      </c>
      <c r="F89" s="263"/>
      <c r="G89" s="222"/>
      <c r="H89" s="203"/>
      <c r="I89" s="204"/>
      <c r="J89" s="5"/>
      <c r="K89" s="183"/>
      <c r="L89" s="5"/>
      <c r="M89" s="5"/>
      <c r="N89" s="5"/>
      <c r="O89" s="207" t="str">
        <f>IF(O88+1&lt;=MIN('Données projet'!$E$9:$E$18),O88+1,"STOP")</f>
        <v>STOP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60</v>
      </c>
      <c r="B90" s="193">
        <f>'Données projet'!D93</f>
        <v>88</v>
      </c>
      <c r="C90" s="204"/>
      <c r="D90" s="191">
        <f t="shared" si="6"/>
        <v>0</v>
      </c>
      <c r="E90" s="206">
        <v>21</v>
      </c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70</v>
      </c>
      <c r="B91" s="193">
        <f>'Données projet'!D94</f>
        <v>78</v>
      </c>
      <c r="C91" s="204"/>
      <c r="D91" s="191">
        <f t="shared" si="6"/>
        <v>0</v>
      </c>
      <c r="E91" s="206">
        <v>25</v>
      </c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80</v>
      </c>
      <c r="B92" s="193">
        <f>'Données projet'!D95</f>
        <v>460</v>
      </c>
      <c r="C92" s="204"/>
      <c r="D92" s="191">
        <f t="shared" si="6"/>
        <v>0</v>
      </c>
      <c r="E92" s="206">
        <v>27</v>
      </c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2022-07-19T07:41:44Z</dcterms:modified>
</cp:coreProperties>
</file>